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8" i="39" l="1"/>
  <c r="K18" i="77"/>
  <c r="K17" i="77"/>
  <c r="K19" i="77" s="1"/>
  <c r="J18" i="77"/>
  <c r="J17" i="77"/>
  <c r="J19" i="77" s="1"/>
  <c r="I18" i="77"/>
  <c r="H18" i="77" s="1"/>
  <c r="G18" i="77" s="1"/>
  <c r="I17" i="77"/>
  <c r="I19" i="77" s="1"/>
  <c r="I80" i="15"/>
  <c r="I85" i="15" s="1"/>
  <c r="J85" i="15" s="1"/>
  <c r="I84" i="15"/>
  <c r="I83" i="15"/>
  <c r="I82" i="15"/>
  <c r="I81" i="15"/>
  <c r="F20" i="6"/>
  <c r="F19" i="6"/>
  <c r="G47" i="21"/>
  <c r="E47" i="21"/>
  <c r="D9" i="77"/>
  <c r="D10" i="77" s="1"/>
  <c r="C5" i="39"/>
  <c r="C6" i="39" s="1"/>
  <c r="C10" i="39"/>
  <c r="D3" i="4"/>
  <c r="H17" i="77" l="1"/>
  <c r="H19" i="77" l="1"/>
  <c r="G17" i="77"/>
  <c r="G19" i="77" s="1"/>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0" i="76"/>
  <c r="B8" i="76"/>
  <c r="B10" i="76"/>
  <c r="E12" i="76"/>
  <c r="B13" i="76"/>
  <c r="B11" i="76"/>
  <c r="E8" i="76"/>
  <c r="E7" i="76"/>
  <c r="B12" i="76"/>
  <c r="E11" i="76"/>
  <c r="B7" i="76"/>
  <c r="B9" i="76"/>
  <c r="E9"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3" i="73"/>
  <c r="F4" i="73"/>
  <c r="F6" i="73"/>
  <c r="D6" i="73"/>
  <c r="I1" i="73" l="1"/>
  <c r="B39" i="1" s="1"/>
  <c r="D5" i="73"/>
  <c r="D3"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2" i="1"/>
  <c r="AO10" i="1"/>
  <c r="AO11"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S34" i="34"/>
  <c r="U34" i="34"/>
  <c r="H39" i="33"/>
  <c r="AB39"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U34" i="21"/>
  <c r="C27" i="39"/>
  <c r="C21" i="39"/>
  <c r="H32" i="33"/>
  <c r="AB32" i="33"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3" i="37"/>
  <c r="U39" i="37"/>
  <c r="W26" i="37"/>
  <c r="AC8" i="37"/>
  <c r="U26" i="37"/>
  <c r="W47" i="34"/>
  <c r="AB13" i="34"/>
  <c r="W37" i="34"/>
  <c r="AB37"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AC43" i="39"/>
  <c r="W43" i="39"/>
  <c r="U45" i="39"/>
  <c r="AB45" i="39"/>
  <c r="AB44" i="39"/>
  <c r="U44" i="39"/>
  <c r="G101" i="39"/>
  <c r="H37" i="39"/>
  <c r="AB37" i="39" s="1"/>
  <c r="W37" i="39"/>
  <c r="H25" i="39"/>
  <c r="AB25" i="39" s="1"/>
  <c r="J25" i="39"/>
  <c r="F25" i="39"/>
  <c r="AA25" i="39" s="1"/>
  <c r="F15" i="39"/>
  <c r="AA15" i="39" s="1"/>
  <c r="H15" i="39"/>
  <c r="U15" i="39" s="1"/>
  <c r="J15" i="39"/>
  <c r="W15" i="39" s="1"/>
  <c r="H41" i="39"/>
  <c r="W27" i="39"/>
  <c r="AB34"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7" i="3"/>
  <c r="BL549" i="3"/>
  <c r="AZ494" i="3"/>
  <c r="AZ514" i="3"/>
  <c r="AZ530" i="3"/>
  <c r="G546" i="3"/>
  <c r="G524" i="3"/>
  <c r="G303" i="3"/>
  <c r="BL304" i="3"/>
  <c r="G305" i="3"/>
  <c r="BL306" i="3"/>
  <c r="BA308" i="3"/>
  <c r="AZ308" i="3" s="1"/>
  <c r="BA309" i="3"/>
  <c r="BL309" i="3"/>
  <c r="AZ309" i="3" s="1"/>
  <c r="G310" i="3"/>
  <c r="BA311" i="3"/>
  <c r="G319" i="3"/>
  <c r="BL320" i="3"/>
  <c r="G321" i="3"/>
  <c r="BL322" i="3"/>
  <c r="AZ322" i="3" s="1"/>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7" i="3"/>
  <c r="AZ71" i="3"/>
  <c r="AZ79" i="3"/>
  <c r="AZ83" i="3"/>
  <c r="AZ136" i="3"/>
  <c r="AZ144" i="3"/>
  <c r="AZ85" i="3"/>
  <c r="AZ89" i="3"/>
  <c r="AZ97" i="3"/>
  <c r="AZ105" i="3"/>
  <c r="AZ120"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G391" i="3"/>
  <c r="G394" i="3"/>
  <c r="AZ138" i="3"/>
  <c r="AZ142" i="3"/>
  <c r="AZ146" i="3"/>
  <c r="AZ154" i="3"/>
  <c r="AZ162" i="3"/>
  <c r="AZ170" i="3"/>
  <c r="AZ178" i="3"/>
  <c r="AZ186" i="3"/>
  <c r="AZ194" i="3"/>
  <c r="AZ202" i="3"/>
  <c r="AZ206" i="3"/>
  <c r="AZ500" i="3"/>
  <c r="BA16" i="3"/>
  <c r="BL303" i="3"/>
  <c r="G304" i="3"/>
  <c r="BA306" i="3"/>
  <c r="AZ306" i="3" s="1"/>
  <c r="BL307" i="3"/>
  <c r="G308" i="3"/>
  <c r="BA310" i="3"/>
  <c r="BL311" i="3"/>
  <c r="G312" i="3"/>
  <c r="BA314" i="3"/>
  <c r="AZ314" i="3" s="1"/>
  <c r="BL315" i="3"/>
  <c r="AZ315" i="3" s="1"/>
  <c r="G316" i="3"/>
  <c r="BA318" i="3"/>
  <c r="AZ318" i="3"/>
  <c r="BL319" i="3"/>
  <c r="G320" i="3"/>
  <c r="BA322" i="3"/>
  <c r="BL323" i="3"/>
  <c r="AZ323" i="3"/>
  <c r="G324" i="3"/>
  <c r="BA326" i="3"/>
  <c r="AZ326" i="3" s="1"/>
  <c r="BL327" i="3"/>
  <c r="AZ327" i="3" s="1"/>
  <c r="G328" i="3"/>
  <c r="BA330" i="3"/>
  <c r="AZ330" i="3" s="1"/>
  <c r="BL331" i="3"/>
  <c r="AZ331" i="3" s="1"/>
  <c r="G332" i="3"/>
  <c r="BA334" i="3"/>
  <c r="BL335" i="3"/>
  <c r="G336" i="3"/>
  <c r="BA338" i="3"/>
  <c r="AZ338" i="3" s="1"/>
  <c r="BL339" i="3"/>
  <c r="G340" i="3"/>
  <c r="BL343" i="3"/>
  <c r="G344" i="3"/>
  <c r="G348" i="3"/>
  <c r="G355" i="3"/>
  <c r="AZ214" i="3"/>
  <c r="AZ222" i="3"/>
  <c r="AZ319" i="3"/>
  <c r="G342" i="3"/>
  <c r="BL345" i="3"/>
  <c r="G346" i="3"/>
  <c r="BL349" i="3"/>
  <c r="AZ349" i="3" s="1"/>
  <c r="BL352" i="3"/>
  <c r="AZ352" i="3" s="1"/>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BH5" i="3"/>
  <c r="BD5" i="3"/>
  <c r="AZ333" i="3"/>
  <c r="BQ5" i="3"/>
  <c r="AC5" i="3"/>
  <c r="AZ549" i="3"/>
  <c r="AZ506" i="3"/>
  <c r="AZ496" i="3"/>
  <c r="G548" i="3"/>
  <c r="G538" i="3"/>
  <c r="G520" i="3"/>
  <c r="G502" i="3"/>
  <c r="BS5" i="3"/>
  <c r="BP5" i="3"/>
  <c r="AZ343" i="3"/>
  <c r="BK5" i="3"/>
  <c r="BI5" i="3"/>
  <c r="BG5" i="3"/>
  <c r="BE5" i="3"/>
  <c r="BC5" i="3"/>
  <c r="G17" i="3"/>
  <c r="BA17" i="3"/>
  <c r="BT5" i="3"/>
  <c r="AZ356" i="3"/>
  <c r="AZ360" i="3"/>
  <c r="AZ364" i="3"/>
  <c r="BA15" i="3"/>
  <c r="BB5" i="3"/>
  <c r="AZ380" i="3"/>
  <c r="AZ384" i="3"/>
  <c r="AZ388" i="3"/>
  <c r="AZ392" i="3"/>
  <c r="AZ394" i="3"/>
  <c r="AZ499" i="3"/>
  <c r="AZ509" i="3"/>
  <c r="G509" i="3"/>
  <c r="BL493"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F29" i="6" l="1"/>
  <c r="E8" i="6"/>
  <c r="D3" i="39" s="1"/>
  <c r="AZ334" i="3"/>
  <c r="AZ311" i="3"/>
  <c r="AZ320" i="3"/>
  <c r="AZ378" i="3"/>
  <c r="S41" i="34"/>
  <c r="AA41" i="34"/>
  <c r="AB43" i="33"/>
  <c r="U43" i="33"/>
  <c r="U11" i="36"/>
  <c r="AB11" i="36"/>
  <c r="W12" i="34"/>
  <c r="AC12" i="34"/>
  <c r="U12" i="35"/>
  <c r="AB12" i="35"/>
  <c r="AB34" i="35"/>
  <c r="U34" i="35"/>
  <c r="AZ557" i="3"/>
  <c r="AZ502" i="3"/>
  <c r="AZ510" i="3"/>
  <c r="AC14" i="37"/>
  <c r="W14" i="37"/>
  <c r="U33" i="40"/>
  <c r="AB33" i="40"/>
  <c r="S13" i="35"/>
  <c r="AA13" i="35"/>
  <c r="AB46" i="33"/>
  <c r="U46" i="33"/>
  <c r="AB9" i="36"/>
  <c r="U9" i="36"/>
  <c r="AZ303" i="3"/>
  <c r="AZ307" i="3"/>
  <c r="AZ335" i="3"/>
  <c r="AZ339" i="3"/>
  <c r="AZ358" i="3"/>
  <c r="C30" i="9"/>
  <c r="AZ402" i="3"/>
  <c r="AZ418" i="3"/>
  <c r="AZ434" i="3"/>
  <c r="AZ443" i="3"/>
  <c r="AZ446" i="3"/>
  <c r="AZ450" i="3"/>
  <c r="AZ459" i="3"/>
  <c r="AZ462" i="3"/>
  <c r="BL473" i="3"/>
  <c r="BA474" i="3"/>
  <c r="AZ474" i="3" s="1"/>
  <c r="BA475" i="3"/>
  <c r="AZ475" i="3" s="1"/>
  <c r="BL477" i="3"/>
  <c r="AZ477" i="3" s="1"/>
  <c r="BA478" i="3"/>
  <c r="AZ478" i="3" s="1"/>
  <c r="BA479" i="3"/>
  <c r="AZ479" i="3" s="1"/>
  <c r="BL481" i="3"/>
  <c r="AZ481" i="3" s="1"/>
  <c r="BL490" i="3"/>
  <c r="G315" i="3"/>
  <c r="BA317" i="3"/>
  <c r="AZ317" i="3" s="1"/>
  <c r="G331" i="3"/>
  <c r="BA348" i="3"/>
  <c r="AZ348" i="3" s="1"/>
  <c r="BA354" i="3"/>
  <c r="AZ354" i="3" s="1"/>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AZ345" i="3"/>
  <c r="AZ310" i="3"/>
  <c r="AZ389" i="3"/>
  <c r="AZ329" i="3"/>
  <c r="AZ321" i="3"/>
  <c r="AZ362" i="3"/>
  <c r="AZ324" i="3"/>
  <c r="AC46" i="21"/>
  <c r="W44" i="21"/>
  <c r="AZ507" i="3"/>
  <c r="AZ513" i="3"/>
  <c r="AZ521" i="3"/>
  <c r="AZ553" i="3"/>
  <c r="AZ583" i="3"/>
  <c r="AZ581" i="3"/>
  <c r="AZ518" i="3"/>
  <c r="AZ538" i="3"/>
  <c r="AZ552" i="3"/>
  <c r="S44" i="34"/>
  <c r="U13" i="33"/>
  <c r="AB45" i="33"/>
  <c r="AA14" i="34"/>
  <c r="AB46" i="34"/>
  <c r="AA29" i="35"/>
  <c r="U33" i="35"/>
  <c r="AA39" i="37"/>
  <c r="C15" i="39"/>
  <c r="C25" i="39"/>
  <c r="S40" i="21"/>
  <c r="F26" i="33"/>
  <c r="W9" i="34"/>
  <c r="H36" i="21"/>
  <c r="U36" i="21" s="1"/>
  <c r="F36" i="21"/>
  <c r="S36" i="21" s="1"/>
  <c r="H43" i="21"/>
  <c r="F43" i="21"/>
  <c r="S43" i="21" s="1"/>
  <c r="BL586" i="3"/>
  <c r="BL585" i="3"/>
  <c r="AZ585" i="3" s="1"/>
  <c r="F12" i="34"/>
  <c r="J23" i="35"/>
  <c r="J36" i="35"/>
  <c r="H12" i="36"/>
  <c r="H24" i="36"/>
  <c r="AB24" i="36" s="1"/>
  <c r="F40" i="39"/>
  <c r="H39" i="40"/>
  <c r="G582" i="3"/>
  <c r="G566"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BL480" i="3"/>
  <c r="AZ480" i="3" s="1"/>
  <c r="G483" i="3"/>
  <c r="BA484" i="3"/>
  <c r="AZ484" i="3" s="1"/>
  <c r="BA485" i="3"/>
  <c r="AZ485" i="3" s="1"/>
  <c r="BL487" i="3"/>
  <c r="AZ487" i="3" s="1"/>
  <c r="BA488" i="3"/>
  <c r="AZ488" i="3" s="1"/>
  <c r="BA489" i="3"/>
  <c r="AZ489" i="3" s="1"/>
  <c r="BL491" i="3"/>
  <c r="AZ491" i="3" s="1"/>
  <c r="AZ492" i="3"/>
  <c r="BA350" i="3"/>
  <c r="AZ350" i="3" s="1"/>
  <c r="G366" i="3"/>
  <c r="BA368" i="3"/>
  <c r="AZ368" i="3" s="1"/>
  <c r="BL383" i="3"/>
  <c r="AZ383" i="3" s="1"/>
  <c r="BA385" i="3"/>
  <c r="AZ385" i="3" s="1"/>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AZ207" i="3"/>
  <c r="AZ38" i="3"/>
  <c r="G196" i="3"/>
  <c r="BL198" i="3"/>
  <c r="AZ198" i="3" s="1"/>
  <c r="BA200" i="3"/>
  <c r="AZ200" i="3" s="1"/>
  <c r="BL201" i="3"/>
  <c r="AZ201" i="3" s="1"/>
  <c r="G204" i="3"/>
  <c r="G206" i="3"/>
  <c r="G207" i="3"/>
  <c r="BL207" i="3"/>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M100" i="43"/>
  <c r="I100" i="43"/>
  <c r="E100" i="43"/>
  <c r="I20" i="66"/>
  <c r="AZ98" i="3"/>
  <c r="AZ104" i="3"/>
  <c r="G14" i="3"/>
  <c r="BR5" i="3"/>
  <c r="G28" i="6" s="1"/>
  <c r="G16" i="3"/>
  <c r="F27" i="6"/>
  <c r="G3" i="43"/>
  <c r="B113" i="43" s="1"/>
  <c r="C11" i="39"/>
  <c r="F3" i="35"/>
  <c r="AB41" i="21"/>
  <c r="J36" i="21"/>
  <c r="AC36" i="21" s="1"/>
  <c r="J34" i="21"/>
  <c r="W34" i="21" s="1"/>
  <c r="S34" i="21"/>
  <c r="AB38" i="21"/>
  <c r="U40" i="39"/>
  <c r="AZ16" i="3"/>
  <c r="AZ15" i="3"/>
  <c r="BL15" i="3"/>
  <c r="BJ5" i="3"/>
  <c r="BF5" i="3"/>
  <c r="BN5" i="3"/>
  <c r="G29" i="6" s="1"/>
  <c r="E29" i="6" s="1"/>
  <c r="A15" i="62"/>
  <c r="B61" i="72"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E85" i="21"/>
  <c r="F23" i="21" s="1"/>
  <c r="S23" i="21" s="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G1" i="68"/>
  <c r="K1" i="12"/>
  <c r="T12" i="1"/>
  <c r="T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G1" i="73"/>
  <c r="M26" i="15"/>
  <c r="F6" i="15"/>
  <c r="L48" i="15"/>
  <c r="F9" i="67"/>
  <c r="J15" i="15"/>
  <c r="M29" i="67"/>
  <c r="F16" i="67"/>
  <c r="M23" i="15"/>
  <c r="M24" i="15"/>
  <c r="J15" i="67"/>
  <c r="F7" i="15"/>
  <c r="M6" i="15"/>
  <c r="F37" i="67"/>
  <c r="F40" i="67"/>
  <c r="F38" i="15"/>
  <c r="F36" i="15"/>
  <c r="F42" i="67"/>
  <c r="L47" i="67"/>
  <c r="L47" i="15"/>
  <c r="F26" i="15"/>
  <c r="F38" i="67"/>
  <c r="C76" i="15"/>
  <c r="F43" i="67"/>
  <c r="M6" i="67"/>
  <c r="F8" i="67"/>
  <c r="F43" i="15"/>
  <c r="F37" i="15"/>
  <c r="M22" i="67"/>
  <c r="F31" i="6" l="1"/>
  <c r="E12" i="6"/>
  <c r="AA40" i="39"/>
  <c r="S40" i="39"/>
  <c r="U12" i="36"/>
  <c r="AB12" i="36"/>
  <c r="AC23" i="35"/>
  <c r="W23" i="35"/>
  <c r="W17" i="21"/>
  <c r="U39" i="40"/>
  <c r="AB39" i="40"/>
  <c r="AC36" i="35"/>
  <c r="W36" i="35"/>
  <c r="S12" i="34"/>
  <c r="AA12" i="34"/>
  <c r="AB43" i="21"/>
  <c r="U43" i="21"/>
  <c r="AA26" i="33"/>
  <c r="S26" i="33"/>
  <c r="G101" i="43"/>
  <c r="K101" i="43"/>
  <c r="J101" i="43"/>
  <c r="J103" i="43" s="1"/>
  <c r="N101" i="43"/>
  <c r="F22" i="43"/>
  <c r="B115" i="43"/>
  <c r="C115" i="43" s="1"/>
  <c r="D117" i="43"/>
  <c r="E117" i="43" s="1"/>
  <c r="F117" i="43" s="1"/>
  <c r="G117" i="43" s="1"/>
  <c r="H117" i="43" s="1"/>
  <c r="B117" i="43"/>
  <c r="C117" i="43" s="1"/>
  <c r="I115" i="43"/>
  <c r="J115" i="43" s="1"/>
  <c r="K115" i="43" s="1"/>
  <c r="L115" i="43" s="1"/>
  <c r="M115" i="43" s="1"/>
  <c r="N104" i="46"/>
  <c r="C101" i="43"/>
  <c r="C102" i="43" s="1"/>
  <c r="E22" i="43"/>
  <c r="F101" i="43"/>
  <c r="F109" i="43" s="1"/>
  <c r="L19" i="6"/>
  <c r="I7" i="21"/>
  <c r="E7" i="21"/>
  <c r="G7" i="21"/>
  <c r="F11" i="39"/>
  <c r="H11" i="39"/>
  <c r="J11" i="39"/>
  <c r="C7" i="43"/>
  <c r="E28" i="6"/>
  <c r="K20" i="6" s="1"/>
  <c r="S7" i="1" s="1"/>
  <c r="E7" i="70" s="1"/>
  <c r="G30" i="6"/>
  <c r="G31" i="6" s="1"/>
  <c r="G77" i="21"/>
  <c r="F15" i="21"/>
  <c r="AC15" i="21"/>
  <c r="N109" i="43"/>
  <c r="AR12" i="1"/>
  <c r="K104" i="43"/>
  <c r="N103" i="43"/>
  <c r="G118" i="43"/>
  <c r="H118" i="43" s="1"/>
  <c r="F106" i="43"/>
  <c r="D115" i="43"/>
  <c r="E115" i="43" s="1"/>
  <c r="F115" i="43" s="1"/>
  <c r="G115" i="43" s="1"/>
  <c r="H115" i="43" s="1"/>
  <c r="B118" i="43"/>
  <c r="C118" i="43" s="1"/>
  <c r="D116" i="43"/>
  <c r="E116" i="43" s="1"/>
  <c r="F116" i="43" s="1"/>
  <c r="G116" i="43" s="1"/>
  <c r="H116" i="43" s="1"/>
  <c r="F107" i="43"/>
  <c r="E57" i="40"/>
  <c r="E62" i="39"/>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F102" i="43"/>
  <c r="C106" i="43"/>
  <c r="E15" i="6"/>
  <c r="E60" i="40" s="1"/>
  <c r="E13" i="6"/>
  <c r="E58" i="40" s="1"/>
  <c r="G109" i="43"/>
  <c r="N107" i="43"/>
  <c r="J106" i="43"/>
  <c r="K105" i="43"/>
  <c r="G106" i="43"/>
  <c r="G104" i="43"/>
  <c r="G107" i="43"/>
  <c r="K102" i="43"/>
  <c r="J102" i="43"/>
  <c r="J107" i="43"/>
  <c r="N105" i="43"/>
  <c r="G102" i="43"/>
  <c r="J105" i="43"/>
  <c r="AR10" i="1"/>
  <c r="E56" i="40"/>
  <c r="C4" i="4"/>
  <c r="K4" i="4" s="1"/>
  <c r="B46" i="48" s="1"/>
  <c r="L58" i="15"/>
  <c r="Q73" i="15" s="1"/>
  <c r="N59" i="67"/>
  <c r="M59" i="67"/>
  <c r="M59" i="15"/>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T11" i="1"/>
  <c r="D9" i="69"/>
  <c r="C9" i="69" s="1"/>
  <c r="D19" i="12"/>
  <c r="C19" i="12" s="1"/>
  <c r="AQ9" i="1"/>
  <c r="AR11" i="1"/>
  <c r="E59" i="40"/>
  <c r="D68" i="39"/>
  <c r="D70" i="39" s="1"/>
  <c r="P24" i="43"/>
  <c r="B66" i="40" s="1"/>
  <c r="C28" i="15"/>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F17" i="77" s="1"/>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F18" i="77" s="1"/>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L27" i="6"/>
  <c r="G16" i="1"/>
  <c r="H10" i="40" s="1"/>
  <c r="U10" i="40" s="1"/>
  <c r="F70" i="67"/>
  <c r="F51" i="67"/>
  <c r="F68" i="67"/>
  <c r="F71" i="67"/>
  <c r="F66" i="67"/>
  <c r="F65" i="67"/>
  <c r="F71" i="15"/>
  <c r="C27" i="15"/>
  <c r="Q71" i="15"/>
  <c r="F64" i="15"/>
  <c r="F65" i="15"/>
  <c r="J57" i="15"/>
  <c r="J55" i="15" s="1"/>
  <c r="J58" i="15" s="1"/>
  <c r="Q50" i="15" s="1"/>
  <c r="M7" i="15"/>
  <c r="F50"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67"/>
  <c r="F31" i="15"/>
  <c r="F42" i="15"/>
  <c r="M24" i="67"/>
  <c r="M26" i="67"/>
  <c r="F16" i="15"/>
  <c r="M28" i="67"/>
  <c r="F7" i="67"/>
  <c r="F26" i="67"/>
  <c r="M23" i="67"/>
  <c r="M28" i="15"/>
  <c r="M29" i="15"/>
  <c r="M8" i="67"/>
  <c r="F36" i="67"/>
  <c r="C16" i="67"/>
  <c r="F13" i="67"/>
  <c r="M8" i="15"/>
  <c r="F40" i="15"/>
  <c r="M9" i="67"/>
  <c r="F9" i="15"/>
  <c r="M9" i="15"/>
  <c r="F8" i="15"/>
  <c r="M22" i="15"/>
  <c r="C76" i="67"/>
  <c r="F6" i="67"/>
  <c r="L48" i="67"/>
  <c r="F13" i="15"/>
  <c r="C17" i="15"/>
  <c r="J53" i="67" l="1"/>
  <c r="Q52" i="67" s="1"/>
  <c r="L58" i="67"/>
  <c r="Q73" i="67" s="1"/>
  <c r="I54" i="67"/>
  <c r="L56" i="67"/>
  <c r="J57" i="67"/>
  <c r="J55" i="67" s="1"/>
  <c r="J58" i="67" s="1"/>
  <c r="Q50" i="67" s="1"/>
  <c r="C10" i="67"/>
  <c r="C6" i="67"/>
  <c r="Q71" i="67"/>
  <c r="C10" i="15"/>
  <c r="C6" i="15"/>
  <c r="F51" i="15"/>
  <c r="F68" i="15"/>
  <c r="F64" i="67"/>
  <c r="C27" i="67"/>
  <c r="M7" i="67"/>
  <c r="J6" i="67" s="1"/>
  <c r="F50" i="67"/>
  <c r="C49" i="67" s="1"/>
  <c r="F19" i="77"/>
  <c r="E30" i="6"/>
  <c r="E31" i="6" s="1"/>
  <c r="D22" i="43"/>
  <c r="B73" i="72"/>
  <c r="B4" i="72"/>
  <c r="E63" i="39"/>
  <c r="C107" i="43"/>
  <c r="C105" i="43"/>
  <c r="G105" i="43"/>
  <c r="G103" i="43"/>
  <c r="K19" i="6"/>
  <c r="S6" i="1" s="1"/>
  <c r="AQ6" i="1" s="1"/>
  <c r="K103" i="43"/>
  <c r="K107" i="43"/>
  <c r="K106" i="43"/>
  <c r="K109" i="43"/>
  <c r="K14" i="1"/>
  <c r="M14" i="1" s="1"/>
  <c r="O14" i="1" s="1"/>
  <c r="P14" i="1" s="1"/>
  <c r="J104" i="43"/>
  <c r="J109" i="43"/>
  <c r="K23" i="6"/>
  <c r="M23" i="6" s="1"/>
  <c r="I23" i="6" s="1"/>
  <c r="S23" i="6" s="1"/>
  <c r="K26" i="6"/>
  <c r="M26" i="6" s="1"/>
  <c r="I26" i="6" s="1"/>
  <c r="S26" i="6" s="1"/>
  <c r="N102" i="43"/>
  <c r="N106" i="43"/>
  <c r="N104" i="43"/>
  <c r="F104" i="43"/>
  <c r="F105" i="43"/>
  <c r="C104" i="43"/>
  <c r="C109" i="43"/>
  <c r="K25" i="6"/>
  <c r="M25" i="6" s="1"/>
  <c r="I25" i="6" s="1"/>
  <c r="S25" i="6" s="1"/>
  <c r="K22" i="6"/>
  <c r="M22" i="6" s="1"/>
  <c r="I22" i="6" s="1"/>
  <c r="S22" i="6" s="1"/>
  <c r="K21" i="6"/>
  <c r="M21" i="6" s="1"/>
  <c r="I21" i="6" s="1"/>
  <c r="S21" i="6" s="1"/>
  <c r="K24" i="6"/>
  <c r="M24" i="6" s="1"/>
  <c r="I24" i="6" s="1"/>
  <c r="S24" i="6" s="1"/>
  <c r="AB11" i="39"/>
  <c r="U11" i="39"/>
  <c r="W11" i="39"/>
  <c r="AC11" i="39"/>
  <c r="AA11" i="39"/>
  <c r="S11" i="39"/>
  <c r="S15" i="21"/>
  <c r="AA15" i="21"/>
  <c r="L59" i="67"/>
  <c r="Q74" i="67" s="1"/>
  <c r="C30" i="69"/>
  <c r="C48" i="68"/>
  <c r="M19" i="6"/>
  <c r="E16" i="6"/>
  <c r="AQ7" i="1"/>
  <c r="E65" i="39"/>
  <c r="E66" i="39" s="1"/>
  <c r="D113" i="43"/>
  <c r="J22" i="43" s="1"/>
  <c r="C23" i="43"/>
  <c r="C21" i="43" s="1"/>
  <c r="C29" i="43" s="1"/>
  <c r="S7" i="43"/>
  <c r="T7" i="43" s="1"/>
  <c r="V7" i="43" s="1"/>
  <c r="S4" i="43"/>
  <c r="T4" i="43" s="1"/>
  <c r="V4" i="43" s="1"/>
  <c r="S6" i="43"/>
  <c r="T6" i="43" s="1"/>
  <c r="V6" i="43" s="1"/>
  <c r="S5" i="43"/>
  <c r="S2" i="43"/>
  <c r="T2" i="43" s="1"/>
  <c r="V2" i="43" s="1"/>
  <c r="S3" i="43"/>
  <c r="T3" i="43" s="1"/>
  <c r="V3" i="43" s="1"/>
  <c r="M20" i="6"/>
  <c r="I20" i="6" s="1"/>
  <c r="S20" i="6" s="1"/>
  <c r="E3" i="6"/>
  <c r="D3" i="34" s="1"/>
  <c r="B4" i="62"/>
  <c r="T7" i="1"/>
  <c r="AR7" i="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D19" i="11"/>
  <c r="C19" i="11" s="1"/>
  <c r="C20" i="11"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C49" i="15"/>
  <c r="Q60" i="15"/>
  <c r="M16" i="1"/>
  <c r="N16" i="1" s="1"/>
  <c r="F27" i="11"/>
  <c r="F1" i="67"/>
  <c r="C16" i="15"/>
  <c r="D14" i="12" l="1"/>
  <c r="D17" i="12" s="1"/>
  <c r="C17" i="12" s="1"/>
  <c r="K27" i="6"/>
  <c r="C5" i="67"/>
  <c r="C32" i="67" s="1"/>
  <c r="Q61" i="67"/>
  <c r="Q60" i="67"/>
  <c r="C5" i="15"/>
  <c r="C32" i="15" s="1"/>
  <c r="AR6" i="1"/>
  <c r="K16" i="1"/>
  <c r="B71" i="72"/>
  <c r="M27" i="6"/>
  <c r="M18" i="9"/>
  <c r="B118" i="9" s="1"/>
  <c r="B14" i="74" s="1"/>
  <c r="B1" i="74" s="1"/>
  <c r="D37" i="1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H20" i="6"/>
  <c r="AB7" i="36"/>
  <c r="T36" i="36" s="1"/>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8" i="15" l="1"/>
  <c r="D10" i="68"/>
  <c r="D19" i="68" s="1"/>
  <c r="R25" i="6"/>
  <c r="D20" i="12"/>
  <c r="C20" i="12" s="1"/>
  <c r="C18" i="12" s="1"/>
  <c r="C34" i="11"/>
  <c r="C35" i="11" s="1"/>
  <c r="D6" i="6"/>
  <c r="R20" i="6"/>
  <c r="R7" i="1" s="1"/>
  <c r="C36" i="11"/>
  <c r="J24" i="67"/>
  <c r="J18" i="67"/>
  <c r="J24" i="15"/>
  <c r="J18" i="15"/>
  <c r="G36" i="36"/>
  <c r="R37" i="36"/>
  <c r="AB7" i="34"/>
  <c r="T49" i="34" s="1"/>
  <c r="G49" i="34" s="1"/>
  <c r="G53" i="34" s="1"/>
  <c r="H53" i="34" s="1"/>
  <c r="W7" i="21"/>
  <c r="AA7" i="21"/>
  <c r="R26" i="6"/>
  <c r="R23" i="6"/>
  <c r="R24" i="6"/>
  <c r="R21" i="6"/>
  <c r="R8" i="1" s="1"/>
  <c r="R22" i="6"/>
  <c r="D30" i="6"/>
  <c r="D16" i="6"/>
  <c r="A7" i="51"/>
  <c r="C4" i="52"/>
  <c r="B45" i="72" s="1"/>
  <c r="A10" i="51"/>
  <c r="D27" i="6"/>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14" i="12"/>
  <c r="E6" i="76"/>
  <c r="B9" i="72" l="1"/>
  <c r="B7" i="72"/>
  <c r="C10" i="68"/>
  <c r="C38" i="11"/>
  <c r="C33" i="11" s="1"/>
  <c r="C42" i="11" s="1"/>
  <c r="D31" i="6"/>
  <c r="I6" i="6" s="1"/>
  <c r="C11" i="21"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F35" i="15"/>
  <c r="F35" i="67"/>
  <c r="M21" i="15"/>
  <c r="M21" i="67"/>
  <c r="B6" i="76"/>
  <c r="J11" i="21" l="1"/>
  <c r="F11" i="21"/>
  <c r="H11" i="21"/>
  <c r="I5" i="6"/>
  <c r="B2" i="76"/>
  <c r="B3" i="76" s="1"/>
  <c r="B3" i="43"/>
  <c r="F63" i="67"/>
  <c r="C62" i="67" s="1"/>
  <c r="C34" i="67"/>
  <c r="J20" i="67"/>
  <c r="C24" i="68"/>
  <c r="J20" i="15"/>
  <c r="F63" i="15"/>
  <c r="C62" i="15" s="1"/>
  <c r="C34" i="15"/>
  <c r="R16" i="1"/>
  <c r="C22" i="12"/>
  <c r="C33" i="68"/>
  <c r="I63" i="40"/>
  <c r="H65" i="40"/>
  <c r="C39" i="11"/>
  <c r="C43" i="11" s="1"/>
  <c r="C41" i="11" s="1"/>
  <c r="I70" i="39"/>
  <c r="S11" i="21" l="1"/>
  <c r="AA11" i="21"/>
  <c r="R48" i="21" s="1"/>
  <c r="U11" i="21"/>
  <c r="AB11" i="21"/>
  <c r="T48" i="21" s="1"/>
  <c r="G48" i="21" s="1"/>
  <c r="W11" i="21"/>
  <c r="AC11" i="21"/>
  <c r="V48" i="21" s="1"/>
  <c r="I48" i="21" s="1"/>
  <c r="C39" i="68"/>
  <c r="C43" i="68" s="1"/>
  <c r="C42" i="68"/>
  <c r="J63" i="40"/>
  <c r="I65" i="40"/>
  <c r="C46" i="11"/>
  <c r="C45" i="11" s="1"/>
  <c r="C49" i="11" s="1"/>
  <c r="C51" i="11" s="1"/>
  <c r="C52" i="11" s="1"/>
  <c r="B2" i="11" s="1"/>
  <c r="B3" i="11" s="1"/>
  <c r="J70" i="39"/>
  <c r="I52" i="21" l="1"/>
  <c r="J52" i="21" s="1"/>
  <c r="G52" i="21"/>
  <c r="H52" i="21" s="1"/>
  <c r="G53" i="21"/>
  <c r="H53" i="21" s="1"/>
  <c r="E48" i="21"/>
  <c r="R49" i="21"/>
  <c r="C41" i="68"/>
  <c r="C46" i="68"/>
  <c r="C45" i="68" s="1"/>
  <c r="K63" i="40"/>
  <c r="J65" i="40"/>
  <c r="K70" i="39"/>
  <c r="C56" i="11"/>
  <c r="C57" i="11" s="1"/>
  <c r="E52" i="21" l="1"/>
  <c r="F52" i="21" s="1"/>
  <c r="E53" i="21"/>
  <c r="F53" i="21" s="1"/>
  <c r="C48" i="21"/>
  <c r="C49" i="21"/>
  <c r="I53" i="21"/>
  <c r="J53" i="21"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D8" i="12" s="1"/>
  <c r="C43" i="67"/>
  <c r="C45" i="67"/>
  <c r="C46" i="67" s="1"/>
  <c r="Q65" i="67"/>
  <c r="Q75" i="67" s="1"/>
  <c r="Q56" i="67"/>
  <c r="Q62" i="67" s="1"/>
  <c r="Q47" i="67"/>
  <c r="Q53" i="67" s="1"/>
  <c r="D2" i="67"/>
  <c r="B2" i="67" s="1"/>
  <c r="AO7" i="1"/>
  <c r="AO6" i="1"/>
  <c r="AO8" i="1"/>
  <c r="E2" i="69"/>
  <c r="B3" i="15" l="1"/>
  <c r="B8" i="70"/>
  <c r="B7" i="70"/>
  <c r="B6" i="70"/>
  <c r="C46" i="15"/>
  <c r="B2" i="69"/>
  <c r="B3" i="69" s="1"/>
  <c r="B3" i="67"/>
  <c r="D2" i="33"/>
  <c r="D2" i="37"/>
  <c r="D2" i="35"/>
  <c r="F20" i="31"/>
  <c r="E2" i="68"/>
  <c r="D2" i="36"/>
  <c r="D2" i="21"/>
  <c r="D2" i="34"/>
  <c r="D6" i="12" l="1"/>
  <c r="B20" i="31"/>
  <c r="B2" i="36"/>
  <c r="B3" i="36" s="1"/>
  <c r="B2" i="35"/>
  <c r="B3" i="35" s="1"/>
  <c r="B2" i="37"/>
  <c r="B3" i="37" s="1"/>
  <c r="B2" i="34"/>
  <c r="B3" i="34" s="1"/>
  <c r="B2" i="21"/>
  <c r="B2" i="70"/>
  <c r="B3" i="70" s="1"/>
  <c r="B3" i="21" l="1"/>
  <c r="C6" i="12" s="1"/>
  <c r="C8" i="12"/>
  <c r="C4" i="12" s="1"/>
  <c r="C31" i="12" l="1"/>
  <c r="C23" i="12"/>
  <c r="C27" i="12" l="1"/>
  <c r="C25" i="12" s="1"/>
  <c r="C30" i="12"/>
  <c r="C28" i="12" s="1"/>
  <c r="H109" i="9"/>
  <c r="C32" i="12" l="1"/>
  <c r="B2" i="12" s="1"/>
  <c r="B3" i="12" s="1"/>
  <c r="H110" i="9"/>
  <c r="D18" i="53" s="1"/>
  <c r="B35" i="72" s="1"/>
  <c r="D124" i="9"/>
  <c r="D16" i="53"/>
  <c r="B34" i="72" s="1"/>
  <c r="D19" i="9"/>
  <c r="D20" i="9"/>
  <c r="D21" i="9" l="1"/>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C102" i="9" l="1"/>
  <c r="G19" i="9"/>
  <c r="C21" i="9"/>
  <c r="D22" i="9"/>
  <c r="B3" i="68"/>
  <c r="C32" i="9"/>
  <c r="D35" i="9"/>
  <c r="D34" i="9"/>
  <c r="C20" i="9"/>
  <c r="G21" i="9" l="1"/>
  <c r="C103" i="9"/>
  <c r="G20" i="9"/>
  <c r="C35" i="9"/>
  <c r="F118" i="9" s="1"/>
  <c r="H118" i="9"/>
  <c r="G118" i="9" l="1"/>
  <c r="G4" i="52" s="1"/>
  <c r="F4" i="52"/>
  <c r="F119" i="9"/>
  <c r="F5" i="52" s="1"/>
  <c r="C104" i="9"/>
  <c r="I118" i="9"/>
  <c r="D14" i="74"/>
  <c r="H101" i="9"/>
  <c r="H119" i="9"/>
  <c r="H5" i="52" s="1"/>
  <c r="H4" i="52"/>
  <c r="C34" i="9"/>
  <c r="D118" i="9" s="1"/>
  <c r="B53" i="72" l="1"/>
  <c r="B52" i="72"/>
  <c r="B51" i="72"/>
  <c r="D119" i="9"/>
  <c r="D5" i="52" s="1"/>
  <c r="D4" i="52"/>
  <c r="M48" i="9"/>
  <c r="H107" i="9"/>
  <c r="D45" i="9"/>
  <c r="D5" i="53"/>
  <c r="C105" i="9"/>
  <c r="E118" i="9"/>
  <c r="E4" i="52" s="1"/>
  <c r="I4" i="52"/>
  <c r="H102" i="9"/>
  <c r="D7" i="53" s="1"/>
  <c r="E14" i="74"/>
  <c r="F14" i="74"/>
  <c r="B5" i="74"/>
  <c r="B21" i="72" l="1"/>
  <c r="B49" i="72"/>
  <c r="B48" i="72"/>
  <c r="B47" i="72"/>
  <c r="D5" i="74"/>
  <c r="C5" i="74"/>
  <c r="D53" i="9"/>
  <c r="C93" i="9"/>
  <c r="C86" i="9" s="1"/>
  <c r="C78" i="9"/>
  <c r="C73" i="9" s="1"/>
  <c r="C72" i="9"/>
  <c r="C64" i="9"/>
  <c r="C63" i="9" s="1"/>
  <c r="C67" i="9" s="1"/>
  <c r="C68" i="9" s="1"/>
  <c r="D54" i="9" s="1"/>
  <c r="D52" i="9"/>
  <c r="C85" i="9"/>
  <c r="D55" i="9"/>
  <c r="M53" i="9" s="1"/>
  <c r="B20" i="72"/>
  <c r="D6" i="53"/>
  <c r="M49" i="9"/>
  <c r="H108" i="9"/>
  <c r="D15" i="53" s="1"/>
  <c r="D13" i="53"/>
  <c r="D122" i="9"/>
  <c r="B31" i="72" l="1"/>
  <c r="B22" i="72"/>
  <c r="C79" i="9"/>
  <c r="C95" i="9"/>
  <c r="G14" i="74"/>
  <c r="B6" i="74" s="1"/>
  <c r="D8" i="52"/>
  <c r="D123" i="9"/>
  <c r="D9" i="52" s="1"/>
  <c r="D14" i="53"/>
  <c r="B30" i="72"/>
  <c r="L68" i="9"/>
  <c r="M68" i="9" s="1"/>
  <c r="L64" i="9"/>
  <c r="M64" i="9" s="1"/>
  <c r="L63" i="9"/>
  <c r="M63" i="9" s="1"/>
  <c r="L65" i="9"/>
  <c r="M65" i="9" s="1"/>
  <c r="L67" i="9"/>
  <c r="M67" i="9" s="1"/>
  <c r="L66" i="9"/>
  <c r="M66" i="9" s="1"/>
  <c r="C96" i="9"/>
  <c r="E96" i="9" s="1"/>
  <c r="E97" i="9" s="1"/>
  <c r="C80" i="9"/>
  <c r="E80" i="9" s="1"/>
  <c r="E81" i="9" s="1"/>
  <c r="B32" i="72" l="1"/>
  <c r="C81" i="9"/>
  <c r="C97" i="9"/>
  <c r="D58" i="9" s="1"/>
  <c r="D56" i="9" s="1"/>
  <c r="M54" i="9" s="1"/>
  <c r="N57" i="9" s="1"/>
  <c r="N58" i="9" s="1"/>
  <c r="C6" i="74"/>
  <c r="D6" i="74"/>
  <c r="M69" i="9"/>
  <c r="N69"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<sst xmlns="http://schemas.openxmlformats.org/spreadsheetml/2006/main" count="7527" uniqueCount="3198">
  <si>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</si>
  <si>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</si>
  <si>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</si>
  <si>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</si>
  <si>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</si>
  <si>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</si>
  <si>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</si>
  <si>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</si>
  <si>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</si>
  <si>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</si>
  <si>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</si>
  <si>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</si>
  <si>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</si>
  <si>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</si>
  <si>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</si>
  <si>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</si>
  <si>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</si>
  <si>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</si>
  <si>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</si>
  <si>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</si>
  <si>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</si>
  <si>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</si>
  <si>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</si>
  <si>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</si>
  <si>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</si>
  <si>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</si>
  <si>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</si>
  <si>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</si>
  <si>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</si>
  <si>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</si>
  <si>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</si>
  <si>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</si>
  <si>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</si>
  <si>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</si>
  <si>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</si>
  <si>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</si>
  <si>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</si>
  <si>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</si>
  <si>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</si>
  <si>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</si>
  <si>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</si>
  <si>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</si>
  <si>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</si>
  <si>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</si>
  <si>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</si>
  <si>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</si>
  <si>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</si>
  <si>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</si>
  <si>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</si>
  <si>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</si>
  <si>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</si>
  <si>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</si>
  <si>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</si>
  <si>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</si>
  <si>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</si>
  <si>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</si>
  <si>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</si>
  <si>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</si>
  <si>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</si>
  <si>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</si>
  <si>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</si>
  <si>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</si>
  <si>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</si>
  <si>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</si>
  <si>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</si>
  <si>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</si>
  <si>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</si>
  <si>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</si>
  <si>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</si>
  <si>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</si>
  <si>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</si>
  <si>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</si>
  <si>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</si>
  <si>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</si>
  <si>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</si>
  <si>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</si>
  <si>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</si>
  <si>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</si>
  <si>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</si>
  <si>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</si>
  <si>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</si>
  <si>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</si>
  <si>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</si>
  <si>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</si>
  <si>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</si>
  <si>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</si>
  <si>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</si>
  <si>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</si>
  <si>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</si>
  <si>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</si>
  <si>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</si>
  <si>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</si>
  <si>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</si>
  <si>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</si>
  <si>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</si>
  <si>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</si>
  <si>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</si>
  <si>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</si>
  <si>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</si>
  <si>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</si>
  <si>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</si>
  <si>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</si>
  <si>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</si>
  <si>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</si>
  <si>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</si>
  <si>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</si>
  <si>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</si>
  <si>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</si>
  <si>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</si>
  <si>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</si>
  <si>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</si>
  <si>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</si>
  <si>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</si>
  <si>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</si>
  <si>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</si>
  <si>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</si>
  <si>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</si>
  <si>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</si>
  <si>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</si>
  <si>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</si>
  <si>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</si>
  <si>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</si>
  <si>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</si>
  <si>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</si>
  <si>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</si>
  <si>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</si>
  <si>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</si>
  <si>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</si>
  <si>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</si>
  <si>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</si>
  <si>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</si>
  <si>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</si>
  <si>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</si>
  <si>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</si>
  <si>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</si>
  <si>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</si>
  <si>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</si>
  <si>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</si>
  <si>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</si>
  <si>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</si>
  <si>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</si>
  <si>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</si>
  <si>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</si>
  <si>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</si>
  <si>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</si>
  <si>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</si>
  <si>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</si>
  <si>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</si>
  <si>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</si>
  <si>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</si>
  <si>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</si>
  <si>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</si>
  <si>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</si>
  <si>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</si>
  <si>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</si>
  <si>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</si>
  <si>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</si>
  <si>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</si>
  <si>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</si>
  <si>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</si>
  <si>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</si>
  <si>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</si>
  <si>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</si>
  <si>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</si>
  <si>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</si>
  <si>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</si>
  <si>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</si>
  <si>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</si>
  <si>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</si>
  <si>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</si>
  <si>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</si>
  <si>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</si>
  <si>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</si>
  <si>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</si>
  <si>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</si>
  <si>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</si>
  <si>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</si>
  <si>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</si>
  <si>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</si>
  <si>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</si>
  <si>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</si>
  <si>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</si>
  <si>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</si>
  <si>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</si>
  <si>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</si>
  <si>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</si>
  <si>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</si>
  <si>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</si>
  <si>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</si>
  <si>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</si>
  <si>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</si>
  <si>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</si>
  <si>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</si>
  <si>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</si>
  <si>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</si>
  <si>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</si>
  <si>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</si>
  <si>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</si>
  <si>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</si>
  <si>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</si>
  <si>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</si>
  <si>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</si>
  <si>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</si>
  <si>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</si>
  <si>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</si>
  <si>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</si>
  <si>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</si>
  <si>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</si>
  <si>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</si>
  <si>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</si>
  <si>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</si>
  <si>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</si>
  <si>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</si>
  <si>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</si>
  <si>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</si>
  <si>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</si>
  <si>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</si>
  <si>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</si>
  <si>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</si>
  <si>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</si>
  <si>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</si>
  <si>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</si>
  <si>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</si>
  <si>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</si>
  <si>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</si>
  <si>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</si>
  <si>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</si>
  <si>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</si>
  <si>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</si>
  <si>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</si>
  <si>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</si>
  <si>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</si>
  <si>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</si>
  <si>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</si>
  <si>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</si>
  <si>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</si>
  <si>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</si>
  <si>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</si>
  <si>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</si>
  <si>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</si>
  <si>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</si>
  <si>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</si>
  <si>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</si>
  <si>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</si>
  <si>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</si>
  <si>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</si>
  <si>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</si>
  <si>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</si>
  <si>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</si>
  <si>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</si>
  <si>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</si>
  <si>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</si>
  <si>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</si>
  <si>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</si>
  <si>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</si>
  <si>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</si>
  <si>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</si>
  <si>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</si>
  <si>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</si>
  <si>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</si>
  <si>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</si>
  <si>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</si>
  <si>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</si>
  <si>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</si>
  <si>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</si>
  <si>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</si>
  <si>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</si>
  <si>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</si>
  <si>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</si>
  <si>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</si>
  <si>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</si>
  <si>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</si>
  <si>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</si>
  <si>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</si>
  <si>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</si>
  <si>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</si>
  <si>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</si>
  <si>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</si>
  <si>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</si>
  <si>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</si>
  <si>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</si>
  <si>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</si>
  <si>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</si>
  <si>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</si>
  <si>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</si>
  <si>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</si>
  <si>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</si>
  <si>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</si>
  <si>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</si>
  <si>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</si>
  <si>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</si>
  <si>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</si>
  <si>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</si>
  <si>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</si>
  <si>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</si>
  <si>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</si>
  <si>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</si>
  <si>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</si>
  <si>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</si>
  <si>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</si>
  <si>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</si>
  <si>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</si>
  <si>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</si>
  <si>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</si>
  <si>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</si>
  <si>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</si>
  <si>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</si>
  <si>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</si>
  <si>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</si>
  <si>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</si>
  <si>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</si>
  <si>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</si>
  <si>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</si>
  <si>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</si>
  <si>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</si>
  <si>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</si>
  <si>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</si>
  <si>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</si>
  <si>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</si>
  <si>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</si>
  <si>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</si>
  <si>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</si>
  <si>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</si>
  <si>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</si>
  <si>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</si>
  <si>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</si>
  <si>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</si>
  <si>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</si>
  <si>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</si>
  <si>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</si>
  <si>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</si>
  <si>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</si>
  <si>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</si>
  <si>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</si>
  <si>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</si>
  <si>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</si>
  <si>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</si>
  <si>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</si>
  <si>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</si>
  <si>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</si>
  <si>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</si>
  <si>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</si>
  <si>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</si>
  <si>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</si>
  <si>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</si>
  <si>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</si>
  <si>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</si>
  <si>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</si>
  <si>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</si>
  <si>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</si>
  <si>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</si>
  <si>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</si>
  <si>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</si>
  <si>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</si>
  <si>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</si>
  <si>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</si>
  <si>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</si>
  <si>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</si>
  <si>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</si>
  <si>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</si>
  <si>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</si>
  <si>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</si>
  <si>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</si>
  <si>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</si>
  <si>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</si>
  <si>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</si>
  <si>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</si>
  <si>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</si>
  <si>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</si>
  <si>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</si>
  <si>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</si>
  <si>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</si>
  <si>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</si>
  <si>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</si>
  <si>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</si>
  <si>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</si>
  <si>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</si>
  <si>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</si>
  <si>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</si>
  <si>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</si>
  <si>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</si>
  <si>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</si>
  <si>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</si>
  <si>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</si>
  <si>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</si>
  <si>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</si>
  <si>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</si>
  <si>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</si>
  <si>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</si>
  <si>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</si>
  <si>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</si>
  <si>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</si>
  <si>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</si>
  <si>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</si>
  <si>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</si>
  <si>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</si>
  <si>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</si>
  <si>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</si>
  <si>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</si>
  <si>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</si>
  <si>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</si>
  <si>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</si>
  <si>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</si>
  <si>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</si>
  <si>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</si>
  <si>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</si>
  <si>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</si>
  <si>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</si>
  <si>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</si>
  <si>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</si>
  <si>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</si>
  <si>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</si>
  <si>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</si>
  <si>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</si>
  <si>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</si>
  <si>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</si>
  <si>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</si>
  <si>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</si>
  <si>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</si>
  <si>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</si>
  <si>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</si>
  <si>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</si>
  <si>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</si>
  <si>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</si>
  <si>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</si>
  <si>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</si>
  <si>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</si>
  <si>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</si>
  <si>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</si>
  <si>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</si>
  <si>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</si>
  <si>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</si>
  <si>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</si>
  <si>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</si>
  <si>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</si>
  <si>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</si>
  <si>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</si>
  <si>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</si>
  <si>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</si>
  <si>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</si>
  <si>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</si>
  <si>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</si>
  <si>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</si>
  <si>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</si>
  <si>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</si>
  <si>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</si>
  <si>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</si>
  <si>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</si>
  <si>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</si>
  <si>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</si>
  <si>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</si>
  <si>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</si>
  <si>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</si>
  <si>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</si>
  <si>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</si>
  <si>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</si>
  <si>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</si>
  <si>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</si>
  <si>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</si>
  <si>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</si>
  <si>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</si>
  <si>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</si>
  <si>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</si>
  <si>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</si>
  <si>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</si>
  <si>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</si>
  <si>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</si>
  <si>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</si>
  <si>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</si>
  <si>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</si>
  <si>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</si>
  <si>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</si>
  <si>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</si>
  <si>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</si>
  <si>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</si>
  <si>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</si>
  <si>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</si>
  <si>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</si>
  <si>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</si>
  <si>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</si>
  <si>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</si>
  <si>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</si>
  <si>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</si>
  <si>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</si>
  <si>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</si>
  <si>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</si>
  <si>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</si>
  <si>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</si>
  <si>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</si>
  <si>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</si>
  <si>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</si>
  <si>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</si>
  <si>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</si>
  <si>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</si>
  <si>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</si>
  <si>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</si>
  <si>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</si>
  <si>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</si>
  <si>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</si>
  <si>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</si>
  <si>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</si>
  <si>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</si>
  <si>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</si>
  <si>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</si>
  <si>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</si>
  <si>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</si>
  <si>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</si>
  <si>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</si>
  <si>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</si>
  <si>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</si>
  <si>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</si>
  <si>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</si>
  <si>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</si>
  <si>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</si>
  <si>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</si>
  <si>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</si>
  <si>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</si>
  <si>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</si>
  <si>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</si>
  <si>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</si>
  <si>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</si>
  <si>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</si>
  <si>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</si>
  <si>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</si>
  <si>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</si>
  <si>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</si>
  <si>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</si>
  <si>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</si>
  <si>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</si>
  <si>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</si>
  <si>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</si>
  <si>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</si>
  <si>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</si>
  <si>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</si>
  <si>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</si>
  <si>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</si>
  <si>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</si>
  <si>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</si>
  <si>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</si>
  <si>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</si>
  <si>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</si>
  <si>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</si>
  <si>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</si>
  <si>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</si>
  <si>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</si>
  <si>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</si>
  <si>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</si>
  <si>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</si>
  <si>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</si>
  <si>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</si>
  <si>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</si>
  <si>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</si>
  <si>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</si>
  <si>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</si>
  <si>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</si>
  <si>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</si>
  <si>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</si>
  <si>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</si>
  <si>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</si>
  <si>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</si>
  <si>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</si>
  <si>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</si>
  <si>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</si>
  <si>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</si>
  <si>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</si>
  <si>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</si>
  <si>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</si>
  <si>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</si>
  <si>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</si>
  <si>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</si>
  <si>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</si>
  <si>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</si>
  <si>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</si>
  <si>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</si>
  <si>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</si>
  <si>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</si>
  <si>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</si>
  <si>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</si>
  <si>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</si>
  <si>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</si>
  <si>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</si>
  <si>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</si>
  <si>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</si>
  <si>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</si>
  <si>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</si>
  <si>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</si>
  <si>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</si>
  <si>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</si>
  <si>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</si>
  <si>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</si>
  <si>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</si>
  <si>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</si>
  <si>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</si>
  <si>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</si>
  <si>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</si>
  <si>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</si>
  <si>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</si>
  <si>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</si>
  <si>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</si>
  <si>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</si>
  <si>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</si>
  <si>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</si>
  <si>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</si>
  <si>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</si>
  <si>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</si>
  <si>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</si>
  <si>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</si>
  <si>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</si>
  <si>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</si>
  <si>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</si>
  <si>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</si>
  <si>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</si>
  <si>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</si>
  <si>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</si>
  <si>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</si>
  <si>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</si>
  <si>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</si>
  <si>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</si>
  <si>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</si>
  <si>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</si>
  <si>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</si>
  <si>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</si>
  <si>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</si>
  <si>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</si>
  <si>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</si>
  <si>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</si>
  <si>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</si>
  <si>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</si>
  <si>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</si>
  <si>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</si>
  <si>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</si>
  <si>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</si>
  <si>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</si>
  <si>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</si>
  <si>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</si>
  <si>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</si>
  <si>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</si>
  <si>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</si>
  <si>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</si>
  <si>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</si>
  <si>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</si>
  <si>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</si>
  <si>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</si>
  <si>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</si>
  <si>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</si>
  <si>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</si>
  <si>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</si>
  <si>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</si>
  <si>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</si>
  <si>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</si>
  <si>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</si>
  <si>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</si>
  <si>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</si>
  <si>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</si>
  <si>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</si>
  <si>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</si>
  <si>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</si>
  <si>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</si>
  <si>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</si>
  <si>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</si>
  <si>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</si>
  <si>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</si>
  <si>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</si>
  <si>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</si>
  <si>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</si>
  <si>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</si>
  <si>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</si>
  <si>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</si>
  <si>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</si>
  <si>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</si>
  <si>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</si>
  <si>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</si>
  <si>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</si>
  <si>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</si>
  <si>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</si>
  <si>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</si>
  <si>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</si>
  <si>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</si>
  <si>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</si>
  <si>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</si>
  <si>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</si>
  <si>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</si>
  <si>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</si>
  <si>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</si>
  <si>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</si>
  <si>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</si>
  <si>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</si>
  <si>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</si>
  <si>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</si>
  <si>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</si>
  <si>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</si>
  <si>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</si>
  <si>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</si>
  <si>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</si>
  <si>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</si>
  <si>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</si>
  <si>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</si>
  <si>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</si>
  <si>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</si>
  <si>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</si>
  <si>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</si>
  <si>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</si>
  <si>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</si>
  <si>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</si>
  <si>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</si>
  <si>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</si>
  <si>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</si>
  <si>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</si>
  <si>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</si>
  <si>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</si>
  <si>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</si>
  <si>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</si>
  <si>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</si>
  <si>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</si>
  <si>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</si>
  <si>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</si>
  <si>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</si>
  <si>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</si>
  <si>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</si>
  <si>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</si>
  <si>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</si>
  <si>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</si>
  <si>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</si>
  <si>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</si>
  <si>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</si>
  <si>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</si>
  <si>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</si>
  <si>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</si>
  <si>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</si>
  <si>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</si>
  <si>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</si>
  <si>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</si>
  <si>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</si>
  <si>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</si>
  <si>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</si>
  <si>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</si>
  <si>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</si>
  <si>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</si>
  <si>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</si>
  <si>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</si>
  <si>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</si>
  <si>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</si>
  <si>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</si>
  <si>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</si>
  <si>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</si>
  <si>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</si>
  <si>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</si>
  <si>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</si>
  <si>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</si>
  <si>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</si>
  <si>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</si>
  <si>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</si>
  <si>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</si>
  <si>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</si>
  <si>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</si>
  <si>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</si>
  <si>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</si>
  <si>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</si>
  <si>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</si>
  <si>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</si>
  <si>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</si>
  <si>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</si>
  <si>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</si>
  <si>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</si>
  <si>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</si>
  <si>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</si>
  <si>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</si>
  <si>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</si>
  <si>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</si>
  <si>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</si>
  <si>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</si>
  <si>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</si>
  <si>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</si>
  <si>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</si>
  <si>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</si>
  <si>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</si>
  <si>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</si>
  <si>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</si>
  <si>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</si>
  <si>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</si>
  <si>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</si>
  <si>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</si>
  <si>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</si>
  <si>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</si>
  <si>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</si>
  <si>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</si>
  <si>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</si>
  <si>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</si>
  <si>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</si>
  <si>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</si>
  <si>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</si>
  <si>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</si>
  <si>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</si>
  <si>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</si>
  <si>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</si>
  <si>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</si>
  <si>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</si>
  <si>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</si>
  <si>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</si>
  <si>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</si>
  <si>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</si>
  <si>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</si>
  <si>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</si>
  <si>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</si>
  <si>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</si>
  <si>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</si>
  <si>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</si>
  <si>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</si>
  <si>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</si>
  <si>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</si>
  <si>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</si>
  <si>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</si>
  <si>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</si>
  <si>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</si>
  <si>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</si>
  <si>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</si>
  <si>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</si>
  <si>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</si>
  <si>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</si>
  <si>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</si>
  <si>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</si>
  <si>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</si>
  <si>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</si>
  <si>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</si>
  <si>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</si>
  <si>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</si>
  <si>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</si>
  <si>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</si>
  <si>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</si>
  <si>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</si>
  <si>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</si>
  <si>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</si>
  <si>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</si>
  <si>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</si>
  <si>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</si>
  <si>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</si>
  <si>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</si>
  <si>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</si>
  <si>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</si>
  <si>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</si>
  <si>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</si>
  <si>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</si>
  <si>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</si>
  <si>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</si>
  <si>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</si>
  <si>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</si>
  <si>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</si>
  <si>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</si>
  <si>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</si>
  <si>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</si>
  <si>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</si>
  <si>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</si>
  <si>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</si>
  <si>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</si>
  <si>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</si>
  <si>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</si>
  <si>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</si>
  <si>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</si>
  <si>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</si>
  <si>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</si>
  <si>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</si>
  <si>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</si>
  <si>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</si>
  <si>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</si>
  <si>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</si>
  <si>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</si>
  <si>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</si>
  <si>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</si>
  <si>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</si>
  <si>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</si>
  <si>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</si>
  <si>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</si>
  <si>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</si>
  <si>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</si>
  <si>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</si>
  <si>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</si>
  <si>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</si>
  <si>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</si>
  <si>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</si>
  <si>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</si>
  <si>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</si>
  <si>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</si>
  <si>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</si>
  <si>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</si>
  <si>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</si>
  <si>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</si>
  <si>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</si>
  <si>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</si>
  <si>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</si>
  <si>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</si>
  <si>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</si>
  <si>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</si>
  <si>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</si>
  <si>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</si>
  <si>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</si>
  <si>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</si>
  <si>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</si>
  <si>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</si>
  <si>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</si>
  <si>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</si>
  <si>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</si>
  <si>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</si>
  <si>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</si>
  <si>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</si>
  <si>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</si>
  <si>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</si>
  <si>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</si>
  <si>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</si>
  <si>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</si>
  <si>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</si>
  <si>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</si>
  <si>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</si>
  <si>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</si>
  <si>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</si>
  <si>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</si>
  <si>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</si>
  <si>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</si>
  <si>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</si>
  <si>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</si>
  <si>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</si>
  <si>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</si>
  <si>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</si>
  <si>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</si>
  <si>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</si>
  <si>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</si>
  <si>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</si>
  <si>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</si>
  <si>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</si>
  <si>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</si>
  <si>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</si>
  <si>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</si>
  <si>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</si>
  <si>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</si>
  <si>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</si>
  <si>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</si>
  <si>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</si>
  <si>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</si>
  <si>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</si>
  <si>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</si>
  <si>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</si>
  <si>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</si>
  <si>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</si>
  <si>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</si>
  <si>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</si>
  <si>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</si>
  <si>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</si>
  <si>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</si>
  <si>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</si>
  <si>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</si>
  <si>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</si>
  <si>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</si>
  <si>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</si>
  <si>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</si>
  <si>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</si>
  <si>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</si>
  <si>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</si>
  <si>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</si>
  <si>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</si>
  <si>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</si>
  <si>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</si>
  <si>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</si>
  <si>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</si>
  <si>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</si>
  <si>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</si>
  <si>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</si>
  <si>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</si>
  <si>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</si>
  <si>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</si>
  <si>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</si>
  <si>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</si>
  <si>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</si>
  <si>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</si>
  <si>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</si>
  <si>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</si>
  <si>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</si>
  <si>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</si>
  <si>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</si>
  <si>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</si>
  <si>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</si>
  <si>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</si>
  <si>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</si>
  <si>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</si>
  <si>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</si>
  <si>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</si>
  <si>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</si>
  <si>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</si>
  <si>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</si>
  <si>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</si>
  <si>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</si>
  <si>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</si>
  <si>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</si>
  <si>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</si>
  <si>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</si>
  <si>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</si>
  <si>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</si>
  <si>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</si>
  <si>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</si>
  <si>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</si>
  <si>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</si>
  <si>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</si>
  <si>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</si>
  <si>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</si>
  <si>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</si>
  <si>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</si>
  <si>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</si>
  <si>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</si>
  <si>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</si>
  <si>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</si>
  <si>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</si>
  <si>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</si>
  <si>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</si>
  <si>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</si>
  <si>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</si>
  <si>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</si>
  <si>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</si>
  <si>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</si>
  <si>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</si>
  <si>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</si>
  <si>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</si>
  <si>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</si>
  <si>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</si>
  <si>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</si>
  <si>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</si>
  <si>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</si>
  <si>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</si>
  <si>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</si>
  <si>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</si>
  <si>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</si>
  <si>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</si>
  <si>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</si>
  <si>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</si>
  <si>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</si>
  <si>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</si>
  <si>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</si>
  <si>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</si>
  <si>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</si>
  <si>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</si>
  <si>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</si>
  <si>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</si>
  <si>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</si>
  <si>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</si>
  <si>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</si>
  <si>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</si>
  <si>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</si>
  <si>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</si>
  <si>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</si>
  <si>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</si>
  <si>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</si>
  <si>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</si>
  <si>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</si>
  <si>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</si>
  <si>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</si>
  <si>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</si>
  <si>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</si>
  <si>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</si>
  <si>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</si>
  <si>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</si>
  <si>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</si>
  <si>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</si>
  <si>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</si>
  <si>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</si>
  <si>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</si>
  <si>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</si>
  <si>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</si>
  <si>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</si>
  <si>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</si>
  <si>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</si>
  <si>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</si>
  <si>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</si>
  <si>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</si>
  <si>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</si>
  <si>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</si>
  <si>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</si>
  <si>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</si>
  <si>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</si>
  <si>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</si>
  <si>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</si>
  <si>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</si>
  <si>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</si>
  <si>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</si>
  <si>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</si>
  <si>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</si>
  <si>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</si>
  <si>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</si>
  <si>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</si>
  <si>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</si>
  <si>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</si>
  <si>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</si>
  <si>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</si>
  <si>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</si>
  <si>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</si>
  <si>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</si>
  <si>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</si>
  <si>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</si>
  <si>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</si>
  <si>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</si>
  <si>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</si>
  <si>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</si>
  <si>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</si>
  <si>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</si>
  <si>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</si>
  <si>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</si>
  <si>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</si>
  <si>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</si>
  <si>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</si>
  <si>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</si>
  <si>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</si>
  <si>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</si>
  <si>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</si>
  <si>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</si>
  <si>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</si>
  <si>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</si>
  <si>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</si>
  <si>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</si>
  <si>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</si>
  <si>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</si>
  <si>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</si>
  <si>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</si>
  <si>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</si>
  <si>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</si>
  <si>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</si>
  <si>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</si>
  <si>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</si>
  <si>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</si>
  <si>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</si>
  <si>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</si>
  <si>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</si>
  <si>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</si>
  <si>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</si>
  <si>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</si>
  <si>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</si>
  <si>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</si>
  <si>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</si>
  <si>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</si>
  <si>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</si>
  <si>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</si>
  <si>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</si>
  <si>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</si>
  <si>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</si>
  <si>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</si>
  <si>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</si>
  <si>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</si>
  <si>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</si>
  <si>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</si>
  <si>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</si>
  <si>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</si>
  <si>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</si>
  <si>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</si>
  <si>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</si>
  <si>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</si>
  <si>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</si>
  <si>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</si>
  <si>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</si>
  <si>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</si>
  <si>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</si>
  <si>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</si>
  <si>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</si>
  <si>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</si>
  <si>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</si>
  <si>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</si>
  <si>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</si>
  <si>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</si>
  <si>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</si>
  <si>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</si>
  <si>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</si>
  <si>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</si>
  <si>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</si>
  <si>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</si>
  <si>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</si>
  <si>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</si>
  <si>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</si>
  <si>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</si>
  <si>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</si>
  <si>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</si>
  <si>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</si>
  <si>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</si>
  <si>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</si>
  <si>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</si>
  <si>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</si>
  <si>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</si>
  <si>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</si>
  <si>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</si>
  <si>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</si>
  <si>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</si>
  <si>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</si>
  <si>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</si>
  <si>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</si>
  <si>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</si>
  <si>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</si>
  <si>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</si>
  <si>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</si>
  <si>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</si>
  <si>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</si>
  <si>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</si>
  <si>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</si>
  <si>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</si>
  <si>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</si>
  <si>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</si>
  <si>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</si>
  <si>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</si>
  <si>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</si>
  <si>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</si>
  <si>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</si>
  <si>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</si>
  <si>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</si>
  <si>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</si>
  <si>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</si>
  <si>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</si>
  <si>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</si>
  <si>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</si>
  <si>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</si>
  <si>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</si>
  <si>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</si>
  <si>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</si>
  <si>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</si>
  <si>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</si>
  <si>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</si>
  <si>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</si>
  <si>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</si>
  <si>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</si>
  <si>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</si>
  <si>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</si>
  <si>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</si>
  <si>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</si>
  <si>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</si>
  <si>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</si>
  <si>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</si>
  <si>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</si>
  <si>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</si>
  <si>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</si>
  <si>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</si>
  <si>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</si>
  <si>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</si>
  <si>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</si>
  <si>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</si>
  <si>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</si>
  <si>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</si>
  <si>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</si>
  <si>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</si>
  <si>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</si>
  <si>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</si>
  <si>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</si>
  <si>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</si>
  <si>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</si>
  <si>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</si>
  <si>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</si>
  <si>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</si>
  <si>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</si>
  <si>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</si>
  <si>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</si>
  <si>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</si>
  <si>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</si>
  <si>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</si>
  <si>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</si>
  <si>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</si>
  <si>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</si>
  <si>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</si>
  <si>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</si>
  <si>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</si>
  <si>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</si>
  <si>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</si>
  <si>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</si>
  <si>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</si>
  <si>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</si>
  <si>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</si>
  <si>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</si>
  <si>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</si>
  <si>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</si>
  <si>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</si>
  <si>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</si>
  <si>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</si>
  <si>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</si>
  <si>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</si>
  <si>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</si>
  <si>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</si>
  <si>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</si>
  <si>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</si>
  <si>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</si>
  <si>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</si>
  <si>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</si>
  <si>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</si>
  <si>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</si>
  <si>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</si>
  <si>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</si>
  <si>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</si>
  <si>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</si>
  <si>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</si>
  <si>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</si>
  <si>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</si>
  <si>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</si>
  <si>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</si>
  <si>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</si>
  <si>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</si>
  <si>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</si>
  <si>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</si>
  <si>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</si>
  <si>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</si>
  <si>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</si>
  <si>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</si>
  <si>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</si>
  <si>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</si>
  <si>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</si>
  <si>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</si>
  <si>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</si>
  <si>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</si>
  <si>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</si>
  <si>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</si>
  <si>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</si>
  <si>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</si>
  <si>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</si>
  <si>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</si>
  <si>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</si>
  <si>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</si>
  <si>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</si>
  <si>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</si>
  <si>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</si>
  <si>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</si>
  <si>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</si>
  <si>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</si>
  <si>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</si>
  <si>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</si>
  <si>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</si>
  <si>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</si>
  <si>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</si>
  <si>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</si>
  <si>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</si>
  <si>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</si>
  <si>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</si>
  <si>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</si>
  <si>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</si>
  <si>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</si>
  <si>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</si>
  <si>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</si>
  <si>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</si>
  <si>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</si>
  <si>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</si>
  <si>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</si>
  <si>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</si>
  <si>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</si>
  <si>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</si>
  <si>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</si>
  <si>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</si>
  <si>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</si>
  <si>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</si>
  <si>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</si>
  <si>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</si>
  <si>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</si>
  <si>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</si>
  <si>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</si>
  <si>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</si>
  <si>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</si>
  <si>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</si>
  <si>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</si>
  <si>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</si>
  <si>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</si>
  <si>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</si>
  <si>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</si>
  <si>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</si>
  <si>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</si>
  <si>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</si>
  <si>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</si>
  <si>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</si>
  <si>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</si>
  <si>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</si>
  <si>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</si>
  <si>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</si>
  <si>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</si>
  <si>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</si>
  <si>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</si>
  <si>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</si>
  <si>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</si>
  <si>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</si>
  <si>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</si>
  <si>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</si>
  <si>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</si>
  <si>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</si>
  <si>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</si>
  <si>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</si>
  <si>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</si>
  <si>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</si>
  <si>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</si>
  <si>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</si>
  <si>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</si>
  <si>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</si>
  <si>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</si>
  <si>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</si>
  <si>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</si>
  <si>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</si>
  <si>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</si>
  <si>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</si>
  <si>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</si>
  <si>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</si>
  <si>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</si>
  <si>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</si>
  <si>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</si>
  <si>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</si>
  <si>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</si>
  <si>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</si>
  <si>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</si>
  <si>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</si>
  <si>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</si>
  <si>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</si>
  <si>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</si>
  <si>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</si>
  <si>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</si>
  <si>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</si>
  <si>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</si>
  <si>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</si>
  <si>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</si>
  <si>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</si>
  <si>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</si>
  <si>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</si>
  <si>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</si>
  <si>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</si>
  <si>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</si>
  <si>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</si>
  <si>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</si>
  <si>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</si>
  <si>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</si>
  <si>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</si>
  <si>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</si>
  <si>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</si>
  <si>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</si>
  <si>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</si>
  <si>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</si>
  <si>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</si>
  <si>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</si>
  <si>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</si>
  <si>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</si>
  <si>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</si>
  <si>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</si>
  <si>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</si>
  <si>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</si>
  <si>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</si>
  <si>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</si>
  <si>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</si>
  <si>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</si>
  <si>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</si>
  <si>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</si>
  <si>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</si>
  <si>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</si>
  <si>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</si>
  <si>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</si>
  <si>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</si>
  <si>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</si>
  <si>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</si>
  <si>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</si>
  <si>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</si>
  <si>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</si>
  <si>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</si>
  <si>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</si>
  <si>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</si>
  <si>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</si>
  <si>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</si>
  <si>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</si>
  <si>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</si>
  <si>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</si>
  <si>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</si>
  <si>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</si>
  <si>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</si>
  <si>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</si>
  <si>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</si>
  <si>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</si>
  <si>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</si>
  <si>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</si>
  <si>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</si>
  <si>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</si>
  <si>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</si>
  <si>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</si>
  <si>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</si>
  <si>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</si>
  <si>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</si>
  <si>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</si>
  <si>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</si>
  <si>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</si>
  <si>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</si>
  <si>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</si>
  <si>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</si>
  <si>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</si>
  <si>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</si>
  <si>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</si>
  <si>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</si>
  <si>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</si>
  <si>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</si>
  <si>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</si>
  <si>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</si>
  <si>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</si>
  <si>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</si>
  <si>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</si>
  <si>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</si>
  <si>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</si>
  <si>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</si>
  <si>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</si>
  <si>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</si>
  <si>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</si>
  <si>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</si>
  <si>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</si>
  <si>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</si>
  <si>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</si>
  <si>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</si>
  <si>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</si>
  <si>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</si>
  <si>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</si>
  <si>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</si>
  <si>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</si>
  <si>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</si>
  <si>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</si>
  <si>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</si>
  <si>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</si>
  <si>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</si>
  <si>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</si>
  <si>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</si>
  <si>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</si>
  <si>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</si>
  <si>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</si>
  <si>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</si>
  <si>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</si>
  <si>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</si>
  <si>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</si>
  <si>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</si>
  <si>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</si>
  <si>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</si>
  <si>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</si>
  <si>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</si>
  <si>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</si>
  <si>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</si>
  <si>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</si>
  <si>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</si>
  <si>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</si>
  <si>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</si>
  <si>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</si>
  <si>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</si>
  <si>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</si>
  <si>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</si>
  <si>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</si>
  <si>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</si>
  <si>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</si>
  <si>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</si>
  <si>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</si>
  <si>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</si>
  <si>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</si>
  <si>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</si>
  <si>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</si>
  <si>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</si>
  <si>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</si>
  <si>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</si>
  <si>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</si>
  <si>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</si>
  <si>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</si>
  <si>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</si>
  <si>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</si>
  <si>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</si>
  <si>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</si>
  <si>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</si>
  <si>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</si>
  <si>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</si>
  <si>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</si>
  <si>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</si>
  <si>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</si>
  <si>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</si>
  <si>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</si>
  <si>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</si>
  <si>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</si>
  <si>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</si>
  <si>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</si>
  <si>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</si>
  <si>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</si>
  <si>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</si>
  <si>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</si>
  <si>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</si>
  <si>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</si>
  <si>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</si>
  <si>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</si>
  <si>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</si>
  <si>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</si>
  <si>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</si>
  <si>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</si>
  <si>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</si>
  <si>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</si>
  <si>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</si>
  <si>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</si>
  <si>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</si>
  <si>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</si>
  <si>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</si>
  <si>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</si>
  <si>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</si>
  <si>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</si>
  <si>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</si>
  <si>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</si>
  <si>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</si>
  <si>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</si>
  <si>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</si>
  <si>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</si>
  <si>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</si>
  <si>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</si>
  <si>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</si>
  <si>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</si>
  <si>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</si>
  <si>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</si>
  <si>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</si>
  <si>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</si>
  <si>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</si>
  <si>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</si>
  <si>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</si>
  <si>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</si>
  <si>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</si>
  <si>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</si>
  <si>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</si>
  <si>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</si>
  <si>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</si>
  <si>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</si>
  <si>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</si>
  <si>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</si>
  <si>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</si>
  <si>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</si>
  <si>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</si>
  <si>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</si>
  <si>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</si>
  <si>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</si>
  <si>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</si>
  <si>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</si>
  <si>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</si>
  <si>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</si>
  <si>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</si>
  <si>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</si>
  <si>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</si>
  <si>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</si>
  <si>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</si>
  <si>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</si>
  <si>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</si>
  <si>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</si>
  <si>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</si>
  <si>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</si>
  <si>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</si>
  <si>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</si>
  <si>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</si>
  <si>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</si>
  <si>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</si>
  <si>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</si>
  <si>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</si>
  <si>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</si>
  <si>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</si>
  <si>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</si>
  <si>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</si>
  <si>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</si>
  <si>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</si>
  <si>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</si>
  <si>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</si>
  <si>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</si>
  <si>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</si>
  <si>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</si>
  <si>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</si>
  <si>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</si>
  <si>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</si>
  <si>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</si>
  <si>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</si>
  <si>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</si>
  <si>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</si>
  <si>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</si>
  <si>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</si>
  <si>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</si>
  <si>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</si>
  <si>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</si>
  <si>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</si>
  <si>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</si>
  <si>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</si>
  <si>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</si>
  <si>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</si>
  <si>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</si>
  <si>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</si>
  <si>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</si>
  <si>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</si>
  <si>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</si>
  <si>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</si>
  <si>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</si>
  <si>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</si>
  <si>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</si>
  <si>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</si>
  <si>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</si>
  <si>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</si>
  <si>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</si>
  <si>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</si>
  <si>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</si>
  <si>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</si>
  <si>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</si>
  <si>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</si>
  <si>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</si>
  <si>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</si>
  <si>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</si>
  <si>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</si>
  <si>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</si>
  <si>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</si>
  <si>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</si>
  <si>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</si>
  <si>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</si>
  <si>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</si>
  <si>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</si>
  <si>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</si>
  <si>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</si>
  <si>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</si>
  <si>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</si>
  <si>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</si>
  <si>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</si>
  <si>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</si>
  <si>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</si>
  <si>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</si>
  <si>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</si>
  <si>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</si>
  <si>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</si>
  <si>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</si>
  <si>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</si>
  <si>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</si>
  <si>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</si>
  <si>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</si>
  <si>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</si>
  <si>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</si>
  <si>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</si>
  <si>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</si>
  <si>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</si>
  <si>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</si>
  <si>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</si>
  <si>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</si>
  <si>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</si>
  <si>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</si>
  <si>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</si>
  <si>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</si>
  <si>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</si>
  <si>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</si>
  <si>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</si>
  <si>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</si>
  <si>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</si>
  <si>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</si>
  <si>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</si>
  <si>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</si>
  <si>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</si>
  <si>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</si>
  <si>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</si>
  <si>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</si>
  <si>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</si>
  <si>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</si>
  <si>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</si>
  <si>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</si>
  <si>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</si>
  <si>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</si>
  <si>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</si>
  <si>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</si>
  <si>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</si>
  <si>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</si>
  <si>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</si>
  <si>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</si>
  <si>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</si>
  <si>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</si>
  <si>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</si>
  <si>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</si>
  <si>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</si>
  <si>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</si>
  <si>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</si>
  <si>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</si>
  <si>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</si>
  <si>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</si>
  <si>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</si>
  <si>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</si>
  <si>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</si>
  <si>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</si>
  <si>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</si>
  <si>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</si>
  <si>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</si>
  <si>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</si>
  <si>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</si>
  <si>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</si>
  <si>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</si>
  <si>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</si>
  <si>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</si>
  <si>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</si>
  <si>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</si>
  <si>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</si>
  <si>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</si>
  <si>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</si>
  <si>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</si>
  <si>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</si>
  <si>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</si>
  <si>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</si>
  <si>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</si>
  <si>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</si>
  <si>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</si>
  <si>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</si>
  <si>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</si>
  <si>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</si>
  <si>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</si>
  <si>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</si>
  <si>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</si>
  <si>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</si>
  <si>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</si>
  <si>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</si>
  <si>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</si>
  <si>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</si>
  <si>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</si>
  <si>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</si>
  <si>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</si>
  <si>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</si>
  <si>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</si>
  <si>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</si>
  <si>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</si>
  <si>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</si>
  <si>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</si>
  <si>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</si>
  <si>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</si>
  <si>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</si>
  <si>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</si>
  <si>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</si>
  <si>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</si>
  <si>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</si>
  <si>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</si>
  <si>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</si>
  <si>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</si>
  <si>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</si>
  <si>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</si>
  <si>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</si>
  <si>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</si>
  <si>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</si>
  <si>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</si>
  <si>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</si>
  <si>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</si>
  <si>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</si>
  <si>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</si>
  <si>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</si>
  <si>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</si>
  <si>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</si>
  <si>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</si>
  <si>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</si>
  <si>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</si>
  <si>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</si>
  <si>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</si>
  <si>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</si>
  <si>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</si>
  <si>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</si>
  <si>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</si>
  <si>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</si>
  <si>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</si>
  <si>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</si>
  <si>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</si>
  <si>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</si>
  <si>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</si>
  <si>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</si>
  <si>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</si>
  <si>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</si>
  <si>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</si>
  <si>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</si>
  <si>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</si>
  <si>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</si>
  <si>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</si>
  <si>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</si>
  <si>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</si>
  <si>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</si>
  <si>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</si>
  <si>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</si>
  <si>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</si>
  <si>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</si>
  <si>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</si>
  <si>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</si>
  <si>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</si>
  <si>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</si>
  <si>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</si>
  <si>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</si>
  <si>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</si>
  <si>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</si>
  <si>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</si>
  <si>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</si>
  <si>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</si>
  <si>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</si>
  <si>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</si>
  <si>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</si>
  <si>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</si>
  <si>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</si>
  <si>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</si>
  <si>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</si>
  <si>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</si>
  <si>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</si>
  <si>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</si>
  <si>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</si>
  <si>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</si>
  <si>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</si>
  <si>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</si>
  <si>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</si>
  <si>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</si>
  <si>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</si>
  <si>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</si>
  <si>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</si>
  <si>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</si>
  <si>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</si>
  <si>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</si>
  <si>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</si>
  <si>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</si>
  <si>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</si>
  <si>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</si>
  <si>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</si>
  <si>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</si>
  <si>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</si>
  <si>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</si>
  <si>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</si>
  <si>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</si>
  <si>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</si>
  <si>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</si>
  <si>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</si>
  <si>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</si>
  <si>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</si>
  <si>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</si>
  <si>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</si>
  <si>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</si>
  <si>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</si>
  <si>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</si>
  <si>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</si>
  <si>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</si>
  <si>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</si>
  <si>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</si>
  <si>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</si>
  <si>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</si>
  <si>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</si>
  <si>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</si>
  <si>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</si>
  <si>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</si>
  <si>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</si>
  <si>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</si>
  <si>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</si>
  <si>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</si>
  <si>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</si>
  <si>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</si>
  <si>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</si>
  <si>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</si>
  <si>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</si>
  <si>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</si>
  <si>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</si>
  <si>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</si>
  <si>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</si>
  <si>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</si>
  <si>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</si>
  <si>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</si>
  <si>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</si>
  <si>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</si>
  <si>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</si>
  <si>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</si>
  <si>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</si>
  <si>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</si>
  <si>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</si>
  <si>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</si>
  <si>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</si>
  <si>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</si>
  <si>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</si>
  <si>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</si>
  <si>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</si>
  <si>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</si>
  <si>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</si>
  <si>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</si>
  <si>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</si>
  <si>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</si>
  <si>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</si>
  <si>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</si>
  <si>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</si>
  <si>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</si>
  <si>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</si>
  <si>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</si>
  <si>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</si>
  <si>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</si>
  <si>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</si>
  <si>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</si>
  <si>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</si>
  <si>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</si>
  <si>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</si>
  <si>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</si>
  <si>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</si>
  <si>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</si>
  <si>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</si>
  <si>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</si>
  <si>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</si>
  <si>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</si>
  <si>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</si>
  <si>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</si>
  <si>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</si>
  <si>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</si>
  <si>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</si>
  <si>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</si>
  <si>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</si>
  <si>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</si>
  <si>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</si>
  <si>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</si>
  <si>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</si>
  <si>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</si>
  <si>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</si>
  <si>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</si>
  <si>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</si>
  <si>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</si>
  <si>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</si>
  <si>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</si>
  <si>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</si>
  <si>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</si>
  <si>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</si>
  <si>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</si>
  <si>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</si>
  <si>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</si>
  <si>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</si>
  <si>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</si>
  <si>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</si>
  <si>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</si>
  <si>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</si>
  <si>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</si>
  <si>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</si>
  <si>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</si>
  <si>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</si>
  <si>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</si>
  <si>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</si>
  <si>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</si>
  <si>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</si>
  <si>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</si>
  <si>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</si>
  <si>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</si>
  <si>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</si>
  <si>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</si>
  <si>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</si>
  <si>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</si>
  <si>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</si>
  <si>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</si>
  <si>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</si>
  <si>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</si>
  <si>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</si>
  <si>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</si>
  <si>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</si>
  <si>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</si>
  <si>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</si>
  <si>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</si>
  <si>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</si>
  <si>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</si>
  <si>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</si>
  <si>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</si>
  <si>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</si>
  <si>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</si>
  <si>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</si>
  <si>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</si>
  <si>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</si>
  <si>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</si>
  <si>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</si>
  <si>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</si>
  <si>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</si>
  <si>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</si>
  <si>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</si>
  <si>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</si>
  <si>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</si>
  <si>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</si>
  <si>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</si>
  <si>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</si>
  <si>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</si>
  <si>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</si>
  <si>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</si>
  <si>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</si>
  <si>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</si>
  <si>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</si>
  <si>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</si>
  <si>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</si>
  <si>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</si>
  <si>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</si>
  <si>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</si>
  <si>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</si>
  <si>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</si>
  <si>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</si>
  <si>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</si>
  <si>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</si>
  <si>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</si>
  <si>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</si>
  <si>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</si>
  <si>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</si>
  <si>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</si>
  <si>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</si>
  <si>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</si>
  <si>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</si>
  <si>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</si>
  <si>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</si>
  <si>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</si>
  <si>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</si>
  <si>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</si>
  <si>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</si>
  <si>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</si>
  <si>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</si>
  <si>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</si>
  <si>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</si>
  <si>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</si>
  <si>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</si>
  <si>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</si>
  <si>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</si>
  <si>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</si>
  <si>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</si>
  <si>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</si>
  <si>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</si>
  <si>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</si>
  <si>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</si>
  <si>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</si>
  <si>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</si>
  <si>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</si>
  <si>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</si>
  <si>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</si>
  <si>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</si>
  <si>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</si>
  <si>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</si>
  <si>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</si>
  <si>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</si>
  <si>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</si>
  <si>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</si>
  <si>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</si>
  <si>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</si>
  <si>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</si>
  <si>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</si>
  <si>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</si>
  <si>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</si>
  <si>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</si>
  <si>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</si>
  <si>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</si>
  <si>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</si>
  <si>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</si>
  <si>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</si>
  <si>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</si>
  <si>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</si>
  <si>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</si>
  <si>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</si>
  <si>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</si>
  <si>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</si>
  <si>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</si>
  <si>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</si>
  <si>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</si>
  <si>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</si>
  <si>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</si>
  <si>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</si>
  <si>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</si>
  <si>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</si>
  <si>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</si>
  <si>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</si>
  <si>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</si>
  <si>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</si>
  <si>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</si>
  <si>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</si>
  <si>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</si>
  <si>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</si>
  <si>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</si>
  <si>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</si>
  <si>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</si>
  <si>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</si>
  <si>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</si>
  <si>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</si>
  <si>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</si>
  <si>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</si>
  <si>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</si>
  <si>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</si>
  <si>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</si>
  <si>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</si>
  <si>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</si>
  <si>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</si>
  <si>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</si>
  <si>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</si>
  <si>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</si>
  <si>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</si>
  <si>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</si>
  <si>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</si>
  <si>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</si>
  <si>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</si>
  <si>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</si>
  <si>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</si>
  <si>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</si>
  <si>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</si>
  <si>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</si>
  <si>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</si>
  <si>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</si>
  <si>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</si>
  <si>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</si>
  <si>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</si>
  <si>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</si>
  <si>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</si>
  <si>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</si>
  <si>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</si>
  <si>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</si>
  <si>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</si>
  <si>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</si>
  <si>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</si>
  <si>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</si>
  <si>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</si>
  <si>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</si>
  <si>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</si>
  <si>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</si>
  <si>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</si>
  <si>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</si>
  <si>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</si>
  <si>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</si>
  <si>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</si>
  <si>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</si>
  <si>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</si>
  <si>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</si>
  <si>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</si>
  <si>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</si>
  <si>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</si>
  <si>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</si>
  <si>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</si>
  <si>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</si>
  <si>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</si>
  <si>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</si>
  <si>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</si>
  <si>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</si>
  <si>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</si>
  <si>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</si>
  <si>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</si>
  <si>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</si>
  <si>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</si>
  <si>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</si>
  <si>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</si>
  <si>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</si>
  <si>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</si>
  <si>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</si>
  <si>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</si>
  <si>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</si>
  <si>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</si>
  <si>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</si>
  <si>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</si>
  <si>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</si>
  <si>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</si>
  <si>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</si>
  <si>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</si>
  <si>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</si>
  <si>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</si>
  <si>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</si>
  <si>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</si>
  <si>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</si>
  <si>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</si>
  <si>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</si>
  <si>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</si>
  <si>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</si>
  <si>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</si>
  <si>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</si>
  <si>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</si>
  <si>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</si>
  <si>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</si>
  <si>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</si>
  <si>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</si>
  <si>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</si>
  <si>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</si>
  <si>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</si>
  <si>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</si>
  <si>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</si>
  <si>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</si>
  <si>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</si>
  <si>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</si>
  <si>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</si>
  <si>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</si>
  <si>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</si>
  <si>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</si>
  <si>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</si>
  <si>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</si>
  <si>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</si>
  <si>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</si>
  <si>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</si>
  <si>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</si>
  <si>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</si>
  <si>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</si>
  <si>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</si>
  <si>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</si>
  <si>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</si>
  <si>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</si>
  <si>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</si>
  <si>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</si>
  <si>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</si>
  <si>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</si>
  <si>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</si>
  <si>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</si>
  <si>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</si>
  <si>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</si>
  <si>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</si>
  <si>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</si>
  <si>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</si>
  <si>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</si>
  <si>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</si>
  <si>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</si>
  <si>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</si>
  <si>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</si>
  <si>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</si>
  <si>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</si>
  <si>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</si>
  <si>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</si>
  <si>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</si>
  <si>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</si>
  <si>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</si>
  <si>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</si>
  <si>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</si>
  <si>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</si>
  <si>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</si>
  <si>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</si>
  <si>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</si>
  <si>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</si>
  <si>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</si>
  <si>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</si>
  <si>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</si>
  <si>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</si>
  <si>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</si>
  <si>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</si>
  <si>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</si>
  <si>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</si>
  <si>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</si>
  <si>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</si>
  <si>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</si>
  <si>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</si>
  <si>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</si>
  <si>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</si>
  <si>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</si>
  <si>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</si>
  <si>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</si>
  <si>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</si>
  <si>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</si>
  <si>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</si>
  <si>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</si>
  <si>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</si>
  <si>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</si>
  <si>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</si>
  <si>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</si>
  <si>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</si>
  <si>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</si>
  <si>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</si>
  <si>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</si>
  <si>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</si>
  <si>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</si>
  <si>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</si>
  <si>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</si>
  <si>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</si>
  <si>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</si>
  <si>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</si>
  <si>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</si>
  <si>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</si>
  <si>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</si>
  <si>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</si>
  <si>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</si>
  <si>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</si>
  <si>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</si>
  <si>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</si>
  <si>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</si>
  <si>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</si>
  <si>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</si>
  <si>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</si>
  <si>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</si>
  <si>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</si>
  <si>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</si>
  <si>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</si>
  <si>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</si>
  <si>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</si>
  <si>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</si>
  <si>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</si>
  <si>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</si>
  <si>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</si>
  <si>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</si>
  <si>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</si>
  <si>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</si>
  <si>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</si>
  <si>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</si>
  <si>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</si>
  <si>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</si>
  <si>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</si>
  <si>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</si>
  <si>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</si>
  <si>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</si>
  <si>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</si>
  <si>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</si>
  <si>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</si>
  <si>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</si>
  <si>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</si>
  <si>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</si>
  <si>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</si>
  <si>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</si>
  <si>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</si>
  <si>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</si>
  <si>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</si>
  <si>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</si>
  <si>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</si>
  <si>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</si>
  <si>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</si>
  <si>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</si>
  <si>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</si>
  <si>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</si>
  <si>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</si>
  <si>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</si>
  <si>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</si>
  <si>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</si>
  <si>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</si>
  <si>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</si>
  <si>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</si>
  <si>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</si>
  <si>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</si>
  <si>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</si>
  <si>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</si>
  <si>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</si>
  <si>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</si>
  <si>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</si>
  <si>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</si>
  <si>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</si>
  <si>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</si>
  <si>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</si>
  <si>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</si>
  <si>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</si>
  <si>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</si>
  <si>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</si>
  <si>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</si>
  <si>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</si>
  <si>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</si>
  <si>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</si>
  <si>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</si>
  <si>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</si>
  <si>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</si>
  <si>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</si>
  <si>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</si>
  <si>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</si>
  <si>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</si>
  <si>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</si>
  <si>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</si>
  <si>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</si>
  <si>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</si>
  <si>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</si>
  <si>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</si>
  <si>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</si>
  <si>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</si>
  <si>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</si>
  <si>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</si>
  <si>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</si>
  <si>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</si>
  <si>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</si>
  <si>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</si>
  <si>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</si>
  <si>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</si>
  <si>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</si>
  <si>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</si>
  <si>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</si>
  <si>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</si>
  <si>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</si>
  <si>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</si>
  <si>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</si>
  <si>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</si>
  <si>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</si>
  <si>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</si>
  <si>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</si>
  <si>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</si>
  <si>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</si>
  <si>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</si>
  <si>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</si>
  <si>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</si>
  <si>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</si>
  <si>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</si>
  <si>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</si>
  <si>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</si>
  <si>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</si>
  <si>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</si>
  <si>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</si>
  <si>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</si>
  <si>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</si>
  <si>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</si>
  <si>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</si>
  <si>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</si>
  <si>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</si>
  <si>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</si>
  <si>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</si>
  <si>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</si>
  <si>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</si>
  <si>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</si>
  <si>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</si>
  <si>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</si>
  <si>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</si>
  <si>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</si>
  <si>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</si>
  <si>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</si>
  <si>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</si>
  <si>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</si>
  <si>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</si>
  <si>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</si>
  <si>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</si>
  <si>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</si>
  <si>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</si>
  <si>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</si>
  <si>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</si>
  <si>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</si>
  <si>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</si>
  <si>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</si>
  <si>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</si>
  <si>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</si>
  <si>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</si>
  <si>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</si>
  <si>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</si>
  <si>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</si>
  <si>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</si>
  <si>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</si>
  <si>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</si>
  <si>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</si>
  <si>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</si>
  <si>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</si>
  <si>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</si>
  <si>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</si>
  <si>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</si>
  <si>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</si>
  <si>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</si>
  <si>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</si>
  <si>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</si>
  <si>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</si>
  <si>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</si>
  <si>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</si>
  <si>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</si>
  <si>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</si>
  <si>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</si>
  <si>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</si>
  <si>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</si>
  <si>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</si>
  <si>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</si>
  <si>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</si>
  <si>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</si>
  <si>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</si>
  <si>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</si>
  <si>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</si>
  <si>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</si>
  <si>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</si>
  <si>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</si>
  <si>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</si>
  <si>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</si>
  <si>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</si>
  <si>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</si>
  <si>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</si>
  <si>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</si>
  <si>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</si>
  <si>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</si>
  <si>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</si>
  <si>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</si>
  <si>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</si>
  <si>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</si>
  <si>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</si>
  <si>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</si>
  <si>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</si>
  <si>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</si>
  <si>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</si>
  <si>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</si>
  <si>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</si>
  <si>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</si>
  <si>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</si>
  <si>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</si>
  <si>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</si>
  <si>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</si>
  <si>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</si>
  <si>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</si>
  <si>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</si>
  <si>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</si>
  <si>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</si>
  <si>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</si>
  <si>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</si>
  <si>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</si>
  <si>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</si>
  <si>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</si>
  <si>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</si>
  <si>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</si>
  <si>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</si>
  <si>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</si>
  <si>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</si>
  <si>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</si>
  <si>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</si>
  <si>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</si>
  <si>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</si>
  <si>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</si>
  <si>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</si>
  <si>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</si>
  <si>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</si>
  <si>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</si>
  <si>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</si>
  <si>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</si>
  <si>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</si>
  <si>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</si>
  <si>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</si>
  <si>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</si>
  <si>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</si>
  <si>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</si>
  <si>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</si>
  <si>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</si>
  <si>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</si>
  <si>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</si>
  <si>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</si>
  <si>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</si>
  <si>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</si>
  <si>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</si>
  <si>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</si>
  <si>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</si>
  <si>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</si>
  <si>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</si>
  <si>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</si>
  <si>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</si>
  <si>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</si>
  <si>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</si>
  <si>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</si>
  <si>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</si>
  <si>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</si>
  <si>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</si>
  <si>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</si>
  <si>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</si>
  <si>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</si>
  <si>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</si>
  <si>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</si>
  <si>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</si>
  <si>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</si>
  <si>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</si>
  <si>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</si>
  <si>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</si>
  <si>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</si>
  <si>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</si>
  <si>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</si>
  <si>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</si>
  <si>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</si>
  <si>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</si>
  <si>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</si>
  <si>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</si>
  <si>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</si>
  <si>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</si>
  <si>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</si>
  <si>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</si>
  <si>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</si>
  <si>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</si>
  <si>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</si>
  <si>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</si>
  <si>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</si>
  <si>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</si>
  <si>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</si>
  <si>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</si>
  <si>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</si>
  <si>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</si>
  <si>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</si>
  <si>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</si>
  <si>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</si>
  <si>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</si>
  <si>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</si>
  <si>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</si>
  <si>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</si>
  <si>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</si>
  <si>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</si>
  <si>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</si>
  <si>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</si>
  <si>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</si>
  <si>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</si>
  <si>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</si>
  <si>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</si>
  <si>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</si>
  <si>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</si>
  <si>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</si>
  <si>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</si>
  <si>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</si>
  <si>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</si>
  <si>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</si>
  <si>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</si>
  <si>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</si>
  <si>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</si>
  <si>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</si>
  <si>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</si>
  <si>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</si>
  <si>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</si>
  <si>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</si>
  <si>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</si>
  <si>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</si>
  <si>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</si>
  <si>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</si>
  <si>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</si>
  <si>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</si>
  <si>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</si>
  <si>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</si>
  <si>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</si>
  <si>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</si>
  <si>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</si>
  <si>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</si>
  <si>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</si>
  <si>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</si>
  <si>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</si>
  <si>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</si>
  <si>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</si>
  <si>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</si>
  <si>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</si>
  <si>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</si>
  <si>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</si>
  <si>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</si>
  <si>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</si>
  <si>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</si>
  <si>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</si>
  <si>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</si>
  <si>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</si>
  <si>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</si>
  <si>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</si>
  <si>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</si>
  <si>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</si>
  <si>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</si>
  <si>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</si>
  <si>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</si>
  <si>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</si>
  <si>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</si>
  <si>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</si>
  <si>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</si>
  <si>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</si>
  <si>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</si>
  <si>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</si>
  <si>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</si>
  <si>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</si>
  <si>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</si>
  <si>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</si>
  <si>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</si>
  <si>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</si>
  <si>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</si>
  <si>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</si>
  <si>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</si>
  <si>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</si>
  <si>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</si>
  <si>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</si>
  <si>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</si>
  <si>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</si>
  <si>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</si>
  <si>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</si>
  <si>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</si>
  <si>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</si>
  <si>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</si>
  <si>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</si>
  <si>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</si>
  <si>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</si>
  <si>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</si>
  <si>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</si>
  <si>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</si>
  <si>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</si>
  <si>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</si>
  <si>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</si>
  <si>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</si>
  <si>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</si>
  <si>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</si>
  <si>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</si>
  <si>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</si>
  <si>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</si>
  <si>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</si>
  <si>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</si>
  <si>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</si>
  <si>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</si>
  <si>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</si>
  <si>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</si>
  <si>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</si>
  <si>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</si>
  <si>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</si>
  <si>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</si>
  <si>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</si>
  <si>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</si>
  <si>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</si>
  <si>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</si>
  <si>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</si>
  <si>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</si>
  <si>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</si>
  <si>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</si>
  <si>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</si>
  <si>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</si>
  <si>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</si>
  <si>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</si>
  <si>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</si>
  <si>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</si>
  <si>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</si>
  <si>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</si>
  <si>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</si>
  <si>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</si>
  <si>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</si>
  <si>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</si>
  <si>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</si>
  <si>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</si>
  <si>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</si>
  <si>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</si>
  <si>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</si>
  <si>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</si>
  <si>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</si>
  <si>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</si>
  <si>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</si>
  <si>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</si>
  <si>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</si>
  <si>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</si>
  <si>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</si>
  <si>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</si>
  <si>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</si>
  <si>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</si>
  <si>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</si>
  <si>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</si>
  <si>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</si>
  <si>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</si>
  <si>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</si>
  <si>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</si>
  <si>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</si>
  <si>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</si>
  <si>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</si>
  <si>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</si>
  <si>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</si>
  <si>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</si>
  <si>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</si>
  <si>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</si>
  <si>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</si>
  <si>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</si>
  <si>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</si>
  <si>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</si>
  <si>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</si>
  <si>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</si>
  <si>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</si>
  <si>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</si>
  <si>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</si>
  <si>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</si>
  <si>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</si>
  <si>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</si>
  <si>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</si>
  <si>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</si>
  <si>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</si>
  <si>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</si>
  <si>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</si>
  <si>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</si>
  <si>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</si>
  <si>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</si>
  <si>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</si>
  <si>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</si>
  <si>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</si>
  <si>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</si>
  <si>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</si>
  <si>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</si>
  <si>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</si>
  <si>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</si>
  <si>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</si>
  <si>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</si>
  <si>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</si>
  <si>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</si>
  <si>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</si>
  <si>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</si>
  <si>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</si>
  <si>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</si>
  <si>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</si>
  <si>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</si>
  <si>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</si>
  <si>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</si>
  <si>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</si>
  <si>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</si>
  <si>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</si>
  <si>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</si>
  <si>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</si>
  <si>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</si>
  <si>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</si>
  <si>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</si>
  <si>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</si>
  <si>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</si>
  <si>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</si>
  <si>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</si>
  <si>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</si>
  <si>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</si>
  <si>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</si>
  <si>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</si>
  <si>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</si>
  <si>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</si>
  <si>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</si>
  <si>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</si>
  <si>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</si>
  <si>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</si>
  <si>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</si>
  <si>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</si>
  <si>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</si>
  <si>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</si>
  <si>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</si>
  <si>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</si>
  <si>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</si>
  <si>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</si>
  <si>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</si>
  <si>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</si>
  <si>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</si>
  <si>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</si>
  <si>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</si>
  <si>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</si>
  <si>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</si>
  <si>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</si>
  <si>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</si>
  <si>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</si>
  <si>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</si>
  <si>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</si>
  <si>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</si>
  <si>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</si>
  <si>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</si>
  <si>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</si>
  <si>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</si>
  <si>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</si>
  <si>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</si>
  <si>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</si>
  <si>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</si>
  <si>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</si>
  <si>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</si>
  <si>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</si>
  <si>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</si>
  <si>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</si>
  <si>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</si>
  <si>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</si>
  <si>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</si>
  <si>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</si>
  <si>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</si>
  <si>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</si>
  <si>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</si>
  <si>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</si>
  <si>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</si>
  <si>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</si>
  <si>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</si>
  <si>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</si>
  <si>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</si>
  <si>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</si>
  <si>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</si>
  <si>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</si>
  <si>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</si>
  <si>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</si>
  <si>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</si>
  <si>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</si>
  <si>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</si>
  <si>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</si>
  <si>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</si>
  <si>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</si>
  <si>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</si>
  <si>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</si>
  <si>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</si>
  <si>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</si>
  <si>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</si>
  <si>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</si>
  <si>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</si>
  <si>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</si>
  <si>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</si>
  <si>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</si>
  <si>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</si>
  <si>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</si>
  <si>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</si>
  <si>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</si>
  <si>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</si>
  <si>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</si>
  <si>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</si>
  <si>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</si>
  <si>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</si>
  <si>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</si>
  <si>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</si>
  <si>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</si>
  <si>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</si>
  <si>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</si>
  <si>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</si>
  <si>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</si>
  <si>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</si>
  <si>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</si>
  <si>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</si>
  <si>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</si>
  <si>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</si>
  <si>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</si>
  <si>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</si>
  <si>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</si>
  <si>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</si>
  <si>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</si>
  <si>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</si>
  <si>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</si>
  <si>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</si>
  <si>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</si>
  <si>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</si>
  <si>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</si>
  <si>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</si>
  <si>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</si>
  <si>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</si>
  <si>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</si>
  <si>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</si>
  <si>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</si>
  <si>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</si>
  <si>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</si>
  <si>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</si>
  <si>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</si>
  <si>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</si>
  <si>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</si>
  <si>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</si>
  <si>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</si>
  <si>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</si>
  <si>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</si>
  <si>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</si>
  <si>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</si>
  <si>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</si>
  <si>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</si>
  <si>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</si>
  <si>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</si>
  <si>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</si>
  <si>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</si>
  <si>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</si>
  <si>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</si>
  <si>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</si>
  <si>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</si>
  <si>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</si>
  <si>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</si>
  <si>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</si>
  <si>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</si>
  <si>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</si>
  <si>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</si>
  <si>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</si>
  <si>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</si>
  <si>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</si>
  <si>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</si>
  <si>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</si>
  <si>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</si>
  <si>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</si>
  <si>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</si>
  <si>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</si>
  <si>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</si>
  <si>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</si>
  <si>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</si>
  <si>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</si>
  <si>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</si>
  <si>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</si>
  <si>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</si>
  <si>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</si>
  <si>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</si>
  <si>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</si>
  <si>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</si>
  <si>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</si>
  <si>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</si>
  <si>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</si>
  <si>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</si>
  <si>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</si>
  <si>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</si>
  <si>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</si>
  <si>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</si>
  <si>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</si>
  <si>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</si>
  <si>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</si>
  <si>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</si>
  <si>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</si>
  <si>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</si>
  <si>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</si>
  <si>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</si>
  <si>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</si>
  <si>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</si>
  <si>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</si>
  <si>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</si>
  <si>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</si>
  <si>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</si>
  <si>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</si>
  <si>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</si>
  <si>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</si>
  <si>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</si>
  <si>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</si>
  <si>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</si>
  <si>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</si>
  <si>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</si>
  <si>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</si>
  <si>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</si>
  <si>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</si>
  <si>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</si>
  <si>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</si>
  <si>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</si>
  <si>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</si>
  <si>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</si>
  <si>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</si>
  <si>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河北旭嘉房地产开发有限公司</t>
    <phoneticPr fontId="6" type="noConversion"/>
  </si>
  <si>
    <t>抵押</t>
  </si>
  <si>
    <t>房地产抵押价值</t>
  </si>
  <si>
    <t>其他：</t>
  </si>
  <si>
    <t>河北省保定市涞水县涞水镇</t>
    <phoneticPr fontId="6" type="noConversion"/>
  </si>
  <si>
    <t>企业</t>
  </si>
  <si>
    <t>出让</t>
  </si>
  <si>
    <t>住宅</t>
  </si>
  <si>
    <t>住宅</t>
    <phoneticPr fontId="6" type="noConversion"/>
  </si>
  <si>
    <t>否</t>
  </si>
  <si>
    <t>《国有土地使用权》</t>
  </si>
  <si>
    <t>居住项目</t>
  </si>
  <si>
    <t>无</t>
  </si>
  <si>
    <t>在建</t>
  </si>
  <si>
    <t>通路</t>
  </si>
  <si>
    <t>通电</t>
  </si>
  <si>
    <t>通讯</t>
  </si>
  <si>
    <t>通上水</t>
  </si>
  <si>
    <t>通下水</t>
  </si>
  <si>
    <t>通热</t>
  </si>
  <si>
    <t>燃气</t>
  </si>
  <si>
    <t>地上</t>
  </si>
  <si>
    <t>平层住宅</t>
  </si>
  <si>
    <t>是</t>
  </si>
  <si>
    <t>底商</t>
  </si>
  <si>
    <t>住宅</t>
    <phoneticPr fontId="7" type="noConversion"/>
  </si>
  <si>
    <t>商业</t>
    <phoneticPr fontId="7" type="noConversion"/>
  </si>
  <si>
    <t>收益法 (元)</t>
  </si>
  <si>
    <t>其他省市请录依据文件名称：《河北省城镇土地使用税实施办法》（省政府令[2007]第9号）</t>
    <phoneticPr fontId="3" type="noConversion"/>
  </si>
  <si>
    <t>北京</t>
    <phoneticPr fontId="3" type="noConversion"/>
  </si>
  <si>
    <t>其他普通商品住宅用地</t>
  </si>
  <si>
    <t>其他普通商品住宅用地</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</si>
  <si>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</si>
  <si>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</si>
  <si>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</si>
  <si>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</si>
  <si>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</si>
  <si>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</si>
  <si>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</si>
  <si>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</si>
  <si>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</si>
  <si>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</si>
  <si>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</si>
  <si>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</si>
  <si>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</si>
  <si>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</si>
  <si>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</si>
  <si>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</si>
  <si>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</si>
  <si>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</si>
  <si>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</si>
  <si>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</si>
  <si>
    <t>差</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</si>
  <si>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</si>
  <si>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</si>
  <si>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</si>
  <si>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</si>
  <si>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</si>
  <si>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</si>
  <si>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</si>
  <si>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2017-016-3</t>
    <phoneticPr fontId="3" type="noConversion"/>
  </si>
  <si>
    <t>涞水县太行路西侧、府前街南侧</t>
    <phoneticPr fontId="3" type="noConversion"/>
  </si>
  <si>
    <t>正常</t>
  </si>
  <si>
    <t>双面临街</t>
  </si>
  <si>
    <t>保定监测指标情况一览表</t>
  </si>
  <si>
    <t>时间</t>
  </si>
  <si>
    <t>水平值</t>
  </si>
  <si>
    <t>环比增长率</t>
  </si>
  <si>
    <t>指数</t>
  </si>
  <si>
    <t>2017-012</t>
    <phoneticPr fontId="3" type="noConversion"/>
  </si>
  <si>
    <t>涞水县文汇街南侧、祖逖路东侧</t>
    <phoneticPr fontId="3" type="noConversion"/>
  </si>
  <si>
    <t>2017-010-2</t>
    <phoneticPr fontId="3" type="noConversion"/>
  </si>
  <si>
    <t>涞水县祖逖路西侧、府前街南侧</t>
    <phoneticPr fontId="3" type="noConversion"/>
  </si>
  <si>
    <t>项目局部</t>
  </si>
  <si>
    <t>成本法</t>
  </si>
  <si>
    <t>假设开发法</t>
  </si>
  <si>
    <t>在建（套用方法）</t>
  </si>
  <si>
    <t>钢混</t>
  </si>
  <si>
    <t>非生产用房</t>
  </si>
  <si>
    <t>押一</t>
  </si>
  <si>
    <t>独栋别墅</t>
    <phoneticPr fontId="25" type="noConversion"/>
  </si>
  <si>
    <t>联排别墅</t>
    <phoneticPr fontId="25" type="noConversion"/>
  </si>
  <si>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</si>
  <si>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</si>
  <si>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</si>
  <si>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</si>
  <si>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</si>
  <si>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</si>
  <si>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</si>
  <si>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</si>
  <si>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精装修</t>
  </si>
  <si>
    <t>精装修</t>
    <phoneticPr fontId="25" type="noConversion"/>
  </si>
  <si>
    <t>普通装修</t>
  </si>
  <si>
    <t>普通装修</t>
    <phoneticPr fontId="25" type="noConversion"/>
  </si>
  <si>
    <t>毛坯</t>
  </si>
  <si>
    <t>毛坯</t>
    <phoneticPr fontId="25" type="noConversion"/>
  </si>
  <si>
    <t>专业</t>
  </si>
  <si>
    <t>专业</t>
    <phoneticPr fontId="25" type="noConversion"/>
  </si>
  <si>
    <t>非专业</t>
    <phoneticPr fontId="25" type="noConversion"/>
  </si>
  <si>
    <t>滨河.新东城</t>
    <phoneticPr fontId="3" type="noConversion"/>
  </si>
  <si>
    <t>北京恒大京南半岛</t>
    <phoneticPr fontId="3" type="noConversion"/>
  </si>
  <si>
    <t>住宅</t>
    <phoneticPr fontId="25" type="noConversion"/>
  </si>
  <si>
    <t>60-70（含）</t>
  </si>
  <si>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</si>
  <si>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</si>
  <si>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</si>
  <si>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</si>
  <si>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</si>
  <si>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</si>
  <si>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120-200</t>
    <phoneticPr fontId="25" type="noConversion"/>
  </si>
  <si>
    <t>高层电梯房</t>
  </si>
  <si>
    <t>高层电梯房</t>
    <phoneticPr fontId="25" type="noConversion"/>
  </si>
  <si>
    <t>小高层电梯房</t>
    <phoneticPr fontId="25" type="noConversion"/>
  </si>
  <si>
    <t>无电梯房</t>
    <phoneticPr fontId="25" type="noConversion"/>
  </si>
  <si>
    <t>鹏渤印象城·中央公园</t>
    <phoneticPr fontId="3" type="noConversion"/>
  </si>
  <si>
    <t>文成时代</t>
    <phoneticPr fontId="3" type="noConversion"/>
  </si>
  <si>
    <t>涞水镇西关大街北侧</t>
    <phoneticPr fontId="3" type="noConversion"/>
  </si>
  <si>
    <t>涞水镇府前街西侧聚秀公园旁</t>
    <phoneticPr fontId="3" type="noConversion"/>
  </si>
  <si>
    <t>涞水镇京昆高速涞水出口东行800米</t>
    <phoneticPr fontId="3" type="noConversion"/>
  </si>
  <si>
    <r>
      <rPr>
        <sz val="12"/>
        <color theme="9" tint="-0.249977111117893"/>
        <rFont val="宋体"/>
        <family val="3"/>
        <charset val="134"/>
      </rPr>
      <t>住宅</t>
    </r>
    <r>
      <rPr>
        <sz val="12"/>
        <color theme="9" tint="-0.249977111117893"/>
        <rFont val="Arial"/>
        <family val="2"/>
      </rPr>
      <t>66.1</t>
    </r>
    <r>
      <rPr>
        <sz val="12"/>
        <color theme="9" tint="-0.249977111117893"/>
        <rFont val="宋体"/>
        <family val="3"/>
        <charset val="134"/>
      </rPr>
      <t>年</t>
    </r>
    <r>
      <rPr>
        <sz val="12"/>
        <color theme="9" tint="-0.249977111117893"/>
        <rFont val="Arial"/>
        <family val="2"/>
      </rPr>
      <t>,</t>
    </r>
    <r>
      <rPr>
        <sz val="12"/>
        <color theme="9" tint="-0.249977111117893"/>
        <rFont val="宋体"/>
        <family val="3"/>
        <charset val="134"/>
      </rPr>
      <t>商业</t>
    </r>
    <r>
      <rPr>
        <sz val="12"/>
        <color theme="9" tint="-0.249977111117893"/>
        <rFont val="Arial"/>
        <family val="2"/>
      </rPr>
      <t>36.1</t>
    </r>
    <r>
      <rPr>
        <sz val="12"/>
        <color theme="9" tint="-0.249977111117893"/>
        <rFont val="宋体"/>
        <family val="3"/>
        <charset val="134"/>
      </rPr>
      <t>年</t>
    </r>
    <phoneticPr fontId="6" type="noConversion"/>
  </si>
  <si>
    <r>
      <rPr>
        <sz val="12"/>
        <color theme="9" tint="-0.249977111117893"/>
        <rFont val="宋体"/>
        <family val="3"/>
        <charset val="134"/>
      </rPr>
      <t>《涞水县房屋面积预测报告》</t>
    </r>
    <r>
      <rPr>
        <sz val="12"/>
        <color theme="9" tint="-0.249977111117893"/>
        <rFont val="Arial"/>
        <family val="2"/>
      </rPr>
      <t>[</t>
    </r>
    <r>
      <rPr>
        <sz val="12"/>
        <color theme="9" tint="-0.249977111117893"/>
        <rFont val="宋体"/>
        <family val="3"/>
        <charset val="134"/>
      </rPr>
      <t>涞测字</t>
    </r>
    <r>
      <rPr>
        <sz val="12"/>
        <color theme="9" tint="-0.249977111117893"/>
        <rFont val="Arial"/>
        <family val="2"/>
      </rPr>
      <t>[2017-10-20]]</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</si>
  <si>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保涞水国用（</t>
    </r>
    <r>
      <rPr>
        <sz val="12"/>
        <color theme="9" tint="-0.249977111117893"/>
        <rFont val="Arial"/>
        <family val="2"/>
      </rPr>
      <t>2015</t>
    </r>
    <r>
      <rPr>
        <sz val="12"/>
        <color theme="9" tint="-0.249977111117893"/>
        <rFont val="宋体"/>
        <family val="3"/>
        <charset val="134"/>
      </rPr>
      <t>）第</t>
    </r>
    <r>
      <rPr>
        <sz val="12"/>
        <color theme="9" tint="-0.249977111117893"/>
        <rFont val="Arial"/>
        <family val="2"/>
      </rPr>
      <t>00032</t>
    </r>
    <r>
      <rPr>
        <sz val="12"/>
        <color theme="9" tint="-0.249977111117893"/>
        <rFont val="宋体"/>
        <family val="3"/>
        <charset val="134"/>
      </rPr>
      <t>号</t>
    </r>
    <r>
      <rPr>
        <sz val="12"/>
        <color theme="9" tint="-0.249977111117893"/>
        <rFont val="Arial"/>
        <family val="2"/>
      </rPr>
      <t>]</t>
    </r>
    <phoneticPr fontId="6" type="noConversion"/>
  </si>
  <si>
    <t>20a#</t>
    <phoneticPr fontId="3" type="noConversion"/>
  </si>
  <si>
    <t>20b#</t>
    <phoneticPr fontId="3" type="noConversion"/>
  </si>
  <si>
    <t>20c#</t>
    <phoneticPr fontId="3" type="noConversion"/>
  </si>
  <si>
    <t>2017-1-1014-P03DYGJ3</t>
    <phoneticPr fontId="6" type="noConversion"/>
  </si>
  <si>
    <t>华鑫国际信托有限公司</t>
    <phoneticPr fontId="6" type="noConversion"/>
  </si>
  <si>
    <r>
      <rPr>
        <sz val="12"/>
        <color theme="9" tint="-0.249977111117893"/>
        <rFont val="宋体"/>
        <family val="3"/>
        <charset val="134"/>
      </rPr>
      <t>东关村府前街</t>
    </r>
    <r>
      <rPr>
        <sz val="12"/>
        <color theme="9" tint="-0.249977111117893"/>
        <rFont val="Arial"/>
        <family val="2"/>
      </rPr>
      <t>2</t>
    </r>
    <r>
      <rPr>
        <sz val="12"/>
        <color theme="9" tint="-0.249977111117893"/>
        <rFont val="宋体"/>
        <family val="3"/>
        <charset val="134"/>
      </rPr>
      <t>号桥北侧</t>
    </r>
    <r>
      <rPr>
        <sz val="12"/>
        <color theme="9" tint="-0.249977111117893"/>
        <rFont val="Arial"/>
        <family val="2"/>
      </rPr>
      <t>20#A</t>
    </r>
    <r>
      <rPr>
        <sz val="12"/>
        <color theme="9" tint="-0.249977111117893"/>
        <rFont val="宋体"/>
        <family val="3"/>
        <charset val="134"/>
      </rPr>
      <t>、</t>
    </r>
    <r>
      <rPr>
        <sz val="12"/>
        <color theme="9" tint="-0.249977111117893"/>
        <rFont val="Arial"/>
        <family val="2"/>
      </rPr>
      <t>20#B</t>
    </r>
    <r>
      <rPr>
        <sz val="12"/>
        <color theme="9" tint="-0.249977111117893"/>
        <rFont val="宋体"/>
        <family val="3"/>
        <charset val="134"/>
      </rPr>
      <t>住宅、商业用房</t>
    </r>
    <phoneticPr fontId="6" type="noConversion"/>
  </si>
  <si>
    <t>成本比率</t>
  </si>
  <si>
    <t>序号</t>
  </si>
  <si>
    <t>土地使用权证号</t>
  </si>
  <si>
    <t>建筑面积依据</t>
  </si>
  <si>
    <t>楼号</t>
  </si>
  <si>
    <t>分摊土地面积</t>
  </si>
  <si>
    <t>建筑面积</t>
  </si>
  <si>
    <t>工程进度情况</t>
  </si>
  <si>
    <t>设备及其他用房</t>
  </si>
  <si>
    <t>/</t>
  </si>
  <si>
    <t>正在进行基坑开挖工作</t>
  </si>
  <si>
    <t>保涞水国用（2015）第00032号</t>
    <phoneticPr fontId="143" type="noConversion"/>
  </si>
  <si>
    <r>
      <t>《涞水县房屋面积预测报告》</t>
    </r>
    <r>
      <rPr>
        <sz val="9"/>
        <color rgb="FF000000"/>
        <rFont val="Arial"/>
        <family val="2"/>
      </rPr>
      <t>[</t>
    </r>
    <r>
      <rPr>
        <sz val="9"/>
        <color rgb="FF000000"/>
        <rFont val="宋体"/>
        <family val="3"/>
        <charset val="134"/>
      </rPr>
      <t>涞测字</t>
    </r>
    <r>
      <rPr>
        <sz val="9"/>
        <color rgb="FF000000"/>
        <rFont val="Arial"/>
        <family val="2"/>
      </rPr>
      <t>[2017-10-20]]</t>
    </r>
    <phoneticPr fontId="143" type="noConversion"/>
  </si>
  <si>
    <t>20#A</t>
    <phoneticPr fontId="143" type="noConversion"/>
  </si>
  <si>
    <t>20#B</t>
    <phoneticPr fontId="143" type="noConversion"/>
  </si>
  <si>
    <t>怀疑有建筑</t>
    <phoneticPr fontId="3" type="noConversion"/>
  </si>
  <si>
    <t>预测</t>
    <phoneticPr fontId="3" type="noConversion"/>
  </si>
  <si>
    <t>预测</t>
    <phoneticPr fontId="3" type="noConversion"/>
  </si>
  <si>
    <t>施工证</t>
    <phoneticPr fontId="3" type="noConversion"/>
  </si>
  <si>
    <r>
      <t>1.</t>
    </r>
    <r>
      <rPr>
        <sz val="10"/>
        <color indexed="8"/>
        <rFont val="宋体"/>
        <family val="3"/>
        <charset val="134"/>
      </rPr>
      <t>土地证与地上物对应关系待文件支撑（缺宗地图或其他佐证方式）</t>
    </r>
    <phoneticPr fontId="3" type="noConversion"/>
  </si>
  <si>
    <r>
      <t>3.</t>
    </r>
    <r>
      <rPr>
        <sz val="10"/>
        <color indexed="8"/>
        <rFont val="宋体"/>
        <family val="3"/>
        <charset val="134"/>
      </rPr>
      <t>商业收益法租金缺乏支撑</t>
    </r>
    <phoneticPr fontId="3" type="noConversion"/>
  </si>
  <si>
    <r>
      <t>2.20c#</t>
    </r>
    <r>
      <rPr>
        <sz val="10"/>
        <color indexed="8"/>
        <rFont val="宋体"/>
        <family val="3"/>
        <charset val="134"/>
      </rPr>
      <t>用途确定是商业？（与值无关）</t>
    </r>
    <phoneticPr fontId="8" type="noConversion"/>
  </si>
  <si>
    <r>
      <t>4.</t>
    </r>
    <r>
      <rPr>
        <sz val="10"/>
        <color indexed="8"/>
        <rFont val="宋体"/>
        <family val="3"/>
        <charset val="134"/>
      </rPr>
      <t>地价高速增长有依据？利润率偏低？</t>
    </r>
    <phoneticPr fontId="3" type="noConversion"/>
  </si>
  <si>
    <t>未包含在土地购买价格中</t>
  </si>
  <si>
    <t>已包含在土地取得成本中</t>
  </si>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</sst>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宋体"/>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31" fillId="0" borderId="4" xfId="0" applyNumberFormat="1" applyFont="1" applyFill="1" applyBorder="1" applyAlignment="1" applyProtection="1">
      <alignment horizontal="lef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37" fillId="6" borderId="0" xfId="0" applyFont="1" applyFill="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44"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6" borderId="156" xfId="0" applyFont="1" applyFill="1" applyBorder="1" applyAlignment="1">
      <alignment horizontal="center"/>
    </xf>
    <xf numFmtId="0" fontId="256" fillId="16"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7" borderId="0" xfId="0" applyFont="1" applyFill="1" applyAlignment="1">
      <alignment horizontal="left" vertical="center" wrapText="1"/>
    </xf>
    <xf numFmtId="0" fontId="0" fillId="17" borderId="158" xfId="0" applyFill="1" applyBorder="1" applyAlignment="1">
      <alignment horizontal="right" vertical="center" wrapText="1"/>
    </xf>
    <xf numFmtId="0" fontId="99" fillId="17" borderId="158" xfId="0" applyFont="1" applyFill="1" applyBorder="1" applyAlignment="1">
      <alignment horizontal="right" vertical="center" wrapText="1"/>
    </xf>
    <xf numFmtId="0" fontId="257" fillId="13" borderId="0" xfId="0" applyFont="1" applyFill="1" applyAlignment="1">
      <alignment horizontal="left" vertical="center" wrapText="1"/>
    </xf>
    <xf numFmtId="0" fontId="257" fillId="13"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191" fillId="7" borderId="5" xfId="0" applyFont="1" applyFill="1" applyBorder="1" applyAlignment="1" applyProtection="1">
      <alignment vertical="center"/>
      <protection locked="0"/>
    </xf>
    <xf numFmtId="0" fontId="258" fillId="0" borderId="1" xfId="0" applyFont="1" applyBorder="1" applyAlignment="1">
      <alignment horizontal="center" vertical="center" wrapText="1"/>
    </xf>
    <xf numFmtId="0" fontId="259" fillId="0" borderId="1" xfId="0" applyFont="1" applyBorder="1" applyAlignment="1">
      <alignment horizontal="center" vertical="center" wrapText="1"/>
    </xf>
    <xf numFmtId="179" fontId="259" fillId="0" borderId="1" xfId="0" applyNumberFormat="1" applyFont="1" applyBorder="1" applyAlignment="1">
      <alignment horizontal="center" vertical="center" wrapText="1"/>
    </xf>
    <xf numFmtId="49" fontId="50" fillId="6" borderId="6" xfId="0"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right" vertical="center" wrapText="1"/>
    </xf>
    <xf numFmtId="0" fontId="50" fillId="6" borderId="21" xfId="0" applyFont="1" applyFill="1" applyBorder="1" applyAlignment="1" applyProtection="1">
      <alignment horizontal="center" vertical="center" wrapText="1"/>
    </xf>
    <xf numFmtId="49" fontId="55" fillId="6" borderId="11" xfId="0" applyNumberFormat="1" applyFont="1" applyFill="1" applyBorder="1" applyAlignment="1" applyProtection="1">
      <alignment vertical="center" wrapText="1"/>
    </xf>
    <xf numFmtId="0" fontId="50" fillId="6" borderId="4" xfId="0" applyFont="1" applyFill="1" applyBorder="1" applyAlignment="1" applyProtection="1">
      <alignment horizontal="right" vertical="center" wrapText="1"/>
    </xf>
    <xf numFmtId="49" fontId="50" fillId="6" borderId="11" xfId="0" applyNumberFormat="1" applyFont="1" applyFill="1" applyBorder="1" applyAlignment="1" applyProtection="1">
      <alignment horizontal="left" vertical="center" wrapText="1"/>
    </xf>
    <xf numFmtId="0" fontId="55" fillId="6" borderId="22" xfId="0" applyFont="1" applyFill="1" applyBorder="1" applyAlignment="1" applyProtection="1">
      <alignment horizontal="center" vertical="center" wrapText="1"/>
    </xf>
    <xf numFmtId="0" fontId="50" fillId="6" borderId="13" xfId="0" applyFont="1" applyFill="1" applyBorder="1" applyAlignment="1" applyProtection="1">
      <alignment vertical="center" wrapText="1"/>
    </xf>
    <xf numFmtId="0" fontId="55" fillId="6" borderId="24" xfId="0" applyFont="1" applyFill="1" applyBorder="1" applyAlignment="1" applyProtection="1">
      <alignment horizontal="center" vertical="center" wrapText="1"/>
    </xf>
    <xf numFmtId="49" fontId="50" fillId="6" borderId="35"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center" vertical="center" wrapText="1"/>
    </xf>
    <xf numFmtId="0" fontId="50" fillId="6" borderId="15" xfId="0"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55" fillId="6" borderId="15" xfId="0" applyFont="1" applyFill="1" applyBorder="1" applyAlignment="1" applyProtection="1">
      <alignment horizontal="center" vertical="center" wrapText="1"/>
    </xf>
    <xf numFmtId="181" fontId="55" fillId="6" borderId="24"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81" fontId="55" fillId="5" borderId="61" xfId="0" applyNumberFormat="1" applyFont="1" applyFill="1" applyBorder="1" applyAlignment="1" applyProtection="1">
      <alignment horizontal="center" vertical="center" wrapText="1"/>
      <protection locked="0"/>
    </xf>
    <xf numFmtId="49" fontId="55" fillId="6" borderId="41" xfId="0" applyNumberFormat="1" applyFont="1" applyFill="1" applyBorder="1" applyAlignment="1" applyProtection="1">
      <alignment vertical="center" wrapText="1"/>
    </xf>
    <xf numFmtId="0" fontId="55" fillId="6" borderId="1" xfId="0" applyFont="1" applyFill="1" applyBorder="1" applyAlignment="1" applyProtection="1">
      <alignment horizontal="center" vertical="center" wrapText="1"/>
      <protection locked="0"/>
    </xf>
    <xf numFmtId="0" fontId="120" fillId="6" borderId="15" xfId="0"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vertical="center" wrapText="1"/>
    </xf>
    <xf numFmtId="0" fontId="55" fillId="0" borderId="78" xfId="0" applyFont="1" applyFill="1" applyBorder="1" applyAlignment="1" applyProtection="1">
      <alignment horizontal="center" vertical="center" wrapText="1"/>
      <protection locked="0"/>
    </xf>
    <xf numFmtId="0" fontId="50" fillId="6" borderId="78" xfId="0" applyFont="1" applyFill="1" applyBorder="1" applyAlignment="1" applyProtection="1">
      <alignment vertical="center" wrapText="1"/>
    </xf>
    <xf numFmtId="181" fontId="55" fillId="6" borderId="79" xfId="0" applyNumberFormat="1" applyFont="1" applyFill="1" applyBorder="1" applyAlignment="1" applyProtection="1">
      <alignment horizontal="center" vertical="center" wrapText="1"/>
    </xf>
    <xf numFmtId="49" fontId="55" fillId="6" borderId="4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181" fontId="50" fillId="6" borderId="53" xfId="0" applyNumberFormat="1" applyFont="1" applyFill="1" applyBorder="1" applyAlignment="1" applyProtection="1">
      <alignment horizontal="center" vertical="center" wrapText="1"/>
    </xf>
    <xf numFmtId="179" fontId="55" fillId="6" borderId="48" xfId="0" applyNumberFormat="1" applyFont="1" applyFill="1" applyBorder="1" applyAlignment="1" applyProtection="1">
      <alignment horizontal="center" vertical="center" wrapText="1"/>
    </xf>
    <xf numFmtId="181" fontId="50" fillId="6" borderId="8" xfId="0" applyNumberFormat="1" applyFont="1" applyFill="1" applyBorder="1" applyAlignment="1" applyProtection="1">
      <alignment horizontal="center" vertical="center" wrapText="1"/>
    </xf>
    <xf numFmtId="181" fontId="50" fillId="6" borderId="24" xfId="0" applyNumberFormat="1" applyFont="1" applyFill="1" applyBorder="1" applyAlignment="1" applyProtection="1">
      <alignment horizontal="center" vertical="center" wrapText="1"/>
    </xf>
    <xf numFmtId="0" fontId="50" fillId="6" borderId="48" xfId="0" applyFont="1" applyFill="1" applyBorder="1" applyAlignment="1" applyProtection="1">
      <alignment horizontal="center" vertical="center" wrapText="1"/>
    </xf>
    <xf numFmtId="0" fontId="50" fillId="6" borderId="5" xfId="0" applyFont="1" applyFill="1" applyBorder="1" applyAlignment="1" applyProtection="1">
      <alignment vertical="center" wrapText="1"/>
    </xf>
    <xf numFmtId="0" fontId="50" fillId="6" borderId="24" xfId="0" applyFont="1" applyFill="1" applyBorder="1" applyAlignment="1" applyProtection="1">
      <alignment horizontal="center" vertical="center" wrapText="1"/>
    </xf>
    <xf numFmtId="10" fontId="50" fillId="6" borderId="24"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horizontal="left" vertical="center" wrapText="1"/>
    </xf>
    <xf numFmtId="0" fontId="50" fillId="6" borderId="78" xfId="0" applyFont="1" applyFill="1" applyBorder="1" applyAlignment="1" applyProtection="1">
      <alignment horizontal="center" vertical="center" wrapText="1"/>
    </xf>
    <xf numFmtId="181" fontId="50" fillId="6" borderId="79" xfId="0" applyNumberFormat="1" applyFont="1" applyFill="1" applyBorder="1" applyAlignment="1" applyProtection="1">
      <alignment horizontal="center" vertical="center" wrapText="1"/>
    </xf>
    <xf numFmtId="49" fontId="50" fillId="6" borderId="7" xfId="0" applyNumberFormat="1" applyFont="1" applyFill="1" applyBorder="1" applyAlignment="1" applyProtection="1">
      <alignment vertical="center" wrapText="1"/>
    </xf>
    <xf numFmtId="0" fontId="50" fillId="6" borderId="7" xfId="0" applyFont="1" applyFill="1" applyBorder="1" applyAlignment="1" applyProtection="1">
      <alignment vertical="center" wrapText="1"/>
    </xf>
    <xf numFmtId="49" fontId="50" fillId="6" borderId="41" xfId="0" applyNumberFormat="1"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wrapText="1"/>
    </xf>
    <xf numFmtId="183" fontId="55" fillId="6" borderId="24"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79" fontId="55" fillId="6" borderId="24" xfId="0" applyNumberFormat="1"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 xfId="0" applyFont="1" applyBorder="1" applyAlignment="1">
      <alignment horizontal="center" vertical="center" wrapText="1"/>
    </xf>
    <xf numFmtId="0" fontId="50" fillId="8" borderId="1" xfId="0" applyFont="1" applyFill="1" applyBorder="1" applyAlignment="1" applyProtection="1">
      <alignment horizontal="center" vertical="center" wrapText="1"/>
      <protection locked="0"/>
    </xf>
    <xf numFmtId="0" fontId="50" fillId="8" borderId="2"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6" fontId="50" fillId="8" borderId="2" xfId="0" applyNumberFormat="1" applyFont="1" applyFill="1" applyBorder="1" applyAlignment="1" applyProtection="1">
      <alignment horizontal="center" vertical="center" wrapText="1"/>
    </xf>
    <xf numFmtId="176" fontId="50" fillId="8" borderId="13" xfId="0" applyNumberFormat="1" applyFont="1" applyFill="1" applyBorder="1" applyAlignment="1" applyProtection="1">
      <alignment horizontal="center" vertical="center" wrapText="1"/>
    </xf>
    <xf numFmtId="176" fontId="50" fillId="8" borderId="1" xfId="0" applyNumberFormat="1" applyFont="1" applyFill="1" applyBorder="1" applyAlignment="1" applyProtection="1">
      <alignment vertical="center" wrapText="1"/>
      <protection locked="0"/>
    </xf>
    <xf numFmtId="176" fontId="50" fillId="8" borderId="1" xfId="0" applyNumberFormat="1" applyFont="1" applyFill="1" applyBorder="1" applyAlignment="1" applyProtection="1">
      <alignment horizontal="center" vertical="center" wrapText="1"/>
      <protection locked="0"/>
    </xf>
    <xf numFmtId="0" fontId="50" fillId="8" borderId="4" xfId="0"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wrapText="1"/>
    </xf>
    <xf numFmtId="0" fontId="50" fillId="8" borderId="3" xfId="0" applyFont="1" applyFill="1" applyBorder="1" applyAlignment="1" applyProtection="1">
      <alignment horizontal="center" vertical="center" wrapText="1"/>
    </xf>
    <xf numFmtId="176" fontId="50" fillId="8" borderId="24" xfId="0" applyNumberFormat="1" applyFont="1" applyFill="1" applyBorder="1" applyAlignment="1" applyProtection="1">
      <alignment horizontal="center" vertical="center" wrapText="1"/>
    </xf>
    <xf numFmtId="0" fontId="50" fillId="8" borderId="0" xfId="0" applyFont="1" applyFill="1" applyAlignment="1" applyProtection="1">
      <alignment horizontal="center" vertical="center" wrapText="1"/>
    </xf>
    <xf numFmtId="0" fontId="80" fillId="8" borderId="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6" fontId="47" fillId="9" borderId="24" xfId="1"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177" fontId="57" fillId="9" borderId="1" xfId="1" applyNumberFormat="1" applyFont="1" applyFill="1" applyBorder="1" applyAlignment="1" applyProtection="1">
      <alignment horizontal="center"/>
    </xf>
    <xf numFmtId="178" fontId="56" fillId="8" borderId="1" xfId="0" applyNumberFormat="1" applyFont="1" applyFill="1" applyBorder="1" applyAlignment="1" applyProtection="1">
      <alignment horizontal="center" vertical="center"/>
    </xf>
    <xf numFmtId="0" fontId="56" fillId="8" borderId="1" xfId="0" applyFont="1" applyFill="1" applyBorder="1" applyAlignment="1" applyProtection="1">
      <alignment horizontal="center" vertical="center"/>
    </xf>
    <xf numFmtId="0" fontId="49" fillId="8" borderId="63" xfId="0" applyFont="1" applyFill="1" applyBorder="1" applyAlignment="1" applyProtection="1">
      <alignment vertical="center" wrapText="1"/>
    </xf>
    <xf numFmtId="0" fontId="49" fillId="8" borderId="64" xfId="0" applyFont="1" applyFill="1" applyBorder="1" applyAlignment="1" applyProtection="1">
      <alignment vertical="center" wrapText="1"/>
    </xf>
    <xf numFmtId="0" fontId="47" fillId="9" borderId="4" xfId="0" applyFont="1" applyFill="1" applyBorder="1" applyAlignment="1" applyProtection="1">
      <alignment horizontal="center" vertical="center" wrapText="1"/>
    </xf>
    <xf numFmtId="0" fontId="54" fillId="9" borderId="37" xfId="0" applyNumberFormat="1" applyFont="1" applyFill="1" applyBorder="1" applyAlignment="1" applyProtection="1">
      <alignment horizontal="center" vertical="center" wrapText="1"/>
      <protection locked="0"/>
    </xf>
    <xf numFmtId="0" fontId="64" fillId="8" borderId="3"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176" fontId="50" fillId="9" borderId="1" xfId="0" applyNumberFormat="1" applyFont="1" applyFill="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河北省保定市涞水县涞水镇东关村府前街2号桥北侧20#A、20#B住宅、商业用房出让国有建设用地使用权及在建建筑物房地产抵押价值预评估</v>
      </c>
    </row>
    <row r="3" spans="1:2" s="1597" customFormat="1">
      <c r="A3" s="1595" t="s">
        <v>1222</v>
      </c>
      <c r="B3" s="1596" t="str">
        <f>'预评函-封皮'!B40</f>
        <v>河北旭嘉房地产开发有限公司</v>
      </c>
    </row>
    <row r="4" spans="1:2" s="1597" customFormat="1">
      <c r="A4" s="1595" t="s">
        <v>1223</v>
      </c>
      <c r="B4" s="1596" t="str">
        <f ca="1">'预评函-封皮'!B46</f>
        <v>郑燚（注册号：1120070131)、王萌（注册号：1120130048)</v>
      </c>
    </row>
    <row r="5" spans="1:2" s="1591" customFormat="1" ht="15" thickBot="1">
      <c r="A5" s="1598" t="s">
        <v>1224</v>
      </c>
      <c r="B5" s="1599" t="str">
        <f>'预评函-封皮'!B49</f>
        <v>康正预评字2017-1-1014-P03DYGJ3号</v>
      </c>
    </row>
    <row r="6" spans="1:2" s="1594" customFormat="1" ht="15" thickTop="1">
      <c r="A6" s="1592" t="s">
        <v>1225</v>
      </c>
      <c r="B6" s="1593" t="str">
        <f>'预评函-1'!A4</f>
        <v>受贵公司委托，我公司对河北省保定市涞水县涞水镇东关村府前街2号桥北侧20#A、20#B住宅、商业用房出让国有建设用地使用权及在建建筑物房地产抵押价值进行了预评估。</v>
      </c>
    </row>
    <row r="7" spans="1:2" s="1597" customFormat="1">
      <c r="A7" s="1595" t="s">
        <v>1265</v>
      </c>
      <c r="B7" s="1596" t="str">
        <f>'预评函-1'!A7</f>
        <v>估价对象为河北省保定市涞水县涞水镇东关村府前街2号桥北侧20#A、20#B住宅、商业用房出让国有建设用地使用权及在建建筑物房地产，为河北旭嘉房地产开发有限公司所有。根据《国有土地使用证》[保涞水国用（2015）第00032号]，估价对象（分摊）出让国有建设用地使用权面积为5708.86平方米，建筑面积为14410.755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河北省保定市涞水县涞水镇东关村府前街2号桥北侧20#A、20#B住宅、商业用房出让国有建设用地使用权及在建建筑物房地产,属河北旭嘉房地产开发有限公司开发建设的居住项目，该项目尚在开发建设中。根据《国有土地使用证》[保涞水国用（2015）第00032号]，估价对象（分摊）出让国有建设用地使用权面积为5708.86平方米，规划建筑面积为14410.755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为估价委托人在向华鑫国际信托有限公司办理贷款手续过程中，确定房地产抵押贷款额度提供参考依据而评估房地产抵押价值。</v>
      </c>
    </row>
    <row r="12" spans="1:2" s="1597" customFormat="1">
      <c r="A12" s="1595" t="s">
        <v>1227</v>
      </c>
      <c r="B12" s="1596" t="str">
        <f>'预评函-1'!A15</f>
        <v>2017年11月10日（评估专业人员实地查勘之日）</v>
      </c>
    </row>
    <row r="13" spans="1:2" s="1597" customFormat="1">
      <c r="A13" s="1595" t="s">
        <v>1228</v>
      </c>
      <c r="B13" s="1596" t="str">
        <f>'预评函-1'!A18</f>
        <v>本次估价的“房地产价值”是指在正常市场情况下，在价值时点2017年11月10日，估价对象规划用途为住宅，土地取得方式为出让，出让国有建设用地使用权剩余土地使用年限为住宅66.1年,商业36.1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通路、通电、通讯、通上水、通下水、通热、燃气）、红线内场地平整条件下，剩余土地使用年限为住宅66.1年,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本次评估采用的主估价方法为成本法和假设开发法。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4600</v>
      </c>
    </row>
    <row r="21" spans="1:2" s="1597" customFormat="1">
      <c r="A21" s="1595" t="s">
        <v>1236</v>
      </c>
      <c r="B21" s="1596">
        <f ca="1">'预评函-2'!D7</f>
        <v>3192</v>
      </c>
    </row>
    <row r="22" spans="1:2" s="1597" customFormat="1">
      <c r="A22" s="1595" t="s">
        <v>1237</v>
      </c>
      <c r="B22" s="1596" t="str">
        <f ca="1">'预评函-2'!D6</f>
        <v>肆仟陆佰万元整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4600</v>
      </c>
    </row>
    <row r="31" spans="1:2" s="1597" customFormat="1">
      <c r="A31" s="1595" t="s">
        <v>1275</v>
      </c>
      <c r="B31" s="1596">
        <f ca="1">'预评函-2'!D15</f>
        <v>3192</v>
      </c>
    </row>
    <row r="32" spans="1:2" s="1597" customFormat="1">
      <c r="A32" s="1595" t="s">
        <v>1242</v>
      </c>
      <c r="B32" s="1596" t="str">
        <f ca="1">'预评函-2'!D14</f>
        <v>肆仟陆佰万元整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河北省保定市涞水县涞水镇东关村府前街2号桥北侧20#A、20#B住宅、商业用房出让国有建设用地使用权及在建建筑物房地产</v>
      </c>
    </row>
    <row r="42" spans="1:2" s="1597" customFormat="1">
      <c r="A42" s="1595" t="s">
        <v>1289</v>
      </c>
      <c r="B42" s="1596" t="str">
        <f>'预评函-3'!B2</f>
        <v>建筑面积</v>
      </c>
    </row>
    <row r="43" spans="1:2" s="1597" customFormat="1">
      <c r="A43" s="1595" t="s">
        <v>1290</v>
      </c>
      <c r="B43" s="1596">
        <f>'预评函-3'!B4</f>
        <v>14410.755000000001</v>
      </c>
    </row>
    <row r="44" spans="1:2" s="1597" customFormat="1">
      <c r="A44" s="1595" t="s">
        <v>1274</v>
      </c>
      <c r="B44" s="1596" t="str">
        <f>'预评函-3'!C2</f>
        <v>(分摊)土地面积</v>
      </c>
    </row>
    <row r="45" spans="1:2" s="1597" customFormat="1">
      <c r="A45" s="1595" t="s">
        <v>1246</v>
      </c>
      <c r="B45" s="1596">
        <f>'预评函-3'!C4</f>
        <v>5708.86</v>
      </c>
    </row>
    <row r="46" spans="1:2" s="1597" customFormat="1">
      <c r="A46" s="1595" t="s">
        <v>1272</v>
      </c>
      <c r="B46" s="1596" t="str">
        <f>'预评函-3'!D2</f>
        <v>出让国有建设用地使用权价值</v>
      </c>
    </row>
    <row r="47" spans="1:2" s="1597" customFormat="1">
      <c r="A47" s="1595" t="s">
        <v>1247</v>
      </c>
      <c r="B47" s="1596">
        <f ca="1">'预评函-3'!D4</f>
        <v>4080</v>
      </c>
    </row>
    <row r="48" spans="1:2" s="1597" customFormat="1">
      <c r="A48" s="1595" t="s">
        <v>1248</v>
      </c>
      <c r="B48" s="1596">
        <f ca="1">'预评函-3'!E4</f>
        <v>2831</v>
      </c>
    </row>
    <row r="49" spans="1:2" s="1597" customFormat="1">
      <c r="A49" s="1595" t="s">
        <v>1249</v>
      </c>
      <c r="B49" s="1596" t="str">
        <f ca="1">'预评函-3'!D5</f>
        <v>肆仟零捌拾万元整</v>
      </c>
    </row>
    <row r="50" spans="1:2" s="1597" customFormat="1">
      <c r="A50" s="1595" t="s">
        <v>1273</v>
      </c>
      <c r="B50" s="1596" t="str">
        <f>'预评函-3'!F2</f>
        <v>在建建筑物价值</v>
      </c>
    </row>
    <row r="51" spans="1:2" s="1597" customFormat="1">
      <c r="A51" s="1595" t="s">
        <v>1250</v>
      </c>
      <c r="B51" s="1596">
        <f ca="1">'预评函-3'!F4</f>
        <v>520</v>
      </c>
    </row>
    <row r="52" spans="1:2" s="1597" customFormat="1">
      <c r="A52" s="1595" t="s">
        <v>1251</v>
      </c>
      <c r="B52" s="1596">
        <f ca="1">'预评函-3'!G4</f>
        <v>361</v>
      </c>
    </row>
    <row r="53" spans="1:2" s="1597" customFormat="1">
      <c r="A53" s="1595" t="s">
        <v>1279</v>
      </c>
      <c r="B53" s="1596" t="str">
        <f ca="1">'预评函-3'!F5</f>
        <v>伍佰贰拾万元整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7" customFormat="1">
      <c r="A67" s="1595" t="s">
        <v>1270</v>
      </c>
      <c r="B67" s="15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郑燚</v>
      </c>
    </row>
    <row r="71" spans="1:2">
      <c r="A71" s="1595" t="s">
        <v>1262</v>
      </c>
      <c r="B71" s="1596">
        <f ca="1">'预评函-4'!B4</f>
        <v>1120070131</v>
      </c>
    </row>
    <row r="72" spans="1:2">
      <c r="A72" s="1595" t="s">
        <v>1263</v>
      </c>
      <c r="B72" s="1604" t="str">
        <f>'预评函-4'!A5</f>
        <v>王萌</v>
      </c>
    </row>
    <row r="73" spans="1:2" s="1591" customFormat="1" ht="15" thickBot="1">
      <c r="A73" s="1598" t="s">
        <v>1264</v>
      </c>
      <c r="B73" s="1599">
        <f ca="1">'预评函-4'!B5</f>
        <v>1120130048</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旭嘉房地产开发有限公司拟使用河北省保定市涞水县涞水镇东关村府前街2号桥北侧20#A、20#B住宅、商业用房出让国有建设用地使用权及在建建筑物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4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6"/>
      <c r="B54" s="2025" t="s">
        <v>864</v>
      </c>
      <c r="C54" s="2022" t="s">
        <v>1282</v>
      </c>
    </row>
    <row r="55" spans="1:4">
      <c r="A55" s="3046"/>
      <c r="B55" s="2025" t="s">
        <v>865</v>
      </c>
      <c r="C55" s="2022" t="s">
        <v>1283</v>
      </c>
    </row>
    <row r="56" spans="1:4">
      <c r="A56" s="3046"/>
      <c r="B56" s="2025" t="s">
        <v>866</v>
      </c>
      <c r="C56" s="2022" t="s">
        <v>1287</v>
      </c>
    </row>
    <row r="57" spans="1:4">
      <c r="A57" s="3046"/>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4" sqref="C24"/>
    </sheetView>
  </sheetViews>
  <sheetFormatPr defaultColWidth="10" defaultRowHeight="18" customHeight="1"/>
  <cols>
    <col min="1" max="1" width="14.875" style="2035" customWidth="1"/>
    <col min="2" max="3" width="11.5" style="2035" customWidth="1"/>
    <col min="4" max="4" width="11.75" style="2035" customWidth="1"/>
    <col min="5"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1778</v>
      </c>
      <c r="B1" s="3047" t="str">
        <f>IF(B10="北京市","北京市",C10)&amp;F10&amp;IF(结果表!G1="在建","出让国有建设用地使用权及在建建筑物",IF(结果表!G1="土地","出让国有建设用地使用权",))&amp;B9&amp;"预评估"</f>
        <v>河北省保定市涞水县涞水镇东关村府前街2号桥北侧20#A、20#B住宅、商业用房出让国有建设用地使用权及在建建筑物房地产抵押价值预评估</v>
      </c>
      <c r="C1" s="3048"/>
      <c r="D1" s="3048"/>
      <c r="E1" s="3048"/>
      <c r="F1" s="3048"/>
      <c r="G1" s="3048"/>
      <c r="H1" s="3048"/>
      <c r="I1" s="304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河北省保定市涞水县涞水镇东关村府前街2号桥北侧20#A、20#B住宅、商业用房出让国有建设用地使用权及在建建筑物房地产抵押价值</v>
      </c>
    </row>
    <row r="2" spans="1:19" ht="18" customHeight="1">
      <c r="A2" s="2029" t="s">
        <v>1779</v>
      </c>
      <c r="B2" s="1042" t="s">
        <v>3169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河北省保定市涞水县涞水镇东关村府前街2号桥北侧20#A、20#B住宅、商业用房出让国有建设用地使用权及在建建筑物房地产</v>
      </c>
    </row>
    <row r="3" spans="1:19" ht="18" customHeight="1">
      <c r="A3" s="2038" t="s">
        <v>1780</v>
      </c>
      <c r="B3" s="2039">
        <v>43049</v>
      </c>
      <c r="C3" s="2040" t="s">
        <v>1781</v>
      </c>
      <c r="D3" s="2039">
        <f>B3</f>
        <v>43049</v>
      </c>
      <c r="E3" s="2029"/>
      <c r="F3" s="2029"/>
      <c r="G3" s="2029"/>
      <c r="H3" s="2029"/>
      <c r="I3" s="2029"/>
      <c r="J3" s="2029"/>
      <c r="K3" s="2030"/>
      <c r="L3" s="2031"/>
      <c r="M3" s="2031"/>
      <c r="N3" s="2032"/>
      <c r="O3" s="2033"/>
      <c r="P3" s="2032"/>
      <c r="Q3" s="2032"/>
      <c r="R3" s="2032"/>
      <c r="S3" s="2034"/>
    </row>
    <row r="4" spans="1:19" ht="18" customHeight="1" thickBot="1">
      <c r="A4" s="2041" t="s">
        <v>1782</v>
      </c>
      <c r="B4" s="2042" t="s">
        <v>3042</v>
      </c>
      <c r="C4" s="1040">
        <f ca="1">SUMIF(注册房地产估价师,B4,估价师及机构信息!B3:B24)</f>
        <v>1120070131</v>
      </c>
      <c r="D4" s="2042" t="s">
        <v>3043</v>
      </c>
      <c r="E4" s="1041">
        <f ca="1">SUMIF(注册房地产估价师,D4,估价师及机构信息!B3:B24)</f>
        <v>1120130048</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郑燚（注册号：1120070131)、王萌（注册号：1120130048)</v>
      </c>
      <c r="L4" s="2031"/>
      <c r="M4" s="2031"/>
      <c r="N4" s="2032"/>
      <c r="O4" s="2033"/>
      <c r="P4" s="2032"/>
      <c r="Q4" s="2032"/>
      <c r="R4" s="2032"/>
      <c r="S4" s="2034"/>
    </row>
    <row r="5" spans="1:19" ht="18" customHeight="1" thickTop="1">
      <c r="A5" s="2047" t="s">
        <v>1783</v>
      </c>
      <c r="B5" s="2927"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53" t="s">
        <v>3170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8" t="s">
        <v>3044</v>
      </c>
      <c r="C7" s="2051"/>
      <c r="D7" s="2052"/>
      <c r="E7" s="2037"/>
      <c r="F7" s="2045"/>
      <c r="G7" s="2045"/>
      <c r="H7" s="2045"/>
      <c r="I7" s="2045"/>
      <c r="J7" s="2045"/>
      <c r="K7" s="2054"/>
      <c r="L7" s="2031"/>
      <c r="M7" s="2031"/>
      <c r="N7" s="2032"/>
      <c r="O7" s="2033"/>
      <c r="P7" s="2032"/>
      <c r="Q7" s="2032"/>
      <c r="R7" s="2032"/>
    </row>
    <row r="8" spans="1:19" ht="18" customHeight="1">
      <c r="A8" s="2050" t="s">
        <v>1786</v>
      </c>
      <c r="B8" s="2055" t="s">
        <v>3045</v>
      </c>
      <c r="C8" s="2056"/>
      <c r="D8" s="3050" t="s">
        <v>1787</v>
      </c>
      <c r="E8" s="2057" t="s">
        <v>3046</v>
      </c>
      <c r="F8" s="2058"/>
      <c r="G8" s="2029"/>
      <c r="H8" s="2029"/>
      <c r="I8" s="2029"/>
      <c r="J8" s="2045"/>
      <c r="K8" s="2046"/>
      <c r="L8" s="2031"/>
      <c r="M8" s="2031"/>
      <c r="N8" s="2032"/>
      <c r="O8" s="2033"/>
      <c r="P8" s="2032"/>
      <c r="Q8" s="2032"/>
      <c r="R8" s="2032"/>
    </row>
    <row r="9" spans="1:19" ht="18" customHeight="1" thickBot="1">
      <c r="A9" s="2043" t="s">
        <v>1788</v>
      </c>
      <c r="B9" s="2059" t="s">
        <v>3046</v>
      </c>
      <c r="C9" s="2060"/>
      <c r="D9" s="3051"/>
      <c r="E9" s="2059" t="s">
        <v>70</v>
      </c>
      <c r="F9" s="2061"/>
      <c r="G9" s="2062"/>
      <c r="H9" s="2062"/>
      <c r="I9" s="2062"/>
      <c r="J9" s="2045"/>
      <c r="K9" s="2054"/>
      <c r="L9" s="2031"/>
      <c r="M9" s="2031"/>
      <c r="N9" s="2032"/>
      <c r="O9" s="2033"/>
      <c r="P9" s="2032"/>
      <c r="Q9" s="2032"/>
      <c r="R9" s="2032"/>
    </row>
    <row r="10" spans="1:19" ht="18" customHeight="1" thickTop="1">
      <c r="A10" s="2063" t="s">
        <v>1789</v>
      </c>
      <c r="B10" s="2064" t="s">
        <v>3047</v>
      </c>
      <c r="C10" s="2929" t="s">
        <v>3048</v>
      </c>
      <c r="D10" s="2049"/>
      <c r="E10" s="2065" t="s">
        <v>1790</v>
      </c>
      <c r="F10" s="2926" t="s">
        <v>3171</v>
      </c>
      <c r="G10" s="2066"/>
      <c r="H10" s="2067"/>
      <c r="I10" s="2049"/>
      <c r="J10" s="2045"/>
      <c r="K10" s="2054"/>
      <c r="L10" s="2031"/>
      <c r="M10" s="2031"/>
      <c r="N10" s="2032"/>
      <c r="O10" s="2033"/>
      <c r="P10" s="2032"/>
      <c r="Q10" s="2032"/>
      <c r="R10" s="2032"/>
    </row>
    <row r="11" spans="1:19" ht="18" customHeight="1">
      <c r="A11" s="2068" t="s">
        <v>1791</v>
      </c>
      <c r="B11" s="2069" t="s">
        <v>3049</v>
      </c>
      <c r="C11" s="2928" t="s">
        <v>3044</v>
      </c>
      <c r="D11" s="2070"/>
      <c r="E11" s="2045"/>
      <c r="F11" s="2045"/>
      <c r="G11" s="2045"/>
      <c r="H11" s="2045"/>
      <c r="I11" s="2045"/>
      <c r="J11" s="2045"/>
      <c r="K11" s="2054"/>
      <c r="L11" s="2031"/>
      <c r="M11" s="2031"/>
      <c r="N11" s="2032"/>
      <c r="O11" s="2033"/>
      <c r="P11" s="2032"/>
      <c r="Q11" s="2032"/>
      <c r="R11" s="2032"/>
    </row>
    <row r="12" spans="1:19" ht="18" customHeight="1">
      <c r="A12" s="2071" t="s">
        <v>1792</v>
      </c>
      <c r="B12" s="2069" t="s">
        <v>3050</v>
      </c>
      <c r="C12" s="2072" t="s">
        <v>1793</v>
      </c>
      <c r="D12" s="2073" t="s">
        <v>1794</v>
      </c>
      <c r="E12" s="2073" t="s">
        <v>1795</v>
      </c>
      <c r="F12" s="2073" t="s">
        <v>1796</v>
      </c>
      <c r="G12" s="2073" t="s">
        <v>1797</v>
      </c>
      <c r="H12" s="2073" t="s">
        <v>1798</v>
      </c>
      <c r="I12" s="2073" t="s">
        <v>1799</v>
      </c>
      <c r="J12" s="2045"/>
      <c r="K12" s="2054"/>
      <c r="L12" s="2031"/>
      <c r="M12" s="2031"/>
      <c r="N12" s="2032"/>
      <c r="O12" s="2033"/>
      <c r="P12" s="2032"/>
      <c r="Q12" s="2032"/>
      <c r="R12" s="2032"/>
    </row>
    <row r="13" spans="1:19" ht="18" customHeight="1">
      <c r="A13" s="2074"/>
      <c r="B13" s="2075"/>
      <c r="C13" s="2076" t="s">
        <v>1800</v>
      </c>
      <c r="D13" s="2077">
        <v>67207</v>
      </c>
      <c r="E13" s="2077">
        <v>56250</v>
      </c>
      <c r="F13" s="2077"/>
      <c r="G13" s="2077"/>
      <c r="H13" s="2077"/>
      <c r="I13" s="1050"/>
      <c r="J13" s="2045"/>
      <c r="K13" s="2054"/>
      <c r="L13" s="2031"/>
      <c r="M13" s="2031"/>
      <c r="N13" s="2032"/>
      <c r="O13" s="2033"/>
      <c r="P13" s="2032"/>
      <c r="Q13" s="2032"/>
      <c r="R13" s="2032"/>
    </row>
    <row r="14" spans="1:19" ht="18" customHeight="1">
      <c r="A14" s="2074"/>
      <c r="B14" s="2075"/>
      <c r="C14" s="2076" t="s">
        <v>1801</v>
      </c>
      <c r="D14" s="1053">
        <v>70</v>
      </c>
      <c r="E14" s="1053">
        <v>40</v>
      </c>
      <c r="F14" s="1053"/>
      <c r="G14" s="1053"/>
      <c r="H14" s="1053"/>
      <c r="I14" s="1053"/>
      <c r="J14" s="2045"/>
      <c r="K14" s="2078"/>
      <c r="L14" s="2031"/>
      <c r="M14" s="2031"/>
      <c r="N14" s="2032"/>
      <c r="O14" s="2033"/>
      <c r="P14" s="2032"/>
      <c r="Q14" s="2032"/>
      <c r="R14" s="2032"/>
    </row>
    <row r="15" spans="1:19" ht="18" customHeight="1">
      <c r="A15" s="2063"/>
      <c r="B15" s="2079"/>
      <c r="C15" s="2076" t="s">
        <v>1802</v>
      </c>
      <c r="D15" s="1052">
        <f>IF(B12="出让",IF(D13="","",ROUNDDOWN(MIN((D13-$D$3)/365,D14),2)),D14)</f>
        <v>66.180000000000007</v>
      </c>
      <c r="E15" s="1052">
        <f>IF(B12="出让",IF(E13="","",ROUNDDOWN(MIN((E13-$D$3)/365,E14),2)),E14)</f>
        <v>36.159999999999997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0"/>
      <c r="L15" s="2081"/>
      <c r="M15" s="2081"/>
      <c r="N15" s="2082"/>
      <c r="O15" s="2081"/>
      <c r="P15" s="2082"/>
      <c r="Q15" s="2032"/>
      <c r="R15" s="2032"/>
    </row>
    <row r="16" spans="1:19" ht="30.75" customHeight="1">
      <c r="A16" s="2065" t="s">
        <v>1803</v>
      </c>
      <c r="B16" s="3057" t="s">
        <v>3052</v>
      </c>
      <c r="C16" s="3058"/>
      <c r="D16" s="3059"/>
      <c r="E16" s="2083" t="s">
        <v>1804</v>
      </c>
      <c r="F16" s="3060" t="s">
        <v>3163</v>
      </c>
      <c r="G16" s="3061"/>
      <c r="H16" s="3061"/>
      <c r="I16" s="3062"/>
      <c r="J16" s="2032"/>
      <c r="K16" s="2080"/>
      <c r="L16" s="2081"/>
      <c r="M16" s="2081"/>
      <c r="N16" s="2082"/>
      <c r="O16" s="2081"/>
      <c r="P16" s="2082"/>
      <c r="Q16" s="2032"/>
      <c r="R16" s="2032"/>
    </row>
    <row r="17" spans="1:22" ht="18" customHeight="1">
      <c r="A17" s="2084" t="s">
        <v>1805</v>
      </c>
      <c r="B17" s="2038" t="s">
        <v>1806</v>
      </c>
      <c r="C17" s="1057">
        <f>'数据-汇总表'!E3</f>
        <v>14410.755000000001</v>
      </c>
      <c r="D17" s="2085" t="s">
        <v>1807</v>
      </c>
      <c r="E17" s="3063" t="s">
        <v>3164</v>
      </c>
      <c r="F17" s="3064"/>
      <c r="G17" s="3064"/>
      <c r="H17" s="3064"/>
      <c r="I17" s="3065"/>
      <c r="J17" s="2032"/>
      <c r="K17" s="2086"/>
      <c r="L17" s="2081"/>
      <c r="M17" s="2081"/>
      <c r="N17" s="2082"/>
      <c r="O17" s="2081"/>
      <c r="P17" s="2082"/>
      <c r="Q17" s="2032"/>
      <c r="R17" s="2032"/>
      <c r="S17" s="2032"/>
      <c r="T17" s="2032"/>
      <c r="U17" s="2032"/>
      <c r="V17" s="2032"/>
    </row>
    <row r="18" spans="1:22" ht="36" customHeight="1" thickBot="1">
      <c r="A18" s="2087" t="s">
        <v>1808</v>
      </c>
      <c r="B18" s="2041" t="s">
        <v>1809</v>
      </c>
      <c r="C18" s="1447">
        <f>'数据-汇总表'!D3</f>
        <v>5708.86</v>
      </c>
      <c r="D18" s="2088" t="s">
        <v>1807</v>
      </c>
      <c r="E18" s="3066" t="s">
        <v>3165</v>
      </c>
      <c r="F18" s="3067"/>
      <c r="G18" s="3067"/>
      <c r="H18" s="3067"/>
      <c r="I18" s="3068"/>
      <c r="J18" s="2032"/>
      <c r="K18" s="2086"/>
      <c r="L18" s="2081"/>
      <c r="M18" s="2081"/>
      <c r="N18" s="2082"/>
      <c r="O18" s="2081"/>
      <c r="P18" s="2082"/>
      <c r="Q18" s="2032"/>
      <c r="R18" s="2032"/>
      <c r="S18" s="2032"/>
      <c r="T18" s="2032"/>
      <c r="U18" s="2032"/>
      <c r="V18" s="2032"/>
    </row>
    <row r="19" spans="1:22" ht="37.5" customHeight="1" thickTop="1" thickBot="1">
      <c r="A19" s="373" t="s">
        <v>1810</v>
      </c>
      <c r="B19" s="352" t="s">
        <v>1811</v>
      </c>
      <c r="C19" s="2089" t="s">
        <v>3053</v>
      </c>
      <c r="D19" s="2090" t="s">
        <v>1812</v>
      </c>
      <c r="E19" s="2091" t="s">
        <v>70</v>
      </c>
      <c r="F19" s="2092" t="str">
        <f>IF(AND(C19="是",E19="否"),"是否提供他项权证或相关说明","")</f>
        <v/>
      </c>
      <c r="G19" s="2093"/>
      <c r="H19" s="2045"/>
      <c r="I19" s="2045"/>
      <c r="J19" s="2045"/>
      <c r="K19" s="2054"/>
      <c r="L19" s="2031"/>
      <c r="M19" s="2031"/>
      <c r="N19" s="2082"/>
      <c r="O19" s="2081"/>
      <c r="P19" s="2082"/>
      <c r="Q19" s="2032"/>
      <c r="R19" s="2032"/>
      <c r="S19" s="2032"/>
      <c r="T19" s="2032"/>
      <c r="U19" s="2032"/>
      <c r="V19" s="2032"/>
    </row>
    <row r="20" spans="1:22" ht="18" customHeight="1">
      <c r="A20" s="2094" t="s">
        <v>1813</v>
      </c>
      <c r="B20" s="3053" t="s">
        <v>1814</v>
      </c>
      <c r="C20" s="3054"/>
      <c r="D20" s="3055" t="s">
        <v>1815</v>
      </c>
      <c r="E20" s="3056"/>
      <c r="F20" s="2095" t="s">
        <v>1816</v>
      </c>
      <c r="G20" s="2045"/>
      <c r="H20" s="2045"/>
      <c r="I20" s="2045"/>
      <c r="J20" s="2045"/>
      <c r="K20" s="3052" t="s">
        <v>1817</v>
      </c>
      <c r="L20" s="748"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31"/>
      <c r="N20" s="2082"/>
      <c r="O20" s="2081"/>
      <c r="P20" s="2082"/>
      <c r="Q20" s="2032"/>
      <c r="R20" s="2032"/>
      <c r="S20" s="2032"/>
      <c r="T20" s="2032"/>
      <c r="U20" s="2032"/>
      <c r="V20" s="2032"/>
    </row>
    <row r="21" spans="1:22" ht="24.75" customHeight="1">
      <c r="A21" s="2094"/>
      <c r="B21" s="2096" t="s">
        <v>3054</v>
      </c>
      <c r="C21" s="2097" t="s">
        <v>1818</v>
      </c>
      <c r="D21" s="2098"/>
      <c r="E21" s="2099" t="s">
        <v>70</v>
      </c>
      <c r="F21" s="2100"/>
      <c r="G21" s="2045"/>
      <c r="H21" s="2045"/>
      <c r="I21" s="2045"/>
      <c r="J21" s="2045"/>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2"/>
      <c r="O21" s="2081"/>
      <c r="P21" s="2082"/>
      <c r="Q21" s="2032"/>
      <c r="R21" s="2032"/>
      <c r="S21" s="2032"/>
      <c r="T21" s="2032"/>
      <c r="U21" s="2032"/>
      <c r="V21" s="2032"/>
    </row>
    <row r="22" spans="1:22" ht="24.75" customHeight="1" thickBot="1">
      <c r="A22" s="2094"/>
      <c r="B22" s="2101" t="s">
        <v>70</v>
      </c>
      <c r="C22" s="2097" t="s">
        <v>1819</v>
      </c>
      <c r="D22" s="2029"/>
      <c r="E22" s="2029"/>
      <c r="F22" s="2102"/>
      <c r="G22" s="2045"/>
      <c r="H22" s="2045"/>
      <c r="I22" s="2045"/>
      <c r="J22" s="2045"/>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2"/>
      <c r="O22" s="2081"/>
      <c r="P22" s="2082"/>
      <c r="Q22" s="2032"/>
      <c r="R22" s="2032"/>
      <c r="S22" s="2032"/>
      <c r="T22" s="2032"/>
      <c r="U22" s="2032"/>
      <c r="V22" s="2032"/>
    </row>
    <row r="23" spans="1:22" ht="18" customHeight="1">
      <c r="A23" s="2103" t="s">
        <v>1820</v>
      </c>
      <c r="B23" s="183" t="s">
        <v>1821</v>
      </c>
      <c r="C23" s="2104"/>
      <c r="D23" s="2105" t="s">
        <v>1821</v>
      </c>
      <c r="E23" s="2106"/>
      <c r="F23" s="2102"/>
      <c r="G23" s="2045"/>
      <c r="H23" s="2045"/>
      <c r="I23" s="2045"/>
      <c r="J23" s="2045"/>
      <c r="K23" s="2107"/>
      <c r="L23" s="748"/>
      <c r="M23" s="2031"/>
      <c r="N23" s="2082"/>
      <c r="O23" s="2081"/>
      <c r="P23" s="2082"/>
      <c r="Q23" s="2032"/>
      <c r="R23" s="2032"/>
      <c r="S23" s="2032"/>
      <c r="T23" s="2032"/>
      <c r="U23" s="2032"/>
      <c r="V23" s="2032"/>
    </row>
    <row r="24" spans="1:22" ht="18" customHeight="1">
      <c r="A24" s="2108"/>
      <c r="B24" s="183" t="s">
        <v>1822</v>
      </c>
      <c r="C24" s="2109"/>
      <c r="D24" s="2103" t="s">
        <v>1822</v>
      </c>
      <c r="E24" s="2110"/>
      <c r="F24" s="2102"/>
      <c r="G24" s="2045"/>
      <c r="H24" s="2045"/>
      <c r="I24" s="2045"/>
      <c r="J24" s="2045"/>
      <c r="K24" s="2107"/>
      <c r="L24" s="748"/>
      <c r="M24" s="2031"/>
      <c r="N24" s="2082"/>
      <c r="O24" s="2081"/>
      <c r="P24" s="2082"/>
      <c r="Q24" s="2032"/>
      <c r="R24" s="2032"/>
      <c r="S24" s="2032"/>
      <c r="T24" s="2032"/>
      <c r="U24" s="2032"/>
      <c r="V24" s="2032"/>
    </row>
    <row r="25" spans="1:22" ht="18" customHeight="1">
      <c r="A25" s="2108"/>
      <c r="B25" s="183" t="s">
        <v>1823</v>
      </c>
      <c r="C25" s="2109"/>
      <c r="D25" s="2103" t="s">
        <v>1823</v>
      </c>
      <c r="E25" s="2110"/>
      <c r="F25" s="2102"/>
      <c r="G25" s="2045"/>
      <c r="H25" s="2045"/>
      <c r="I25" s="2045"/>
      <c r="J25" s="2045"/>
      <c r="K25" s="2054"/>
      <c r="L25" s="2031"/>
      <c r="M25" s="2031"/>
      <c r="N25" s="2082"/>
      <c r="O25" s="2081"/>
      <c r="P25" s="2082"/>
      <c r="Q25" s="2032"/>
      <c r="R25" s="2032"/>
      <c r="S25" s="2032"/>
      <c r="T25" s="2032"/>
      <c r="U25" s="2032"/>
      <c r="V25" s="2032"/>
    </row>
    <row r="26" spans="1:22" ht="18" customHeight="1" thickBot="1">
      <c r="A26" s="2111"/>
      <c r="B26" s="2112" t="s">
        <v>1824</v>
      </c>
      <c r="C26" s="2113"/>
      <c r="D26" s="2114" t="s">
        <v>1825</v>
      </c>
      <c r="E26" s="2115"/>
      <c r="F26" s="2116"/>
      <c r="G26" s="2062"/>
      <c r="H26" s="2062"/>
      <c r="I26" s="2062"/>
      <c r="J26" s="2045"/>
      <c r="K26" s="2054"/>
      <c r="L26" s="2031"/>
      <c r="M26" s="2031"/>
      <c r="N26" s="2082"/>
      <c r="O26" s="2081"/>
      <c r="P26" s="2082"/>
      <c r="Q26" s="2032"/>
      <c r="R26" s="2032"/>
      <c r="S26" s="2032"/>
      <c r="T26" s="2032"/>
      <c r="U26" s="2032"/>
      <c r="V26" s="2032"/>
    </row>
    <row r="27" spans="1:22" ht="18" customHeight="1" thickTop="1">
      <c r="A27" s="3070" t="s">
        <v>1826</v>
      </c>
      <c r="B27" s="2063" t="s">
        <v>1827</v>
      </c>
      <c r="C27" s="2117" t="s">
        <v>3055</v>
      </c>
      <c r="D27" s="2118"/>
      <c r="E27" s="2045"/>
      <c r="F27" s="2045"/>
      <c r="G27" s="2045"/>
      <c r="H27" s="2045"/>
      <c r="I27" s="2045"/>
      <c r="J27" s="2032"/>
      <c r="K27" s="2080"/>
      <c r="L27" s="2081"/>
      <c r="M27" s="2081"/>
      <c r="N27" s="2082"/>
      <c r="O27" s="2081"/>
      <c r="P27" s="2082"/>
      <c r="Q27" s="2032"/>
      <c r="R27" s="2032"/>
      <c r="S27" s="2032"/>
      <c r="T27" s="2032"/>
      <c r="U27" s="2032"/>
      <c r="V27" s="2032"/>
    </row>
    <row r="28" spans="1:22" ht="18" customHeight="1">
      <c r="A28" s="3070"/>
      <c r="B28" s="2038" t="s">
        <v>1828</v>
      </c>
      <c r="C28" s="2119" t="s">
        <v>3056</v>
      </c>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070"/>
      <c r="B29" s="2038" t="s">
        <v>1829</v>
      </c>
      <c r="C29" s="2122" t="s">
        <v>3053</v>
      </c>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071"/>
      <c r="B30" s="2038" t="s">
        <v>1830</v>
      </c>
      <c r="C30" s="3072"/>
      <c r="D30" s="3073"/>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074" t="s">
        <v>1831</v>
      </c>
      <c r="B31" s="2124" t="s">
        <v>3057</v>
      </c>
      <c r="C31" s="2125" t="str">
        <f>IF(B31="现房","成新及维护状况正常否",IF(B31="在建","工程状态是否正常",IF(B31="土地","是否闲置","-")))</f>
        <v>工程状态是否正常</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075"/>
      <c r="B32" s="2124"/>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075"/>
      <c r="B33" s="2128"/>
      <c r="C33" s="2068"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1832</v>
      </c>
      <c r="B34" s="2131" t="s">
        <v>3058</v>
      </c>
      <c r="C34" s="2131" t="s">
        <v>3059</v>
      </c>
      <c r="D34" s="2131" t="s">
        <v>3060</v>
      </c>
      <c r="E34" s="2131" t="s">
        <v>3061</v>
      </c>
      <c r="F34" s="2131" t="s">
        <v>3062</v>
      </c>
      <c r="G34" s="2131" t="s">
        <v>3063</v>
      </c>
      <c r="H34" s="2131" t="s">
        <v>3064</v>
      </c>
      <c r="I34" s="2045"/>
      <c r="J34" s="2045"/>
      <c r="K34" s="1799">
        <f>COUNTIF(B34:H34,"——")</f>
        <v>0</v>
      </c>
      <c r="L34" s="2072" t="s">
        <v>1833</v>
      </c>
      <c r="M34" s="2072" t="s">
        <v>1834</v>
      </c>
      <c r="N34" s="2072" t="s">
        <v>1835</v>
      </c>
      <c r="O34" s="2072" t="s">
        <v>1836</v>
      </c>
      <c r="P34" s="2072" t="s">
        <v>1837</v>
      </c>
      <c r="Q34" s="2072" t="s">
        <v>1838</v>
      </c>
      <c r="R34" s="2072" t="s">
        <v>1839</v>
      </c>
      <c r="S34" s="3069" t="s">
        <v>1840</v>
      </c>
      <c r="T34" s="2132" t="str">
        <f>NUMBERSTRING(7-K34,1)&amp;"通"</f>
        <v>七通</v>
      </c>
      <c r="U34" s="2032"/>
      <c r="V34" s="2032"/>
    </row>
    <row r="35" spans="1:22" ht="18" customHeight="1">
      <c r="A35" s="2133"/>
      <c r="B35" s="3076" t="s">
        <v>1841</v>
      </c>
      <c r="C35" s="3076"/>
      <c r="D35" s="3076"/>
      <c r="E35" s="3076"/>
      <c r="F35" s="2134" t="str">
        <f>C10</f>
        <v>河北省保定市涞水县涞水镇</v>
      </c>
      <c r="G35" s="2045"/>
      <c r="H35" s="2045"/>
      <c r="I35" s="2045"/>
      <c r="J35" s="2045"/>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9"/>
      <c r="T35" s="48" t="str">
        <f>IF(T34="一通",L35,IF(T34="二通",M35,IF(T34="三通",N35,IF(T34="四通",O35,IF(T34="五通",P35,IF(T34="六通",Q35,R35))))))</f>
        <v>通路、通电、通讯、通上水、通下水、通热、燃气</v>
      </c>
      <c r="U35" s="2032"/>
      <c r="V35" s="2032"/>
    </row>
    <row r="36" spans="1:22" ht="18" customHeight="1">
      <c r="A36" s="2135"/>
      <c r="B36" s="2134" t="s">
        <v>1842</v>
      </c>
      <c r="C36" s="2134" t="s">
        <v>1843</v>
      </c>
      <c r="D36" s="2134" t="s">
        <v>1844</v>
      </c>
      <c r="E36" s="2134" t="s">
        <v>1845</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1846</v>
      </c>
      <c r="B37" s="2138"/>
      <c r="C37" s="2138"/>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1847</v>
      </c>
      <c r="B38" s="2140"/>
      <c r="C38" s="2140"/>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2"/>
      <c r="K40" s="666"/>
      <c r="L40" s="2081"/>
      <c r="M40" s="2081"/>
      <c r="N40" s="2082"/>
      <c r="O40" s="2081"/>
      <c r="P40" s="2032"/>
      <c r="Q40" s="2032"/>
      <c r="R40" s="2032"/>
      <c r="S40" s="2032"/>
      <c r="T40" s="2032"/>
      <c r="U40" s="2032"/>
      <c r="V40" s="2032"/>
    </row>
    <row r="41" spans="1:22" ht="18" customHeight="1">
      <c r="A41" s="8" t="s">
        <v>1849</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2" t="s">
        <v>1850</v>
      </c>
      <c r="B42" s="1799" t="s">
        <v>1851</v>
      </c>
      <c r="C42" s="1799" t="s">
        <v>1852</v>
      </c>
      <c r="D42" s="1799" t="s">
        <v>1853</v>
      </c>
      <c r="E42" s="1799" t="s">
        <v>1854</v>
      </c>
      <c r="F42" s="1799" t="s">
        <v>1855</v>
      </c>
      <c r="G42" s="1799" t="s">
        <v>1856</v>
      </c>
      <c r="H42" s="1799" t="s">
        <v>1857</v>
      </c>
      <c r="I42" s="1799" t="s">
        <v>1858</v>
      </c>
      <c r="J42" s="2150" t="s">
        <v>1859</v>
      </c>
      <c r="K42" s="2073" t="s">
        <v>1860</v>
      </c>
      <c r="L42" s="2073" t="s">
        <v>1861</v>
      </c>
      <c r="M42" s="2073" t="s">
        <v>1862</v>
      </c>
      <c r="N42" s="1799" t="s">
        <v>1863</v>
      </c>
      <c r="O42" s="1799" t="s">
        <v>1864</v>
      </c>
      <c r="P42" s="1799" t="s">
        <v>1865</v>
      </c>
      <c r="Q42" s="2072" t="s">
        <v>1866</v>
      </c>
      <c r="R42" s="2072" t="s">
        <v>1867</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1873</v>
      </c>
      <c r="AZ2" s="1273"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7085.5</v>
      </c>
      <c r="B3" s="14">
        <f>IF(C3="否",G5-AT5,G5)</f>
        <v>17885.775000000001</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7"/>
      <c r="C5" s="1807"/>
      <c r="D5" s="1810"/>
      <c r="E5" s="16" t="s">
        <v>1</v>
      </c>
      <c r="F5" s="16">
        <f>SUM(F13:F587)</f>
        <v>0</v>
      </c>
      <c r="G5" s="16">
        <f>SUM(G13:G587)</f>
        <v>17885.775000000001</v>
      </c>
      <c r="H5" s="16">
        <f t="shared" ref="H5:AT5" si="0">SUM(H13:H656)</f>
        <v>16614.162</v>
      </c>
      <c r="I5" s="16">
        <f t="shared" si="0"/>
        <v>11239.412</v>
      </c>
      <c r="J5" s="16">
        <f t="shared" si="0"/>
        <v>0</v>
      </c>
      <c r="K5" s="16">
        <f t="shared" si="0"/>
        <v>5374.75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1271.6130000000001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1271.6130000000001</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14410.755000000001</v>
      </c>
      <c r="BA5" s="18">
        <f t="shared" si="1"/>
        <v>13139.142</v>
      </c>
      <c r="BB5" s="18">
        <f t="shared" si="1"/>
        <v>11239.412</v>
      </c>
      <c r="BC5" s="18">
        <f t="shared" si="1"/>
        <v>1899.73</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1271.6130000000001</v>
      </c>
      <c r="BM5" s="18">
        <f t="shared" si="1"/>
        <v>0</v>
      </c>
      <c r="BN5" s="18">
        <f t="shared" si="1"/>
        <v>0</v>
      </c>
      <c r="BO5" s="18">
        <f t="shared" si="1"/>
        <v>0</v>
      </c>
      <c r="BP5" s="18">
        <f t="shared" si="1"/>
        <v>0</v>
      </c>
      <c r="BQ5" s="18">
        <f t="shared" si="1"/>
        <v>0</v>
      </c>
      <c r="BR5" s="18">
        <f t="shared" si="1"/>
        <v>1271.6130000000001</v>
      </c>
      <c r="BS5" s="18">
        <f t="shared" si="1"/>
        <v>0</v>
      </c>
      <c r="BT5" s="19">
        <f t="shared" si="1"/>
        <v>0</v>
      </c>
    </row>
    <row r="6" spans="1:72" s="2175" customFormat="1" ht="12.75">
      <c r="A6" s="15" t="s">
        <v>1878</v>
      </c>
      <c r="B6" s="2172"/>
      <c r="C6" s="2172"/>
      <c r="D6" s="2173"/>
      <c r="E6" s="16">
        <f>H6+AC6+AT6</f>
        <v>7085.49</v>
      </c>
      <c r="F6" s="16" t="s">
        <v>1</v>
      </c>
      <c r="G6" s="16" t="s">
        <v>2</v>
      </c>
      <c r="H6" s="20">
        <f>SUMIF(I$12:AB$12,"总值",I6:AB6)</f>
        <v>6581.74</v>
      </c>
      <c r="I6" s="16">
        <f t="shared" ref="I6:AB6" si="2">ROUND($A$3*I5/$B$3,2)</f>
        <v>4452.5200000000004</v>
      </c>
      <c r="J6" s="16">
        <f t="shared" si="2"/>
        <v>0</v>
      </c>
      <c r="K6" s="16">
        <f t="shared" si="2"/>
        <v>2129.2199999999998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503.75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503.75</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5708.86</v>
      </c>
      <c r="AZ6" s="16" t="s">
        <v>3</v>
      </c>
      <c r="BA6" s="16">
        <f>ROUND($AY$6*BA5/$AZ$5,2)</f>
        <v>5205.1099999999997</v>
      </c>
      <c r="BB6" s="16">
        <f>ROUND($AY$6*BB5/$AZ$5,2)</f>
        <v>4452.5200000000004</v>
      </c>
      <c r="BC6" s="16">
        <f t="shared" ref="BC6:BH6" si="4">ROUND($AY$6*BC5/$AZ$5,2)</f>
        <v>752.58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503.75</v>
      </c>
      <c r="BM6" s="16">
        <f t="shared" si="5"/>
        <v>0</v>
      </c>
      <c r="BN6" s="16">
        <f t="shared" si="5"/>
        <v>0</v>
      </c>
      <c r="BO6" s="16">
        <f t="shared" si="5"/>
        <v>0</v>
      </c>
      <c r="BP6" s="16">
        <f t="shared" si="5"/>
        <v>0</v>
      </c>
      <c r="BQ6" s="16">
        <f t="shared" si="5"/>
        <v>0</v>
      </c>
      <c r="BR6" s="16">
        <f t="shared" si="5"/>
        <v>503.75</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10"/>
      <c r="AU7" s="2177" t="s">
        <v>1886</v>
      </c>
      <c r="AV7" s="23" t="s">
        <v>1887</v>
      </c>
      <c r="AW7" s="2164" t="s">
        <v>1888</v>
      </c>
      <c r="AX7" s="23" t="s">
        <v>1881</v>
      </c>
      <c r="AY7" s="1807"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22"/>
      <c r="K8" s="1822"/>
      <c r="L8" s="1822"/>
      <c r="M8" s="1822"/>
      <c r="N8" s="1822"/>
      <c r="O8" s="1822"/>
      <c r="P8" s="1822"/>
      <c r="Q8" s="1822"/>
      <c r="R8" s="1822"/>
      <c r="S8" s="1822"/>
      <c r="T8" s="1822"/>
      <c r="U8" s="1822"/>
      <c r="V8" s="2184"/>
      <c r="W8" s="1822"/>
      <c r="X8" s="1822"/>
      <c r="Y8" s="1822"/>
      <c r="Z8" s="1822"/>
      <c r="AA8" s="2184"/>
      <c r="AB8" s="2185"/>
      <c r="AC8" s="984" t="s">
        <v>1892</v>
      </c>
      <c r="AD8" s="2186"/>
      <c r="AE8" s="2178"/>
      <c r="AF8" s="1822"/>
      <c r="AG8" s="1822"/>
      <c r="AH8" s="1822"/>
      <c r="AI8" s="1822"/>
      <c r="AJ8" s="1822"/>
      <c r="AK8" s="1822"/>
      <c r="AL8" s="1822"/>
      <c r="AM8" s="1822"/>
      <c r="AN8" s="1822"/>
      <c r="AO8" s="1822"/>
      <c r="AP8" s="1822"/>
      <c r="AQ8" s="1822"/>
      <c r="AR8" s="1822"/>
      <c r="AS8" s="1822"/>
      <c r="AT8" s="1295" t="s">
        <v>1893</v>
      </c>
      <c r="AU8" s="2180" t="s">
        <v>1894</v>
      </c>
      <c r="AV8" s="1295"/>
      <c r="AW8" s="2163"/>
      <c r="AX8" s="1295"/>
      <c r="AY8" s="2164"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87" customFormat="1" ht="12.75">
      <c r="A9" s="2180"/>
      <c r="B9" s="2180"/>
      <c r="C9" s="2180"/>
      <c r="D9" s="2180"/>
      <c r="E9" s="2180"/>
      <c r="F9" s="2180"/>
      <c r="G9" s="1295"/>
      <c r="H9" s="2188" t="s">
        <v>1897</v>
      </c>
      <c r="I9" s="2189" t="s">
        <v>3065</v>
      </c>
      <c r="J9" s="984"/>
      <c r="K9" s="2189" t="s">
        <v>3065</v>
      </c>
      <c r="L9" s="984"/>
      <c r="M9" s="2189"/>
      <c r="N9" s="984"/>
      <c r="O9" s="2189"/>
      <c r="P9" s="984"/>
      <c r="Q9" s="2189"/>
      <c r="R9" s="984"/>
      <c r="S9" s="2189"/>
      <c r="T9" s="984"/>
      <c r="U9" s="2189"/>
      <c r="V9" s="984"/>
      <c r="W9" s="2189"/>
      <c r="X9" s="2190"/>
      <c r="Y9" s="2189"/>
      <c r="Z9" s="984"/>
      <c r="AA9" s="2189"/>
      <c r="AB9" s="984"/>
      <c r="AC9" s="2181"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1"/>
      <c r="AT9" s="2180"/>
      <c r="AU9" s="2180" t="s">
        <v>1900</v>
      </c>
      <c r="AV9" s="1295"/>
      <c r="AW9" s="2163"/>
      <c r="AX9" s="1295"/>
      <c r="AY9" s="28"/>
      <c r="AZ9" s="28" t="s">
        <v>1890</v>
      </c>
      <c r="BA9" s="2192" t="s">
        <v>1901</v>
      </c>
      <c r="BB9" s="2193"/>
      <c r="BC9" s="1341"/>
      <c r="BD9" s="1341"/>
      <c r="BE9" s="1341"/>
      <c r="BF9" s="1341"/>
      <c r="BG9" s="1341"/>
      <c r="BH9" s="1341"/>
      <c r="BI9" s="1341"/>
      <c r="BJ9" s="1341"/>
      <c r="BK9" s="2194"/>
      <c r="BL9" s="15" t="s">
        <v>1902</v>
      </c>
      <c r="BM9" s="1822"/>
      <c r="BN9" s="2183"/>
      <c r="BO9" s="1822"/>
      <c r="BP9" s="1822"/>
      <c r="BQ9" s="1822"/>
      <c r="BR9" s="1822"/>
      <c r="BS9" s="1822"/>
      <c r="BT9" s="26"/>
    </row>
    <row r="10" spans="1:72" s="2187" customFormat="1" ht="12.75">
      <c r="A10" s="2180"/>
      <c r="B10" s="2180"/>
      <c r="C10" s="2180"/>
      <c r="D10" s="2180"/>
      <c r="E10" s="2180"/>
      <c r="F10" s="2180"/>
      <c r="G10" s="1295"/>
      <c r="H10" s="28"/>
      <c r="I10" s="2189" t="s">
        <v>3051</v>
      </c>
      <c r="J10" s="984"/>
      <c r="K10" s="2195" t="s">
        <v>1378</v>
      </c>
      <c r="L10" s="984"/>
      <c r="M10" s="2195"/>
      <c r="N10" s="984"/>
      <c r="O10" s="2195"/>
      <c r="P10" s="984"/>
      <c r="Q10" s="2195"/>
      <c r="R10" s="984"/>
      <c r="S10" s="2195"/>
      <c r="T10" s="984"/>
      <c r="U10" s="2195"/>
      <c r="V10" s="984"/>
      <c r="W10" s="2195"/>
      <c r="X10" s="984"/>
      <c r="Y10" s="2195"/>
      <c r="Z10" s="984"/>
      <c r="AA10" s="2195"/>
      <c r="AB10" s="984"/>
      <c r="AC10" s="1295"/>
      <c r="AD10" s="15" t="s">
        <v>1903</v>
      </c>
      <c r="AE10" s="2196"/>
      <c r="AF10" s="15" t="s">
        <v>1903</v>
      </c>
      <c r="AG10" s="2196"/>
      <c r="AH10" s="15" t="s">
        <v>1904</v>
      </c>
      <c r="AI10" s="2196"/>
      <c r="AJ10" s="15" t="s">
        <v>1904</v>
      </c>
      <c r="AK10" s="2196"/>
      <c r="AL10" s="15" t="s">
        <v>1905</v>
      </c>
      <c r="AM10" s="1301"/>
      <c r="AN10" s="15" t="s">
        <v>1905</v>
      </c>
      <c r="AO10" s="1301"/>
      <c r="AP10" s="15" t="s">
        <v>1906</v>
      </c>
      <c r="AQ10" s="1301"/>
      <c r="AR10" s="15" t="s">
        <v>1906</v>
      </c>
      <c r="AS10" s="1301"/>
      <c r="AT10" s="2180"/>
      <c r="AU10" s="2180"/>
      <c r="AV10" s="1295"/>
      <c r="AW10" s="2163"/>
      <c r="AX10" s="1295"/>
      <c r="AY10" s="28"/>
      <c r="AZ10" s="28"/>
      <c r="BA10" s="2197" t="s">
        <v>1897</v>
      </c>
      <c r="BB10" s="2198" t="str">
        <f>I9</f>
        <v>地上</v>
      </c>
      <c r="BC10" s="29" t="str">
        <f>K9</f>
        <v>地上</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199" t="str">
        <f>AR9</f>
        <v>地下</v>
      </c>
    </row>
    <row r="11" spans="1:72" s="2187" customFormat="1" ht="12.75">
      <c r="A11" s="2180"/>
      <c r="B11" s="2180"/>
      <c r="C11" s="2180"/>
      <c r="D11" s="2180"/>
      <c r="E11" s="2180"/>
      <c r="F11" s="2180"/>
      <c r="G11" s="1295"/>
      <c r="H11" s="2197"/>
      <c r="I11" s="2200" t="s">
        <v>3066</v>
      </c>
      <c r="J11" s="2201"/>
      <c r="K11" s="2200" t="s">
        <v>3068</v>
      </c>
      <c r="L11" s="2201"/>
      <c r="M11" s="2200"/>
      <c r="N11" s="2201"/>
      <c r="O11" s="2200"/>
      <c r="P11" s="2201"/>
      <c r="Q11" s="2200"/>
      <c r="R11" s="2201"/>
      <c r="S11" s="2200"/>
      <c r="T11" s="2201"/>
      <c r="U11" s="2200"/>
      <c r="V11" s="2201"/>
      <c r="W11" s="2200"/>
      <c r="X11" s="2201"/>
      <c r="Y11" s="2200"/>
      <c r="Z11" s="2201"/>
      <c r="AA11" s="2200"/>
      <c r="AB11" s="2201"/>
      <c r="AC11" s="1295"/>
      <c r="AD11" s="2202" t="s">
        <v>1907</v>
      </c>
      <c r="AE11" s="1823"/>
      <c r="AF11" s="2202" t="s">
        <v>1907</v>
      </c>
      <c r="AG11" s="1823"/>
      <c r="AH11" s="2202" t="s">
        <v>1908</v>
      </c>
      <c r="AI11" s="2203"/>
      <c r="AJ11" s="2202" t="s">
        <v>1908</v>
      </c>
      <c r="AK11" s="1823"/>
      <c r="AL11" s="1821"/>
      <c r="AM11" s="1823"/>
      <c r="AN11" s="1821"/>
      <c r="AO11" s="1823"/>
      <c r="AP11" s="1821"/>
      <c r="AQ11" s="1823"/>
      <c r="AR11" s="1821"/>
      <c r="AS11" s="1823"/>
      <c r="AT11" s="2163"/>
      <c r="AU11" s="2180"/>
      <c r="AV11" s="1295"/>
      <c r="AW11" s="2163"/>
      <c r="AX11" s="1295"/>
      <c r="AY11" s="28"/>
      <c r="AZ11" s="28"/>
      <c r="BA11" s="28"/>
      <c r="BB11" s="2185" t="str">
        <f>I10</f>
        <v>住宅</v>
      </c>
      <c r="BC11" s="2185" t="str">
        <f>K10</f>
        <v>商业</v>
      </c>
      <c r="BD11" s="2185">
        <f>M10</f>
        <v>0</v>
      </c>
      <c r="BE11" s="2185">
        <f>O10</f>
        <v>0</v>
      </c>
      <c r="BF11" s="2185">
        <f>Q10</f>
        <v>0</v>
      </c>
      <c r="BG11" s="2185">
        <f>S10</f>
        <v>0</v>
      </c>
      <c r="BH11" s="2185">
        <f>U10</f>
        <v>0</v>
      </c>
      <c r="BI11" s="2185">
        <f>W10</f>
        <v>0</v>
      </c>
      <c r="BJ11" s="2185">
        <f>Y10</f>
        <v>0</v>
      </c>
      <c r="BK11" s="2185">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07"/>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平层住宅</v>
      </c>
      <c r="BC12" s="2210" t="str">
        <f>K11</f>
        <v>底商</v>
      </c>
      <c r="BD12" s="2210">
        <f>M11</f>
        <v>0</v>
      </c>
      <c r="BE12" s="2185">
        <f>O11</f>
        <v>0</v>
      </c>
      <c r="BF12" s="2185">
        <f>Q11</f>
        <v>0</v>
      </c>
      <c r="BG12" s="2185">
        <f>S11</f>
        <v>0</v>
      </c>
      <c r="BH12" s="2185">
        <f>U11</f>
        <v>0</v>
      </c>
      <c r="BI12" s="2185">
        <f>W11</f>
        <v>0</v>
      </c>
      <c r="BJ12" s="2185">
        <f>Y11</f>
        <v>0</v>
      </c>
      <c r="BK12" s="2185">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3349" t="s">
        <v>3188</v>
      </c>
      <c r="C13" s="1275" t="s">
        <v>3166</v>
      </c>
      <c r="D13" s="2211" t="s">
        <v>3067</v>
      </c>
      <c r="E13" s="16">
        <f>IF($C$3="是",ROUND($A$3*G13/$B$3,2),ROUND($A$3*(G13-AT13)/$B$3,2))</f>
        <v>2935.62</v>
      </c>
      <c r="F13" s="32"/>
      <c r="G13" s="33">
        <f>H13+AC13+AT13</f>
        <v>7410.3170000000009</v>
      </c>
      <c r="H13" s="20">
        <f>SUMIF(I$12:AB$12,"总值",I13:AB13)</f>
        <v>6735.3560000000007</v>
      </c>
      <c r="I13" s="2212">
        <v>5969.31</v>
      </c>
      <c r="J13" s="2212"/>
      <c r="K13" s="2212">
        <v>766.04600000000005</v>
      </c>
      <c r="L13" s="2212"/>
      <c r="M13" s="2212"/>
      <c r="N13" s="2212"/>
      <c r="O13" s="2212"/>
      <c r="P13" s="2212"/>
      <c r="Q13" s="2212"/>
      <c r="R13" s="2212"/>
      <c r="S13" s="2212"/>
      <c r="T13" s="2212"/>
      <c r="U13" s="2212"/>
      <c r="V13" s="2212"/>
      <c r="W13" s="2212"/>
      <c r="X13" s="2212"/>
      <c r="Y13" s="2212"/>
      <c r="Z13" s="2212"/>
      <c r="AA13" s="2212"/>
      <c r="AB13" s="2212"/>
      <c r="AC13" s="16">
        <f>SUMIF(AD$12:AS$12,"总值",AD13:AS13)</f>
        <v>674.96100000000001</v>
      </c>
      <c r="AD13" s="2213"/>
      <c r="AE13" s="2213"/>
      <c r="AF13" s="2213"/>
      <c r="AG13" s="2213"/>
      <c r="AH13" s="2213"/>
      <c r="AI13" s="2213"/>
      <c r="AJ13" s="2213"/>
      <c r="AK13" s="2213"/>
      <c r="AL13" s="2213"/>
      <c r="AM13" s="2213"/>
      <c r="AN13" s="2213">
        <v>674.96100000000001</v>
      </c>
      <c r="AO13" s="2213"/>
      <c r="AP13" s="2213"/>
      <c r="AQ13" s="2213"/>
      <c r="AR13" s="2213"/>
      <c r="AS13" s="2213"/>
      <c r="AT13" s="2214"/>
      <c r="AU13" s="2215"/>
      <c r="AV13" s="11">
        <f t="shared" ref="AV13:AX17" si="6">A13</f>
        <v>0</v>
      </c>
      <c r="AW13" s="11" t="str">
        <f t="shared" si="6"/>
        <v>预测</v>
      </c>
      <c r="AX13" s="11" t="str">
        <f t="shared" si="6"/>
        <v>20a#</v>
      </c>
      <c r="AY13" s="1810">
        <f>ROUND($AY$6*AZ13/$AZ$5,2)</f>
        <v>2935.62</v>
      </c>
      <c r="AZ13" s="16">
        <f>BA13+BL13</f>
        <v>7410.3170000000009</v>
      </c>
      <c r="BA13" s="16">
        <f>SUM(BB13:BK13)</f>
        <v>6735.3560000000007</v>
      </c>
      <c r="BB13" s="16">
        <f>IF($D13="是",I13-J13,0)</f>
        <v>5969.31</v>
      </c>
      <c r="BC13" s="16">
        <f>IF($D13="是",K13-L13,0)</f>
        <v>766.04600000000005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674.96100000000001</v>
      </c>
      <c r="BM13" s="16">
        <f>IF($D13="是",AD13-AE13,0)</f>
        <v>0</v>
      </c>
      <c r="BN13" s="16">
        <f>IF($D13="是",AF13-AG13,0)</f>
        <v>0</v>
      </c>
      <c r="BO13" s="16">
        <f>IF($D13="是",AH13-AI13,0)</f>
        <v>0</v>
      </c>
      <c r="BP13" s="16">
        <f>IF($D13="是",AJ13-AK13,0)</f>
        <v>0</v>
      </c>
      <c r="BQ13" s="16">
        <f>IF($D13="是",AL13-AM13,0)</f>
        <v>0</v>
      </c>
      <c r="BR13" s="16">
        <f>IF($D13="是",AN13-AO13,0)</f>
        <v>674.96100000000001</v>
      </c>
      <c r="BS13" s="16">
        <f>IF($D13="是",AP13-AQ13,0)</f>
        <v>0</v>
      </c>
      <c r="BT13" s="22">
        <f>IF($D13="是",AR13-AS13,0)</f>
        <v>0</v>
      </c>
    </row>
    <row r="14" spans="1:72" s="2165" customFormat="1" ht="12.75">
      <c r="A14" s="1275"/>
      <c r="B14" s="3349" t="s">
        <v>3189</v>
      </c>
      <c r="C14" s="2151" t="s">
        <v>3167</v>
      </c>
      <c r="D14" s="2211" t="s">
        <v>3067</v>
      </c>
      <c r="E14" s="16">
        <f>IF($C$3="是",ROUND($A$3*G14/$B$3,2),ROUND($A$3*(G14-AT14)/$B$3,2))</f>
        <v>2773.24</v>
      </c>
      <c r="F14" s="32"/>
      <c r="G14" s="33">
        <f>H14+AC14+AT14</f>
        <v>7000.4380000000001</v>
      </c>
      <c r="H14" s="20">
        <f>SUMIF(I$12:AB$12,"总值",I14:AB14)</f>
        <v>6403.7860000000001</v>
      </c>
      <c r="I14" s="2212">
        <v>5270.1019999999999</v>
      </c>
      <c r="J14" s="2212"/>
      <c r="K14" s="2212">
        <v>1133.684</v>
      </c>
      <c r="L14" s="2212"/>
      <c r="M14" s="2212"/>
      <c r="N14" s="2212"/>
      <c r="O14" s="2212"/>
      <c r="P14" s="2212"/>
      <c r="Q14" s="2212"/>
      <c r="R14" s="2212"/>
      <c r="S14" s="2212"/>
      <c r="T14" s="2212"/>
      <c r="U14" s="2212"/>
      <c r="V14" s="2212"/>
      <c r="W14" s="2212"/>
      <c r="X14" s="2212"/>
      <c r="Y14" s="2212"/>
      <c r="Z14" s="2212"/>
      <c r="AA14" s="2212"/>
      <c r="AB14" s="2212"/>
      <c r="AC14" s="16">
        <f>SUMIF(AD$12:AS$12,"总值",AD14:AS14)</f>
        <v>596.65200000000004</v>
      </c>
      <c r="AD14" s="2213"/>
      <c r="AE14" s="2213"/>
      <c r="AF14" s="2213"/>
      <c r="AG14" s="2213"/>
      <c r="AH14" s="2213"/>
      <c r="AI14" s="2213"/>
      <c r="AJ14" s="2213"/>
      <c r="AK14" s="2213"/>
      <c r="AL14" s="2213"/>
      <c r="AM14" s="2213"/>
      <c r="AN14" s="2213">
        <v>596.65200000000004</v>
      </c>
      <c r="AO14" s="2213"/>
      <c r="AP14" s="2213"/>
      <c r="AQ14" s="2213"/>
      <c r="AR14" s="2213"/>
      <c r="AS14" s="2213"/>
      <c r="AT14" s="2214"/>
      <c r="AU14" s="2215"/>
      <c r="AV14" s="11">
        <f t="shared" si="6"/>
        <v>0</v>
      </c>
      <c r="AW14" s="11" t="str">
        <f t="shared" si="6"/>
        <v>预测</v>
      </c>
      <c r="AX14" s="11" t="str">
        <f t="shared" si="6"/>
        <v>20b#</v>
      </c>
      <c r="AY14" s="1810">
        <f>ROUND($AY$6*AZ14/$AZ$5,2)</f>
        <v>2773.24</v>
      </c>
      <c r="AZ14" s="16">
        <f>BA14+BL14</f>
        <v>7000.4380000000001</v>
      </c>
      <c r="BA14" s="16">
        <f>SUM(BB14:BK14)</f>
        <v>6403.7860000000001</v>
      </c>
      <c r="BB14" s="16">
        <f>IF($D14="是",I14-J14,0)</f>
        <v>5270.1019999999999</v>
      </c>
      <c r="BC14" s="16">
        <f>IF($D14="是",K14-L14,0)</f>
        <v>1133.684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596.65200000000004</v>
      </c>
      <c r="BM14" s="16">
        <f>IF($D14="是",AD14-AE14,0)</f>
        <v>0</v>
      </c>
      <c r="BN14" s="16">
        <f>IF($D14="是",AF14-AG14,0)</f>
        <v>0</v>
      </c>
      <c r="BO14" s="16">
        <f>IF($D14="是",AH14-AI14,0)</f>
        <v>0</v>
      </c>
      <c r="BP14" s="16">
        <f>IF($D14="是",AJ14-AK14,0)</f>
        <v>0</v>
      </c>
      <c r="BQ14" s="16">
        <f>IF($D14="是",AL14-AM14,0)</f>
        <v>0</v>
      </c>
      <c r="BR14" s="16">
        <f>IF($D14="是",AN14-AO14,0)</f>
        <v>596.65200000000004</v>
      </c>
      <c r="BS14" s="16">
        <f>IF($D14="是",AP14-AQ14,0)</f>
        <v>0</v>
      </c>
      <c r="BT14" s="22">
        <f>IF($D14="是",AR14-AS14,0)</f>
        <v>0</v>
      </c>
    </row>
    <row r="15" spans="1:72" s="2165" customFormat="1" ht="12.75">
      <c r="A15" s="1275"/>
      <c r="B15" s="3349" t="s">
        <v>3190</v>
      </c>
      <c r="C15" s="2151" t="s">
        <v>3168</v>
      </c>
      <c r="D15" s="2211" t="s">
        <v>3053</v>
      </c>
      <c r="E15" s="16">
        <f>IF($C$3="是",ROUND($A$3*G15/$B$3,2),ROUND($A$3*(G15-AT15)/$B$3,2))</f>
        <v>1376.64</v>
      </c>
      <c r="F15" s="32"/>
      <c r="G15" s="33">
        <f>H15+AC15+AT15</f>
        <v>3475.02</v>
      </c>
      <c r="H15" s="20">
        <f>SUMIF(I$12:AB$12,"总值",I15:AB15)</f>
        <v>3475.02</v>
      </c>
      <c r="I15" s="3364"/>
      <c r="J15" s="2212"/>
      <c r="K15" s="3365">
        <v>3475.02</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施工证</v>
      </c>
      <c r="AX15" s="11" t="str">
        <f t="shared" si="6"/>
        <v>20c#</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3347" customFormat="1" ht="12.75">
      <c r="A16" s="3335"/>
      <c r="B16" s="3335"/>
      <c r="C16" s="3348" t="s">
        <v>3187</v>
      </c>
      <c r="D16" s="3336" t="s">
        <v>3053</v>
      </c>
      <c r="E16" s="3337">
        <f>IF($C$3="是",ROUND($A$3*G16/$B$3,2),ROUND($A$3*(G16-AT16)/$B$3,2))</f>
        <v>0</v>
      </c>
      <c r="F16" s="3338"/>
      <c r="G16" s="3339">
        <f>H16+AC16+AT16</f>
        <v>0</v>
      </c>
      <c r="H16" s="3340">
        <f>SUMIF(I$12:AB$12,"总值",I16:AB16)</f>
        <v>0</v>
      </c>
      <c r="I16" s="3341"/>
      <c r="J16" s="3341"/>
      <c r="K16" s="3341"/>
      <c r="L16" s="3341"/>
      <c r="M16" s="3341"/>
      <c r="N16" s="3341"/>
      <c r="O16" s="3341"/>
      <c r="P16" s="3341"/>
      <c r="Q16" s="3341"/>
      <c r="R16" s="3341"/>
      <c r="S16" s="3341"/>
      <c r="T16" s="3341"/>
      <c r="U16" s="3341"/>
      <c r="V16" s="3341"/>
      <c r="W16" s="3341"/>
      <c r="X16" s="3341"/>
      <c r="Y16" s="3341"/>
      <c r="Z16" s="3341"/>
      <c r="AA16" s="3341"/>
      <c r="AB16" s="3341"/>
      <c r="AC16" s="3337">
        <f>SUMIF(AD$12:AS$12,"总值",AD16:AS16)</f>
        <v>0</v>
      </c>
      <c r="AD16" s="3342"/>
      <c r="AE16" s="3342"/>
      <c r="AF16" s="3342"/>
      <c r="AG16" s="3342"/>
      <c r="AH16" s="3342"/>
      <c r="AI16" s="3342"/>
      <c r="AJ16" s="3342"/>
      <c r="AK16" s="3342"/>
      <c r="AL16" s="3342"/>
      <c r="AM16" s="3342"/>
      <c r="AN16" s="3342"/>
      <c r="AO16" s="3342"/>
      <c r="AP16" s="3342"/>
      <c r="AQ16" s="3342"/>
      <c r="AR16" s="3342"/>
      <c r="AS16" s="3342"/>
      <c r="AT16" s="3338"/>
      <c r="AU16" s="3343"/>
      <c r="AV16" s="3344">
        <f t="shared" si="6"/>
        <v>0</v>
      </c>
      <c r="AW16" s="3344">
        <f t="shared" si="6"/>
        <v>0</v>
      </c>
      <c r="AX16" s="3344" t="str">
        <f t="shared" si="6"/>
        <v>怀疑有建筑</v>
      </c>
      <c r="AY16" s="3345">
        <f>ROUND($AY$6*AZ16/$AZ$5,2)</f>
        <v>0</v>
      </c>
      <c r="AZ16" s="3337">
        <f>BA16+BL16</f>
        <v>0</v>
      </c>
      <c r="BA16" s="3337">
        <f>SUM(BB16:BK16)</f>
        <v>0</v>
      </c>
      <c r="BB16" s="3337">
        <f>IF($D16="是",I16-J16,0)</f>
        <v>0</v>
      </c>
      <c r="BC16" s="3337">
        <f>IF($D16="是",K16-L16,0)</f>
        <v>0</v>
      </c>
      <c r="BD16" s="3337">
        <f>IF($D16="是",M16-N16,0)</f>
        <v>0</v>
      </c>
      <c r="BE16" s="3337">
        <f>IF($D16="是",O16-P16,0)</f>
        <v>0</v>
      </c>
      <c r="BF16" s="3337">
        <f>IF($D16="是",Q16-R16,0)</f>
        <v>0</v>
      </c>
      <c r="BG16" s="3337">
        <f>IF($D16="是",S16-T16,0)</f>
        <v>0</v>
      </c>
      <c r="BH16" s="3337">
        <f>IF($D16="是",U16-V16,0)</f>
        <v>0</v>
      </c>
      <c r="BI16" s="3337">
        <f>IF($D16="是",W16-X16,0)</f>
        <v>0</v>
      </c>
      <c r="BJ16" s="3337">
        <f>IF($D16="是",Y16-Z16,0)</f>
        <v>0</v>
      </c>
      <c r="BK16" s="3337">
        <f>IF($D16="是",AA16-AB16,0)</f>
        <v>0</v>
      </c>
      <c r="BL16" s="3337">
        <f>SUM(BM16:BT16)</f>
        <v>0</v>
      </c>
      <c r="BM16" s="3337">
        <f>IF($D16="是",AD16-AE16,0)</f>
        <v>0</v>
      </c>
      <c r="BN16" s="3337">
        <f>IF($D16="是",AF16-AG16,0)</f>
        <v>0</v>
      </c>
      <c r="BO16" s="3337">
        <f>IF($D16="是",AH16-AI16,0)</f>
        <v>0</v>
      </c>
      <c r="BP16" s="3337">
        <f>IF($D16="是",AJ16-AK16,0)</f>
        <v>0</v>
      </c>
      <c r="BQ16" s="3337">
        <f>IF($D16="是",AL16-AM16,0)</f>
        <v>0</v>
      </c>
      <c r="BR16" s="3337">
        <f>IF($D16="是",AN16-AO16,0)</f>
        <v>0</v>
      </c>
      <c r="BS16" s="3337">
        <f>IF($D16="是",AP16-AQ16,0)</f>
        <v>0</v>
      </c>
      <c r="BT16" s="3346">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28" sqref="E28"/>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5"/>
      <c r="C1" s="1395"/>
      <c r="D1" s="1395"/>
      <c r="E1" s="1395"/>
      <c r="F1" s="1395"/>
      <c r="G1" s="1395"/>
      <c r="H1" s="1395"/>
      <c r="I1" s="1395"/>
      <c r="J1" s="1395"/>
      <c r="K1" s="1395"/>
      <c r="L1" s="1395"/>
      <c r="M1" s="1395"/>
      <c r="N1" s="1395"/>
      <c r="O1" s="1395"/>
      <c r="P1" s="1395"/>
    </row>
    <row r="2" spans="1:16" ht="15">
      <c r="A2" s="3088" t="s">
        <v>1937</v>
      </c>
      <c r="B2" s="3088"/>
      <c r="C2" s="3088"/>
      <c r="D2" s="970" t="s">
        <v>1913</v>
      </c>
      <c r="E2" s="2225" t="s">
        <v>1914</v>
      </c>
      <c r="F2" s="1395"/>
      <c r="G2" s="2226"/>
      <c r="H2" s="2227"/>
      <c r="I2" s="2228" t="s">
        <v>1938</v>
      </c>
      <c r="J2" s="1395"/>
      <c r="K2" s="1395"/>
      <c r="L2" s="1395"/>
      <c r="M2" s="1395"/>
      <c r="N2" s="1430"/>
      <c r="O2" s="1395"/>
      <c r="P2" s="1395"/>
    </row>
    <row r="3" spans="1:16" ht="15.75" thickBot="1">
      <c r="A3" s="3089" t="s">
        <v>1911</v>
      </c>
      <c r="B3" s="3089"/>
      <c r="C3" s="3089"/>
      <c r="D3" s="46">
        <f>'数据-基础表'!AY6</f>
        <v>5708.86</v>
      </c>
      <c r="E3" s="46">
        <f>'数据-基础表'!AZ5</f>
        <v>14410.755000000001</v>
      </c>
      <c r="F3" s="1395"/>
      <c r="G3" s="1402"/>
      <c r="H3" s="1250" t="s">
        <v>1912</v>
      </c>
      <c r="I3" s="55">
        <f>ROUND('数据-基础表'!B3/'数据-基础表'!A3,2)</f>
        <v>2.52</v>
      </c>
      <c r="J3" s="1395"/>
      <c r="K3" s="1395"/>
      <c r="L3" s="1395"/>
      <c r="M3" s="1395"/>
      <c r="N3" s="1430"/>
      <c r="O3" s="1395"/>
      <c r="P3" s="1395"/>
    </row>
    <row r="4" spans="1:16" ht="15">
      <c r="A4" s="3090"/>
      <c r="B4" s="3091"/>
      <c r="C4" s="3092"/>
      <c r="D4" s="2229" t="s">
        <v>1913</v>
      </c>
      <c r="E4" s="2230" t="s">
        <v>1914</v>
      </c>
      <c r="F4" s="1395"/>
      <c r="G4" s="2231" t="s">
        <v>1939</v>
      </c>
      <c r="H4" s="1250" t="s">
        <v>1919</v>
      </c>
      <c r="I4" s="55">
        <f>ROUND(SUMIF('数据-基础表'!I9:AS9,"地上",'数据-基础表'!I5:AS5)/'数据-基础表'!A3,2)</f>
        <v>2.34</v>
      </c>
      <c r="J4" s="1395"/>
      <c r="K4" s="1395"/>
      <c r="L4" s="1395"/>
      <c r="M4" s="1395"/>
      <c r="N4" s="1430"/>
      <c r="O4" s="1395"/>
      <c r="P4" s="1395"/>
    </row>
    <row r="5" spans="1:16">
      <c r="A5" s="47" t="s">
        <v>1915</v>
      </c>
      <c r="B5" s="3093" t="s">
        <v>1916</v>
      </c>
      <c r="C5" s="3093"/>
      <c r="D5" s="48">
        <f>ROUND($D$3*E5/$E$3,2)</f>
        <v>4452.5200000000004</v>
      </c>
      <c r="E5" s="49">
        <f>SUMIF('数据-基础表'!$11:$11,"住宅",'数据-基础表'!$5:$5)</f>
        <v>11239.412</v>
      </c>
      <c r="F5" s="1395"/>
      <c r="G5" s="1402"/>
      <c r="H5" s="1250" t="s">
        <v>1912</v>
      </c>
      <c r="I5" s="55">
        <f>ROUND(E31/D31,2)</f>
        <v>2.52</v>
      </c>
      <c r="J5" s="1395"/>
      <c r="K5" s="1395"/>
      <c r="L5" s="1395"/>
      <c r="M5" s="1395"/>
      <c r="N5" s="1395"/>
      <c r="O5" s="1395"/>
      <c r="P5" s="1395"/>
    </row>
    <row r="6" spans="1:16" ht="15" thickBot="1">
      <c r="A6" s="2232"/>
      <c r="B6" s="3093" t="s">
        <v>1917</v>
      </c>
      <c r="C6" s="3093"/>
      <c r="D6" s="48">
        <f>ROUND($D$3*E6/$E$3,2)</f>
        <v>1256.3399999999999</v>
      </c>
      <c r="E6" s="49">
        <f>E3-E5</f>
        <v>3171.3430000000008</v>
      </c>
      <c r="F6" s="1395"/>
      <c r="G6" s="2233" t="s">
        <v>1918</v>
      </c>
      <c r="H6" s="1402" t="s">
        <v>1919</v>
      </c>
      <c r="I6" s="942">
        <f>ROUND(F31/D31,2)</f>
        <v>2.2999999999999998</v>
      </c>
      <c r="J6" s="1395"/>
      <c r="K6" s="1395"/>
      <c r="L6" s="1395"/>
      <c r="M6" s="1395"/>
      <c r="N6" s="1395"/>
      <c r="O6" s="1395"/>
      <c r="P6" s="1395"/>
    </row>
    <row r="7" spans="1:16" ht="15">
      <c r="A7" s="3085"/>
      <c r="B7" s="3086"/>
      <c r="C7" s="3087"/>
      <c r="D7" s="2229" t="s">
        <v>1913</v>
      </c>
      <c r="E7" s="2234" t="s">
        <v>1920</v>
      </c>
      <c r="F7" s="1395"/>
      <c r="G7" s="2226" t="s">
        <v>1921</v>
      </c>
      <c r="H7" s="64"/>
      <c r="I7" s="420"/>
      <c r="J7" s="1395"/>
      <c r="K7" s="1395"/>
      <c r="L7" s="1395"/>
      <c r="M7" s="1395"/>
      <c r="N7" s="1395"/>
      <c r="O7" s="1395"/>
      <c r="P7" s="1395"/>
    </row>
    <row r="8" spans="1:16">
      <c r="A8" s="47" t="s">
        <v>1922</v>
      </c>
      <c r="B8" s="50" t="s">
        <v>1923</v>
      </c>
      <c r="C8" s="48" t="s">
        <v>1924</v>
      </c>
      <c r="D8" s="48">
        <f t="shared" ref="D8:D15" si="0">ROUND($D$3*E8/$E$3,2)</f>
        <v>5205.1099999999997</v>
      </c>
      <c r="E8" s="51">
        <f>SUMIF('数据-基础表'!BB10:BK10,"地上",'数据-基础表'!BB5:BK5)</f>
        <v>13139.142</v>
      </c>
      <c r="F8" s="1395"/>
      <c r="G8" s="2235"/>
      <c r="H8" s="2235"/>
      <c r="I8" s="1395"/>
      <c r="J8" s="1395"/>
      <c r="K8" s="1395"/>
      <c r="L8" s="1395"/>
      <c r="M8" s="1395"/>
      <c r="N8" s="1395"/>
      <c r="O8" s="1395"/>
      <c r="P8" s="1395"/>
    </row>
    <row r="9" spans="1:16">
      <c r="A9" s="2236"/>
      <c r="B9" s="2237"/>
      <c r="C9" s="48" t="s">
        <v>1925</v>
      </c>
      <c r="D9" s="48">
        <f t="shared" si="0"/>
        <v>0</v>
      </c>
      <c r="E9" s="52">
        <v>0</v>
      </c>
      <c r="F9" s="1395"/>
      <c r="G9" s="2235"/>
      <c r="H9" s="2235"/>
      <c r="I9" s="1395"/>
      <c r="J9" s="1395"/>
      <c r="K9" s="1395"/>
      <c r="L9" s="1395"/>
      <c r="M9" s="1395"/>
      <c r="N9" s="1395"/>
      <c r="O9" s="1395"/>
      <c r="P9" s="1395"/>
    </row>
    <row r="10" spans="1:16">
      <c r="A10" s="2236"/>
      <c r="B10" s="2237"/>
      <c r="C10" s="48" t="s">
        <v>1934</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1926</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1927</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1928</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1940</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1935</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1929</v>
      </c>
      <c r="D16" s="50">
        <f>SUM(D8:D15)</f>
        <v>5205.1099999999997</v>
      </c>
      <c r="E16" s="53">
        <f>SUM(E8:E15)</f>
        <v>13139.142</v>
      </c>
      <c r="F16" s="1395"/>
      <c r="G16" s="2235"/>
      <c r="H16" s="2238" t="s">
        <v>1941</v>
      </c>
      <c r="I16" s="2239"/>
      <c r="J16" s="1395"/>
      <c r="K16" s="3082" t="s">
        <v>1941</v>
      </c>
      <c r="L16" s="3083"/>
      <c r="M16" s="3083"/>
      <c r="N16" s="3083"/>
      <c r="O16" s="3083"/>
      <c r="P16" s="3084"/>
    </row>
    <row r="17" spans="1:19" ht="15">
      <c r="A17" s="2240" t="s">
        <v>1942</v>
      </c>
      <c r="B17" s="2241" t="s">
        <v>1943</v>
      </c>
      <c r="C17" s="2242" t="s">
        <v>1944</v>
      </c>
      <c r="D17" s="2243" t="s">
        <v>1932</v>
      </c>
      <c r="E17" s="2244" t="s">
        <v>1933</v>
      </c>
      <c r="F17" s="2245"/>
      <c r="G17" s="2246"/>
      <c r="H17" s="2247" t="s">
        <v>1945</v>
      </c>
      <c r="I17" s="2248" t="s">
        <v>1930</v>
      </c>
      <c r="J17" s="1395"/>
      <c r="K17" s="3079" t="s">
        <v>1946</v>
      </c>
      <c r="L17" s="3080"/>
      <c r="M17" s="3081"/>
      <c r="N17" s="3079" t="s">
        <v>1947</v>
      </c>
      <c r="O17" s="3080"/>
      <c r="P17" s="3081"/>
      <c r="R17" s="2226" t="s">
        <v>1948</v>
      </c>
      <c r="S17" s="64"/>
    </row>
    <row r="18" spans="1:19" ht="15">
      <c r="A18" s="2236"/>
      <c r="B18" s="2249"/>
      <c r="C18" s="2250"/>
      <c r="D18" s="2251"/>
      <c r="E18" s="2252" t="s">
        <v>1949</v>
      </c>
      <c r="F18" s="2253" t="s">
        <v>1950</v>
      </c>
      <c r="G18" s="2254" t="s">
        <v>1951</v>
      </c>
      <c r="H18" s="1265" t="s">
        <v>1952</v>
      </c>
      <c r="I18" s="2255" t="s">
        <v>1953</v>
      </c>
      <c r="J18" s="1395"/>
      <c r="K18" s="1265" t="s">
        <v>1954</v>
      </c>
      <c r="L18" s="2256" t="s">
        <v>1955</v>
      </c>
      <c r="M18" s="1049" t="s">
        <v>1956</v>
      </c>
      <c r="N18" s="1265" t="s">
        <v>1954</v>
      </c>
      <c r="O18" s="2256" t="s">
        <v>1955</v>
      </c>
      <c r="P18" s="1049" t="s">
        <v>1956</v>
      </c>
      <c r="R18" s="1250" t="s">
        <v>1957</v>
      </c>
      <c r="S18" s="1250" t="s">
        <v>1958</v>
      </c>
    </row>
    <row r="19" spans="1:19">
      <c r="A19" s="2257"/>
      <c r="B19" s="50" t="s">
        <v>1931</v>
      </c>
      <c r="C19" s="2931" t="s">
        <v>3069</v>
      </c>
      <c r="D19" s="48">
        <f>ROUND($D$3*E19/$E$3,2)</f>
        <v>4452.5200000000004</v>
      </c>
      <c r="E19" s="56">
        <f t="shared" ref="E19:E26" si="1">SUM(F19:G19)</f>
        <v>11239.412</v>
      </c>
      <c r="F19" s="57">
        <f>'数据-基础表'!I13+'数据-基础表'!I14</f>
        <v>11239.412</v>
      </c>
      <c r="G19" s="58"/>
      <c r="H19" s="723">
        <f>ROUND($D$3*I19/$E$3,2)</f>
        <v>430.92</v>
      </c>
      <c r="I19" s="51">
        <f t="shared" ref="I19:I26" si="2">IF($I$17="自定义",P19,M19)</f>
        <v>1087.76</v>
      </c>
      <c r="J19" s="1395"/>
      <c r="K19" s="1394">
        <f t="shared" ref="K19:K26" si="3">ROUND(E$28*E19/E$27,2)</f>
        <v>1087.76</v>
      </c>
      <c r="L19" s="1250">
        <f t="shared" ref="L19:L26" si="4">ROUND(IF(COUNTIF(C19,"*住宅*")&gt;0,E$29*E19/E$32,0),2)</f>
        <v>0</v>
      </c>
      <c r="M19" s="1406">
        <f>K19+L19</f>
        <v>1087.76</v>
      </c>
      <c r="N19" s="2259"/>
      <c r="O19" s="2260"/>
      <c r="P19" s="1406">
        <f>N19+O19</f>
        <v>0</v>
      </c>
      <c r="R19" s="1250">
        <f t="shared" ref="R19:S26" si="5">D19+H19</f>
        <v>4883.4400000000005</v>
      </c>
      <c r="S19" s="1251">
        <f t="shared" si="5"/>
        <v>12327.172</v>
      </c>
    </row>
    <row r="20" spans="1:19">
      <c r="A20" s="2261"/>
      <c r="B20" s="50" t="s">
        <v>1959</v>
      </c>
      <c r="C20" s="2931" t="s">
        <v>3070</v>
      </c>
      <c r="D20" s="48">
        <f t="shared" ref="D20:D26" si="6">ROUND($D$3*E20/$E$3,2)</f>
        <v>752.58</v>
      </c>
      <c r="E20" s="56">
        <f t="shared" si="1"/>
        <v>1899.73</v>
      </c>
      <c r="F20" s="57">
        <f>'数据-基础表'!K13+'数据-基础表'!K14</f>
        <v>1899.73</v>
      </c>
      <c r="G20" s="58"/>
      <c r="H20" s="723">
        <f t="shared" ref="H20:H26" si="7">ROUND($D$3*I20/$E$3,2)</f>
        <v>72.84</v>
      </c>
      <c r="I20" s="51">
        <f t="shared" si="2"/>
        <v>183.86</v>
      </c>
      <c r="J20" s="1395"/>
      <c r="K20" s="1394">
        <f t="shared" si="3"/>
        <v>183.86</v>
      </c>
      <c r="L20" s="1250">
        <f t="shared" si="4"/>
        <v>0</v>
      </c>
      <c r="M20" s="1406">
        <f t="shared" ref="M20:M26" si="8">K20+L20</f>
        <v>183.86</v>
      </c>
      <c r="N20" s="2259"/>
      <c r="O20" s="2260"/>
      <c r="P20" s="1406">
        <f t="shared" ref="P20:P26" si="9">N20+O20</f>
        <v>0</v>
      </c>
      <c r="R20" s="1250">
        <f t="shared" si="5"/>
        <v>825.42000000000007</v>
      </c>
      <c r="S20" s="1251">
        <f t="shared" si="5"/>
        <v>2083.59</v>
      </c>
    </row>
    <row r="21" spans="1:19">
      <c r="A21" s="2261"/>
      <c r="B21" s="50" t="s">
        <v>1959</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1960</v>
      </c>
      <c r="D27" s="1396">
        <f>SUM(D19:D26)</f>
        <v>5205.1000000000004</v>
      </c>
      <c r="E27" s="1397">
        <f>IF(SUM(E19:E26)='数据-基础表'!BA5,SUM(E19:E26),IF(F27="地上面积有误","面积有误","地下面积有误"))</f>
        <v>13139.142</v>
      </c>
      <c r="F27" s="1396">
        <f>IF(SUM(F19:F26)=E8,SUM(F19:F26),"地上面积有误")</f>
        <v>13139.142</v>
      </c>
      <c r="G27" s="1398">
        <f>SUM(G19:G26)</f>
        <v>0</v>
      </c>
      <c r="H27" s="1399">
        <f>SUM(H19:H26)</f>
        <v>503.76</v>
      </c>
      <c r="I27" s="1400">
        <f>SUM(I19:I26)</f>
        <v>1271.6199999999999</v>
      </c>
      <c r="J27" s="1395"/>
      <c r="K27" s="1403">
        <f>SUM(K19:K26)</f>
        <v>1271.6199999999999</v>
      </c>
      <c r="L27" s="1404">
        <f>SUM(L19:L26)</f>
        <v>0</v>
      </c>
      <c r="M27" s="1407">
        <f>SUM(M19:M26)</f>
        <v>1271.6199999999999</v>
      </c>
      <c r="N27" s="1403">
        <f t="shared" ref="N27:O27" si="10">SUM(N19:N26)</f>
        <v>0</v>
      </c>
      <c r="O27" s="1404">
        <f t="shared" si="10"/>
        <v>0</v>
      </c>
      <c r="P27" s="1405">
        <f>SUM(P19:P26)</f>
        <v>0</v>
      </c>
      <c r="R27" s="1252">
        <f>IF(SUM(R19:R26)=$D$3,SUM(R19:R26),SUM(R19:R26)&amp;"误差"&amp;ROUND(SUM(R19:R26)-$D$3,2))</f>
        <v>5708.8600000000006</v>
      </c>
      <c r="S27" s="1250" t="str">
        <f>IF(SUM(S19:S26)=$E$3,SUM(S19:S26),SUM(S19:S26)&amp;"误差"&amp;ROUND(SUM(S19:S26)-E3,2))</f>
        <v>14410.762误差0.01</v>
      </c>
    </row>
    <row r="28" spans="1:19">
      <c r="A28" s="2261"/>
      <c r="B28" s="50" t="s">
        <v>1961</v>
      </c>
      <c r="C28" s="1262" t="s">
        <v>1962</v>
      </c>
      <c r="D28" s="48">
        <f>ROUND($D$3*E28/$E$3,2)</f>
        <v>503.75</v>
      </c>
      <c r="E28" s="56">
        <f>SUM(F28:G28)</f>
        <v>1271.6130000000001</v>
      </c>
      <c r="F28" s="64">
        <f>'数据-基础表'!BQ5+'数据-基础表'!BS5</f>
        <v>0</v>
      </c>
      <c r="G28" s="65">
        <f>'数据-基础表'!BR5+'数据-基础表'!BT5</f>
        <v>1271.6130000000001</v>
      </c>
      <c r="H28" s="1395"/>
      <c r="I28" s="1395"/>
      <c r="J28" s="1395"/>
      <c r="K28" s="1395"/>
      <c r="L28" s="1395"/>
      <c r="M28" s="1395"/>
      <c r="N28" s="1395"/>
      <c r="O28" s="1395"/>
      <c r="P28" s="1395"/>
    </row>
    <row r="29" spans="1:19">
      <c r="A29" s="2261"/>
      <c r="B29" s="50" t="s">
        <v>1961</v>
      </c>
      <c r="C29" s="2265"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1960</v>
      </c>
      <c r="D30" s="1396">
        <f>SUM(D28:D29)</f>
        <v>503.75</v>
      </c>
      <c r="E30" s="1396">
        <f>SUM(E28:E29)</f>
        <v>1271.6130000000001</v>
      </c>
      <c r="F30" s="1396">
        <f>SUM(F28:F29)</f>
        <v>0</v>
      </c>
      <c r="G30" s="1398">
        <f>SUM(G28:G29)</f>
        <v>1271.6130000000001</v>
      </c>
      <c r="H30" s="1395"/>
      <c r="I30" s="1395"/>
      <c r="J30" s="1395"/>
      <c r="K30" s="1395"/>
      <c r="L30" s="1395"/>
      <c r="M30" s="1395"/>
      <c r="N30" s="1395"/>
      <c r="O30" s="1395"/>
      <c r="P30" s="1395"/>
    </row>
    <row r="31" spans="1:19" ht="15.75" thickBot="1">
      <c r="A31" s="2267"/>
      <c r="B31" s="2268"/>
      <c r="C31" s="1010" t="s">
        <v>1964</v>
      </c>
      <c r="D31" s="729">
        <f>D27+D30</f>
        <v>5708.85</v>
      </c>
      <c r="E31" s="729">
        <f>E27+E30</f>
        <v>14410.754999999999</v>
      </c>
      <c r="F31" s="730">
        <f>F27+F30</f>
        <v>13139.142</v>
      </c>
      <c r="G31" s="731">
        <f>G27+G30</f>
        <v>1271.6130000000001</v>
      </c>
      <c r="H31" s="1395"/>
      <c r="I31" s="1395"/>
      <c r="J31" s="1395"/>
      <c r="K31" s="1395"/>
      <c r="L31" s="1395"/>
      <c r="M31" s="1395"/>
      <c r="N31" s="1395"/>
      <c r="O31" s="1395"/>
      <c r="P31" s="1395"/>
    </row>
    <row r="32" spans="1:19">
      <c r="A32" s="2231"/>
      <c r="B32" s="2231" t="s">
        <v>1965</v>
      </c>
      <c r="C32" s="2231"/>
      <c r="D32" s="2231"/>
      <c r="E32" s="1277">
        <f>SUMIF(C19:C26,"*住宅*",E19:E26)</f>
        <v>11239.412</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O24" sqref="O24:O25"/>
    </sheetView>
  </sheetViews>
  <sheetFormatPr defaultColWidth="13.75" defaultRowHeight="12.75"/>
  <cols>
    <col min="1" max="1" width="20.875" style="2342" customWidth="1"/>
    <col min="2" max="2" width="12" style="2273" customWidth="1"/>
    <col min="3" max="3" width="10.75" style="2273" customWidth="1"/>
    <col min="4" max="4" width="9.125" style="2343"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1966</v>
      </c>
      <c r="B1" s="732"/>
      <c r="C1" s="1585"/>
      <c r="D1" s="2271"/>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4" t="s">
        <v>1967</v>
      </c>
      <c r="B2" s="1269">
        <f>项目基本情况!D3</f>
        <v>43049</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1968</v>
      </c>
      <c r="B4" s="2279"/>
      <c r="C4" s="2280"/>
      <c r="D4" s="2281"/>
      <c r="E4" s="2280" t="s">
        <v>1969</v>
      </c>
      <c r="F4" s="2280"/>
      <c r="G4" s="2280"/>
      <c r="H4" s="2280"/>
      <c r="I4" s="2280"/>
      <c r="J4" s="2282"/>
      <c r="K4" s="2283"/>
      <c r="L4" s="2284"/>
      <c r="M4" s="2280"/>
      <c r="N4" s="2280" t="s">
        <v>1970</v>
      </c>
      <c r="O4" s="2280"/>
      <c r="P4" s="2280"/>
      <c r="Q4" s="2280"/>
      <c r="R4" s="2280"/>
      <c r="S4" s="2282"/>
      <c r="T4" s="2285" t="str">
        <f>'数据-汇总表'!I17</f>
        <v>按面积比例</v>
      </c>
      <c r="U4" s="2279" t="s">
        <v>1971</v>
      </c>
      <c r="V4" s="2280"/>
      <c r="W4" s="2280"/>
      <c r="X4" s="2280"/>
      <c r="Y4" s="2282"/>
      <c r="Z4" s="2242" t="s">
        <v>1972</v>
      </c>
      <c r="AA4" s="2242"/>
      <c r="AB4" s="2242"/>
      <c r="AC4" s="2242"/>
      <c r="AD4" s="2242"/>
      <c r="AE4" s="2240" t="s">
        <v>1973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1974</v>
      </c>
      <c r="B5" s="2288" t="s">
        <v>1975</v>
      </c>
      <c r="C5" s="2289" t="s">
        <v>1976</v>
      </c>
      <c r="D5" s="2290" t="s">
        <v>1977</v>
      </c>
      <c r="E5" s="1271" t="s">
        <v>1978</v>
      </c>
      <c r="F5" s="2291" t="s">
        <v>1979</v>
      </c>
      <c r="G5" s="1271" t="s">
        <v>1980</v>
      </c>
      <c r="H5" s="1271" t="s">
        <v>1981</v>
      </c>
      <c r="I5" s="1271" t="s">
        <v>1982</v>
      </c>
      <c r="J5" s="2292" t="s">
        <v>1983</v>
      </c>
      <c r="K5" s="2293" t="s">
        <v>1984</v>
      </c>
      <c r="L5" s="2294" t="s">
        <v>1985</v>
      </c>
      <c r="M5" s="2295" t="s">
        <v>1986</v>
      </c>
      <c r="N5" s="2296" t="s">
        <v>1987</v>
      </c>
      <c r="O5" s="2294" t="s">
        <v>1988</v>
      </c>
      <c r="P5" s="2297" t="s">
        <v>1989</v>
      </c>
      <c r="Q5" s="69" t="s">
        <v>1990</v>
      </c>
      <c r="R5" s="2298" t="s">
        <v>1991</v>
      </c>
      <c r="S5" s="2299" t="s">
        <v>1992</v>
      </c>
      <c r="T5" s="2300" t="s">
        <v>1993</v>
      </c>
      <c r="U5" s="1270" t="s">
        <v>1994</v>
      </c>
      <c r="V5" s="1271" t="s">
        <v>1995</v>
      </c>
      <c r="W5" s="1271" t="s">
        <v>1996</v>
      </c>
      <c r="X5" s="71"/>
      <c r="Y5" s="70" t="s">
        <v>1997</v>
      </c>
      <c r="Z5" s="2301" t="s">
        <v>1994</v>
      </c>
      <c r="AA5" s="1271" t="s">
        <v>1995</v>
      </c>
      <c r="AB5" s="1271" t="s">
        <v>1996</v>
      </c>
      <c r="AC5" s="71"/>
      <c r="AD5" s="71" t="s">
        <v>1997</v>
      </c>
      <c r="AE5" s="1270" t="s">
        <v>1998</v>
      </c>
      <c r="AF5" s="1271" t="s">
        <v>1999</v>
      </c>
      <c r="AG5" s="70" t="s">
        <v>2000</v>
      </c>
      <c r="AH5" s="1270" t="s">
        <v>2001</v>
      </c>
      <c r="AI5" s="2301" t="s">
        <v>2002</v>
      </c>
      <c r="AJ5" s="2301" t="s">
        <v>2003</v>
      </c>
      <c r="AK5" s="1271" t="s">
        <v>2004</v>
      </c>
      <c r="AL5" s="1271" t="s">
        <v>2005</v>
      </c>
      <c r="AM5" s="70" t="s">
        <v>2006</v>
      </c>
      <c r="AN5" s="2302" t="s">
        <v>2007</v>
      </c>
      <c r="AO5" s="2072" t="s">
        <v>2008</v>
      </c>
      <c r="AP5" s="1252" t="s">
        <v>2009</v>
      </c>
      <c r="AQ5" s="2303" t="s">
        <v>2010</v>
      </c>
      <c r="AR5" s="2303"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4" t="str">
        <f>'数据-汇总表'!C19</f>
        <v>住宅</v>
      </c>
      <c r="B6" s="2305" t="str">
        <f>IF(A6=0,"","经营性")</f>
        <v>经营性</v>
      </c>
      <c r="C6" s="2306" t="s">
        <v>3051</v>
      </c>
      <c r="D6" s="1054">
        <f>SUMIF(项目基本情况!D$12:I$12,C6,项目基本情况!D$14:I$14)</f>
        <v>70</v>
      </c>
      <c r="E6" s="1051">
        <f>IF(B6="","",SUMIF(项目基本情况!D$12:I$12,C6,项目基本情况!D$13:I$13))</f>
        <v>67207</v>
      </c>
      <c r="F6" s="72">
        <f>SUMIF(项目基本情况!D$12:I$12,C6,项目基本情况!D$15:I$15)</f>
        <v>66.180000000000007</v>
      </c>
      <c r="G6" s="73">
        <f>IF(ISERROR(ROUND(POWER(1+H6,D6-F6)*(POWER(1+H6,F6)-1)/(POWER(1+H6,D6)-1),3)),0,ROUND(POWER(1+H6,D6-F6)*(POWER(1+H6,F6)-1)/(POWER(1+H6,D6)-1),3))</f>
        <v>0.98899999999999999</v>
      </c>
      <c r="H6" s="802">
        <v>0.04</v>
      </c>
      <c r="I6" s="802">
        <v>4.4999999999999998E-2</v>
      </c>
      <c r="J6" s="74">
        <v>0.05</v>
      </c>
      <c r="K6" s="1254">
        <f>SUMIF('数据-汇总表'!C$19:C$33,A6,'数据-汇总表'!E$19:E$33)</f>
        <v>11239.412</v>
      </c>
      <c r="L6" s="803">
        <v>1600</v>
      </c>
      <c r="M6" s="75">
        <f t="shared" ref="M6:M14" si="0">ROUND(K6*L6/10000,0)</f>
        <v>1798</v>
      </c>
      <c r="N6" s="801">
        <v>0.05</v>
      </c>
      <c r="O6" s="75">
        <f>IF($N$5="成新度","——",ROUND(M6*N6,0))</f>
        <v>90</v>
      </c>
      <c r="P6" s="76">
        <f>IF($N$5="成新度","——",M6-O6)</f>
        <v>1708</v>
      </c>
      <c r="Q6" s="3352">
        <v>0.3</v>
      </c>
      <c r="R6" s="77">
        <f ca="1">SUMIF('数据-汇总表'!C$19:C$33,A6,'数据-汇总表'!R$19:R$27)</f>
        <v>4883.4400000000005</v>
      </c>
      <c r="S6" s="54">
        <f>IF('数据-汇总表'!$I$17="按面积比例",SUMIF('数据-汇总表'!C$19:C$33,A6,'数据-汇总表'!K$19:K$33),SUMIF('数据-汇总表'!C$19:C$33,A6,'数据-汇总表'!N$19:N$33))</f>
        <v>1087.76</v>
      </c>
      <c r="T6" s="1446">
        <f>ROUND($L$14*S6/10000,0)</f>
        <v>196</v>
      </c>
      <c r="U6" s="78"/>
      <c r="V6" s="79"/>
      <c r="W6" s="79"/>
      <c r="X6" s="1264"/>
      <c r="Y6" s="80"/>
      <c r="Z6" s="81"/>
      <c r="AA6" s="74"/>
      <c r="AB6" s="74"/>
      <c r="AC6" s="1264"/>
      <c r="AD6" s="82"/>
      <c r="AE6" s="1265">
        <f ca="1">IF(AN6="",0,SUMIF(INDIRECT("'"&amp;AN6&amp;"'"&amp;"!E:E"),$AE$5,INDIRECT("'"&amp;AN6&amp;"'"&amp;"!F:F")))</f>
        <v>0</v>
      </c>
      <c r="AF6" s="1808"/>
      <c r="AG6" s="146">
        <f>IF(AF6="",0,AE6-AF6)</f>
        <v>0</v>
      </c>
      <c r="AH6" s="83"/>
      <c r="AI6" s="85"/>
      <c r="AJ6" s="86"/>
      <c r="AK6" s="87"/>
      <c r="AL6" s="88"/>
      <c r="AM6" s="89"/>
      <c r="AN6" s="2307"/>
      <c r="AO6" s="55" t="e">
        <f ca="1">SUMIF(INDIRECT("'"&amp;AN6&amp;"'"&amp;"!A:A"),"总价",INDIRECT("'"&amp;AN6&amp;"'"&amp;"!B:B"))</f>
        <v>#REF!</v>
      </c>
      <c r="AP6" s="2308">
        <f>IF(C6="住宅",K6*L6,0)</f>
        <v>17983059.199999999</v>
      </c>
      <c r="AQ6" s="55">
        <f>ROUND($L$14*$N$14*S6/10000,0)</f>
        <v>10</v>
      </c>
      <c r="AR6" s="55">
        <f>ROUND($L$14*(1-$N$14)*S6/10000,0)</f>
        <v>186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t="str">
        <f>'数据-汇总表'!C20</f>
        <v>商业</v>
      </c>
      <c r="B7" s="2305" t="str">
        <f t="shared" ref="B7:B13" si="1">IF(A7=0,"","经营性")</f>
        <v>经营性</v>
      </c>
      <c r="C7" s="2306" t="s">
        <v>1378</v>
      </c>
      <c r="D7" s="1054">
        <f>SUMIF(项目基本情况!D$12:I$12,C7,项目基本情况!D$14:I$14)</f>
        <v>40</v>
      </c>
      <c r="E7" s="1051">
        <f>IF(B7="","",SUMIF(项目基本情况!D$12:I$12,C7,项目基本情况!D$13:I$13))</f>
        <v>56250</v>
      </c>
      <c r="F7" s="72">
        <f>SUMIF(项目基本情况!D$12:I$12,C7,项目基本情况!D$15:I$15)</f>
        <v>36.159999999999997</v>
      </c>
      <c r="G7" s="73">
        <f t="shared" ref="G7:G11" si="2">IF(ISERROR(ROUND(POWER(1+H7,D7-F7)*(POWER(1+H7,F7)-1)/(POWER(1+H7,D7)-1),3)),0,ROUND(POWER(1+H7,D7-F7)*(POWER(1+H7,F7)-1)/(POWER(1+H7,D7)-1),3))</f>
        <v>0.96199999999999997</v>
      </c>
      <c r="H7" s="802">
        <v>4.4999999999999998E-2</v>
      </c>
      <c r="I7" s="802">
        <v>0.05</v>
      </c>
      <c r="J7" s="74">
        <v>5.5E-2</v>
      </c>
      <c r="K7" s="1254">
        <f>SUMIF('数据-汇总表'!C$19:C$33,A7,'数据-汇总表'!E$19:E$33)</f>
        <v>1899.73</v>
      </c>
      <c r="L7" s="803">
        <v>1600</v>
      </c>
      <c r="M7" s="75">
        <f t="shared" si="0"/>
        <v>304</v>
      </c>
      <c r="N7" s="801">
        <v>0.05</v>
      </c>
      <c r="O7" s="75">
        <f t="shared" ref="O7:O14" si="3">IF($N$5="成新度","——",ROUND(M7*N7,0))</f>
        <v>15</v>
      </c>
      <c r="P7" s="76">
        <f t="shared" ref="P7:P14" si="4">IF($N$5="成新度","——",M7-O7)</f>
        <v>289</v>
      </c>
      <c r="Q7" s="3352">
        <v>0.5</v>
      </c>
      <c r="R7" s="77">
        <f ca="1">SUMIF('数据-汇总表'!C$19:C$33,A7,'数据-汇总表'!R$19:R$27)</f>
        <v>825.42000000000007</v>
      </c>
      <c r="S7" s="54">
        <f>IF('数据-汇总表'!$I$17="按面积比例",SUMIF('数据-汇总表'!C$19:C$33,A7,'数据-汇总表'!K$19:K$33),SUMIF('数据-汇总表'!C$19:C$33,A7,'数据-汇总表'!N$19:N$33))</f>
        <v>183.86</v>
      </c>
      <c r="T7" s="1446">
        <f t="shared" ref="T7:T13" si="5">ROUND($L$14*S7/10000,0)</f>
        <v>33</v>
      </c>
      <c r="U7" s="78">
        <v>2.5</v>
      </c>
      <c r="V7" s="79">
        <v>0.03</v>
      </c>
      <c r="W7" s="79">
        <v>0.1</v>
      </c>
      <c r="X7" s="1264"/>
      <c r="Y7" s="3353">
        <v>1</v>
      </c>
      <c r="Z7" s="81"/>
      <c r="AA7" s="74"/>
      <c r="AB7" s="74"/>
      <c r="AC7" s="1264"/>
      <c r="AD7" s="82"/>
      <c r="AE7" s="1265">
        <f t="shared" ref="AE7:AE13" ca="1" si="6">IF(AN7="",0,SUMIF(INDIRECT("'"&amp;AN7&amp;"'"&amp;"!E:E"),$AE$5,INDIRECT("'"&amp;AN7&amp;"'"&amp;"!F:F")))</f>
        <v>34.86</v>
      </c>
      <c r="AF7" s="1808"/>
      <c r="AG7" s="146">
        <f t="shared" ref="AG7:AG13" si="7">IF(AF7="",0,AE7-AF7)</f>
        <v>0</v>
      </c>
      <c r="AH7" s="83"/>
      <c r="AI7" s="85">
        <v>365</v>
      </c>
      <c r="AJ7" s="86"/>
      <c r="AK7" s="87">
        <v>1.4999999999999999E-2</v>
      </c>
      <c r="AL7" s="3354">
        <v>1.5E-3</v>
      </c>
      <c r="AM7" s="3355">
        <v>0.01</v>
      </c>
      <c r="AN7" s="2307" t="s">
        <v>3071</v>
      </c>
      <c r="AO7" s="55">
        <f t="shared" ref="AO7:AO13" ca="1" si="8">SUMIF(INDIRECT("'"&amp;AN7&amp;"'"&amp;"!A:A"),"总价",INDIRECT("'"&amp;AN7&amp;"'"&amp;"!B:B"))</f>
        <v>3148</v>
      </c>
      <c r="AP7" s="2308">
        <f t="shared" ref="AP7:AP13" si="9">IF(C7="住宅",K7*L7,0)</f>
        <v>0</v>
      </c>
      <c r="AQ7" s="55">
        <f t="shared" ref="AQ7:AQ13" si="10">ROUND($L$14*$N$14*S7/10000,0)</f>
        <v>2</v>
      </c>
      <c r="AR7" s="55">
        <f t="shared" ref="AR7:AR13" si="11">ROUND($L$14*(1-$N$14)*S7/10000,0)</f>
        <v>31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hidden="1">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6">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hidden="1">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hidden="1">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hidden="1">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hidden="1">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hidden="1">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2012</v>
      </c>
      <c r="B14" s="2305" t="s">
        <v>2013</v>
      </c>
      <c r="C14" s="2310" t="s">
        <v>2012</v>
      </c>
      <c r="D14" s="1054"/>
      <c r="E14" s="1051"/>
      <c r="F14" s="72"/>
      <c r="G14" s="73"/>
      <c r="H14" s="1253"/>
      <c r="I14" s="1253"/>
      <c r="J14" s="1253"/>
      <c r="K14" s="1254">
        <f>SUMIF('数据-汇总表'!C$19:C$33,A14,'数据-汇总表'!E$19:E$33)</f>
        <v>1271.6130000000001</v>
      </c>
      <c r="L14" s="91">
        <v>1800</v>
      </c>
      <c r="M14" s="75">
        <f t="shared" si="0"/>
        <v>229</v>
      </c>
      <c r="N14" s="3351">
        <v>0.05</v>
      </c>
      <c r="O14" s="75">
        <f t="shared" si="3"/>
        <v>11</v>
      </c>
      <c r="P14" s="76">
        <f t="shared" si="4"/>
        <v>218</v>
      </c>
      <c r="Q14" s="1257"/>
      <c r="R14" s="77"/>
      <c r="S14" s="54"/>
      <c r="T14" s="1446"/>
      <c r="U14" s="723"/>
      <c r="V14" s="1259"/>
      <c r="W14" s="1259"/>
      <c r="X14" s="1260"/>
      <c r="Y14" s="1261"/>
      <c r="Z14" s="1262"/>
      <c r="AA14" s="1263"/>
      <c r="AB14" s="1263"/>
      <c r="AC14" s="1264"/>
      <c r="AD14" s="1260"/>
      <c r="AE14" s="1265"/>
      <c r="AF14" s="55"/>
      <c r="AG14" s="146"/>
      <c r="AH14" s="1265"/>
      <c r="AI14" s="1819"/>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2014</v>
      </c>
      <c r="B15" s="2305" t="s">
        <v>2013</v>
      </c>
      <c r="C15" s="2310"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6"/>
      <c r="AH15" s="1265"/>
      <c r="AI15" s="1819"/>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2016</v>
      </c>
      <c r="B16" s="97"/>
      <c r="C16" s="1008"/>
      <c r="D16" s="2312"/>
      <c r="E16" s="97"/>
      <c r="F16" s="97"/>
      <c r="G16" s="98">
        <f>ROUND(SUMPRODUCT(G6:G13,K6:K13)/SUMPRODUCT((G6:G13&gt;0)*(K6:K13)),3)</f>
        <v>0.98499999999999999</v>
      </c>
      <c r="H16" s="99">
        <f>ROUND(SUMPRODUCT(H6:H13,K6:K13)/SUMPRODUCT((H6:H13&gt;0)*(K6:K13)),3)</f>
        <v>4.1000000000000002E-2</v>
      </c>
      <c r="I16" s="100"/>
      <c r="J16" s="100"/>
      <c r="K16" s="101">
        <f>SUM(K6:K15)</f>
        <v>14410.754999999999</v>
      </c>
      <c r="L16" s="102">
        <f>ROUND(M16*10000/SUM(K6:K14),0)</f>
        <v>1618</v>
      </c>
      <c r="M16" s="102">
        <f>SUM(M6:M14)</f>
        <v>2331</v>
      </c>
      <c r="N16" s="103">
        <f>ROUND(SUMPRODUCT(M6:M14,N6:N14)/M16,3)</f>
        <v>0.05</v>
      </c>
      <c r="O16" s="102">
        <f>SUM(O6:O14)</f>
        <v>116</v>
      </c>
      <c r="P16" s="102">
        <f>SUM(P6:P14)</f>
        <v>2215</v>
      </c>
      <c r="Q16" s="104">
        <f>ROUND(SUMPRODUCT(Q6:Q13,K6:K13)/SUMPRODUCT((Q6:Q13&gt;0)*(K6:K13)),2)</f>
        <v>0.33</v>
      </c>
      <c r="R16" s="1258">
        <f ca="1">SUM(R6:R13)</f>
        <v>5708.8600000000006</v>
      </c>
      <c r="S16" s="105">
        <f>SUM(S6:S13)</f>
        <v>1271.6199999999999</v>
      </c>
      <c r="T16" s="106">
        <f>IF(SUMIF(T6:T13,"&lt;9E307")=M14,SUMIF(T6:T13,"&lt;9E307"),"有误，请检查")</f>
        <v>229</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5"/>
      <c r="D17" s="2271"/>
      <c r="E17" s="2271"/>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78"/>
      <c r="C18" s="2275"/>
      <c r="D18" s="2276"/>
      <c r="E18" s="2275"/>
      <c r="F18" s="2275"/>
      <c r="G18" s="2275"/>
      <c r="H18" s="2275"/>
      <c r="I18" s="2275"/>
      <c r="J18" s="2275"/>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4" t="s">
        <v>2018</v>
      </c>
      <c r="B19" s="112">
        <v>0</v>
      </c>
      <c r="C19" s="2275" t="s">
        <v>2019</v>
      </c>
      <c r="D19" s="2276"/>
      <c r="E19" s="2275"/>
      <c r="F19" s="2275"/>
      <c r="G19" s="2275"/>
      <c r="H19" s="2275"/>
      <c r="I19" s="2275"/>
      <c r="J19" s="2275"/>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5" t="s">
        <v>2020</v>
      </c>
      <c r="B20" s="3350">
        <v>1.5</v>
      </c>
      <c r="C20" s="2275" t="s">
        <v>2021</v>
      </c>
      <c r="D20" s="2276"/>
      <c r="E20" s="2275"/>
      <c r="F20" s="2275"/>
      <c r="G20" s="2275"/>
      <c r="H20" s="2275"/>
      <c r="I20" s="2275"/>
      <c r="J20" s="2275"/>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6" t="s">
        <v>2022</v>
      </c>
      <c r="B21" s="3350">
        <v>0.2</v>
      </c>
      <c r="C21" s="2275"/>
      <c r="D21" s="2276"/>
      <c r="E21" s="2275"/>
      <c r="F21" s="2275"/>
      <c r="G21" s="2275"/>
      <c r="H21" s="2275"/>
      <c r="I21" s="2275"/>
      <c r="J21" s="2275"/>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5" t="s">
        <v>2023</v>
      </c>
      <c r="B22" s="113">
        <f>B19+B20</f>
        <v>1.5</v>
      </c>
      <c r="C22" s="2275"/>
      <c r="D22" s="2276"/>
      <c r="E22" s="2275"/>
      <c r="F22" s="2275"/>
      <c r="G22" s="2275"/>
      <c r="H22" s="2275"/>
      <c r="I22" s="2275"/>
      <c r="J22" s="2275"/>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6" t="s">
        <v>2024</v>
      </c>
      <c r="B23" s="113">
        <f>B19+B21</f>
        <v>0.2</v>
      </c>
      <c r="C23" s="2275"/>
      <c r="D23" s="2276"/>
      <c r="E23" s="2275"/>
      <c r="F23" s="2275"/>
      <c r="G23" s="2275"/>
      <c r="H23" s="2275"/>
      <c r="I23" s="2275"/>
      <c r="J23" s="2275"/>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7" t="s">
        <v>2025</v>
      </c>
      <c r="B24" s="114">
        <f>B20-B21</f>
        <v>1.3</v>
      </c>
      <c r="C24" s="2275"/>
      <c r="D24" s="2276"/>
      <c r="E24" s="2275"/>
      <c r="F24" s="2275"/>
      <c r="G24" s="2275"/>
      <c r="H24" s="2275"/>
      <c r="I24" s="2275"/>
      <c r="J24" s="2275"/>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78"/>
      <c r="C25" s="2275"/>
      <c r="D25" s="2276"/>
      <c r="E25" s="2275"/>
      <c r="F25" s="2275"/>
      <c r="G25" s="2275"/>
      <c r="H25" s="2275"/>
      <c r="I25" s="2275"/>
      <c r="J25" s="2275"/>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4" t="s">
        <v>2026</v>
      </c>
      <c r="B26" s="2318" t="s">
        <v>2027</v>
      </c>
      <c r="C26" s="2319" t="s">
        <v>2028</v>
      </c>
      <c r="D26" s="2276"/>
      <c r="E26" s="2275"/>
      <c r="F26" s="2275"/>
      <c r="G26" s="2275"/>
      <c r="H26" s="2275"/>
      <c r="I26" s="2275"/>
      <c r="J26" s="2275"/>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2" customFormat="1" ht="27.75">
      <c r="A27" s="2320" t="s">
        <v>2029</v>
      </c>
      <c r="B27" s="115">
        <v>0</v>
      </c>
      <c r="C27" s="1768" t="s">
        <v>2030</v>
      </c>
      <c r="D27" s="2321"/>
      <c r="E27" s="1430"/>
      <c r="F27" s="1430"/>
      <c r="G27" s="2275"/>
      <c r="H27" s="2275"/>
      <c r="I27" s="2275"/>
      <c r="J27" s="2275"/>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2031</v>
      </c>
      <c r="B28" s="118">
        <v>0</v>
      </c>
      <c r="C28" s="2324"/>
      <c r="D28" s="2321"/>
      <c r="E28" s="1430"/>
      <c r="F28" s="1430"/>
      <c r="G28" s="2275"/>
      <c r="H28" s="2275"/>
      <c r="I28" s="2275"/>
      <c r="J28" s="2275"/>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2032</v>
      </c>
      <c r="B29" s="120"/>
      <c r="C29" s="1768" t="s">
        <v>2033</v>
      </c>
      <c r="D29" s="2321"/>
      <c r="E29" s="1430"/>
      <c r="F29" s="1430"/>
      <c r="G29" s="2275"/>
      <c r="H29" s="2275"/>
      <c r="I29" s="2275"/>
      <c r="J29" s="2275"/>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2034</v>
      </c>
      <c r="B30" s="724">
        <v>150</v>
      </c>
      <c r="C30" s="2324"/>
      <c r="D30" s="2321"/>
      <c r="E30" s="1430"/>
      <c r="F30" s="1430"/>
      <c r="G30" s="2275"/>
      <c r="H30" s="2275"/>
      <c r="I30" s="2275"/>
      <c r="J30" s="2275"/>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2035</v>
      </c>
      <c r="B31" s="119">
        <f>B30-B32</f>
        <v>150</v>
      </c>
      <c r="C31" s="1768"/>
      <c r="D31" s="2321"/>
      <c r="E31" s="1430"/>
      <c r="F31" s="1430"/>
      <c r="G31" s="2275"/>
      <c r="H31" s="2275"/>
      <c r="I31" s="2275"/>
      <c r="J31" s="2275"/>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2036</v>
      </c>
      <c r="B32" s="725">
        <v>0</v>
      </c>
      <c r="C32" s="2324"/>
      <c r="D32" s="2276"/>
      <c r="E32" s="2275"/>
      <c r="F32" s="2275"/>
      <c r="G32" s="2275"/>
      <c r="H32" s="2275"/>
      <c r="I32" s="2275"/>
      <c r="J32" s="2275"/>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2037</v>
      </c>
      <c r="B33" s="726">
        <v>0.03</v>
      </c>
      <c r="C33" s="1767" t="s">
        <v>2038</v>
      </c>
      <c r="D33" s="2276"/>
      <c r="E33" s="2275"/>
      <c r="F33" s="2275"/>
      <c r="G33" s="2275"/>
      <c r="H33" s="2275"/>
      <c r="I33" s="2275"/>
      <c r="J33" s="2275"/>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2039</v>
      </c>
      <c r="B34" s="121">
        <v>0.05</v>
      </c>
      <c r="C34" s="1767" t="s">
        <v>2040</v>
      </c>
      <c r="D34" s="2276" t="s">
        <v>2041</v>
      </c>
      <c r="E34" s="732"/>
      <c r="F34" s="2275"/>
      <c r="G34" s="2275"/>
      <c r="H34" s="2275"/>
      <c r="I34" s="2275"/>
      <c r="J34" s="2275"/>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2042</v>
      </c>
      <c r="B35" s="118">
        <v>150</v>
      </c>
      <c r="C35" s="1767" t="s">
        <v>2043</v>
      </c>
      <c r="D35" s="2321"/>
      <c r="E35" s="1430"/>
      <c r="F35" s="1430"/>
      <c r="G35" s="2275"/>
      <c r="H35" s="2275"/>
      <c r="I35" s="2275"/>
      <c r="J35" s="2275"/>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2044</v>
      </c>
      <c r="B36" s="122">
        <v>1.4999999999999999E-2</v>
      </c>
      <c r="C36" s="1767" t="s">
        <v>2045</v>
      </c>
      <c r="D36" s="2276"/>
      <c r="E36" s="2275"/>
      <c r="F36" s="2275"/>
      <c r="G36" s="2275"/>
      <c r="H36" s="2275"/>
      <c r="I36" s="2275"/>
      <c r="J36" s="2275"/>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6" t="s">
        <v>2046</v>
      </c>
      <c r="B37" s="123">
        <v>0.02</v>
      </c>
      <c r="C37" s="1767" t="s">
        <v>2047</v>
      </c>
      <c r="D37" s="2276"/>
      <c r="E37" s="2275"/>
      <c r="F37" s="2275"/>
      <c r="G37" s="2275"/>
      <c r="H37" s="2275"/>
      <c r="I37" s="2275"/>
      <c r="J37" s="2275"/>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3" t="s">
        <v>2048</v>
      </c>
      <c r="B38" s="121">
        <v>0.02</v>
      </c>
      <c r="C38" s="1767" t="s">
        <v>2047</v>
      </c>
      <c r="D38" s="2276"/>
      <c r="E38" s="2275"/>
      <c r="F38" s="2275"/>
      <c r="G38" s="2275"/>
      <c r="H38" s="2275"/>
      <c r="I38" s="2275"/>
      <c r="J38" s="2275"/>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7" t="s">
        <v>2049</v>
      </c>
      <c r="B39" s="362">
        <f ca="1">存贷款利率!I1</f>
        <v>1.4999999999999999E-2</v>
      </c>
      <c r="C39" s="1767"/>
      <c r="D39" s="2276"/>
      <c r="E39" s="2275"/>
      <c r="F39" s="2275"/>
      <c r="G39" s="2275"/>
      <c r="H39" s="2275"/>
      <c r="I39" s="2275"/>
      <c r="J39" s="2275"/>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7" t="s">
        <v>2050</v>
      </c>
      <c r="B40" s="1303">
        <f ca="1">存贷款利率!G1</f>
        <v>4.7500000000000001E-2</v>
      </c>
      <c r="C40" s="1767" t="s">
        <v>2051</v>
      </c>
      <c r="D40" s="1585"/>
      <c r="E40" s="2276"/>
      <c r="F40" s="2275"/>
      <c r="G40" s="2275"/>
      <c r="H40" s="2275"/>
      <c r="I40" s="2275"/>
      <c r="J40" s="2275"/>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0" t="s">
        <v>2052</v>
      </c>
      <c r="B41" s="124">
        <f>B42+B43</f>
        <v>6.1600000000000002E-2</v>
      </c>
      <c r="C41" s="1768"/>
      <c r="D41" s="1585"/>
      <c r="E41" s="2276"/>
      <c r="F41" s="2275"/>
      <c r="G41" s="2275"/>
      <c r="H41" s="2275"/>
      <c r="I41" s="2275"/>
      <c r="J41" s="2275"/>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28" t="s">
        <v>2053</v>
      </c>
      <c r="B42" s="125">
        <v>5.6000000000000001E-2</v>
      </c>
      <c r="C42" s="2329">
        <f>IF(B2&lt;DATE(2016,5,1),0,B42)</f>
        <v>5.6000000000000001E-2</v>
      </c>
      <c r="D42" s="2276"/>
      <c r="E42" s="2275"/>
      <c r="F42" s="2275"/>
      <c r="G42" s="2275"/>
      <c r="H42" s="2275"/>
      <c r="I42" s="2275"/>
      <c r="J42" s="2275"/>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28" t="s">
        <v>2054</v>
      </c>
      <c r="B43" s="126">
        <f>B42*(B44+B45+B46)+B47</f>
        <v>5.6000000000000008E-3</v>
      </c>
      <c r="C43" s="1768"/>
      <c r="D43" s="2276"/>
      <c r="E43" s="2275"/>
      <c r="F43" s="2275"/>
      <c r="G43" s="2275"/>
      <c r="H43" s="2275"/>
      <c r="I43" s="2275"/>
      <c r="J43" s="2275"/>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0" t="s">
        <v>2055</v>
      </c>
      <c r="B44" s="127">
        <v>0.05</v>
      </c>
      <c r="C44" s="1767" t="s">
        <v>2056</v>
      </c>
      <c r="D44" s="2276"/>
      <c r="E44" s="2275"/>
      <c r="F44" s="2275"/>
      <c r="G44" s="2275"/>
      <c r="H44" s="2275"/>
      <c r="I44" s="2275"/>
      <c r="J44" s="2275"/>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0" t="s">
        <v>2057</v>
      </c>
      <c r="B45" s="125">
        <v>0.03</v>
      </c>
      <c r="C45" s="1768" t="s">
        <v>2058</v>
      </c>
      <c r="D45" s="2276"/>
      <c r="E45" s="2275"/>
      <c r="F45" s="2275"/>
      <c r="G45" s="2275"/>
      <c r="H45" s="2275"/>
      <c r="I45" s="2275"/>
      <c r="J45" s="2275"/>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0" t="s">
        <v>2059</v>
      </c>
      <c r="B46" s="125">
        <v>0.02</v>
      </c>
      <c r="C46" s="1768" t="s">
        <v>2060</v>
      </c>
      <c r="D46" s="2276"/>
      <c r="E46" s="2275"/>
      <c r="F46" s="2275"/>
      <c r="G46" s="2275"/>
      <c r="H46" s="2275"/>
      <c r="I46" s="2275"/>
      <c r="J46" s="2275"/>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1" t="s">
        <v>2061</v>
      </c>
      <c r="B47" s="128"/>
      <c r="C47" s="1768" t="s">
        <v>2062</v>
      </c>
      <c r="D47" s="2276"/>
      <c r="E47" s="2275"/>
      <c r="F47" s="2275"/>
      <c r="G47" s="2275"/>
      <c r="H47" s="2275"/>
      <c r="I47" s="2275"/>
      <c r="J47" s="2275"/>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2" t="s">
        <v>2063</v>
      </c>
      <c r="B48" s="129">
        <v>0.03</v>
      </c>
      <c r="C48" s="1775" t="s">
        <v>2064</v>
      </c>
      <c r="D48" s="2276"/>
      <c r="E48" s="2275"/>
      <c r="F48" s="2275"/>
      <c r="G48" s="2275"/>
      <c r="H48" s="2275"/>
      <c r="I48" s="2275"/>
      <c r="J48" s="2275"/>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7" t="s">
        <v>2065</v>
      </c>
      <c r="B49" s="125">
        <v>5.0000000000000001E-4</v>
      </c>
      <c r="C49" s="1775" t="s">
        <v>2066</v>
      </c>
      <c r="D49" s="2276"/>
      <c r="E49" s="2275"/>
      <c r="F49" s="2275"/>
      <c r="G49" s="2275"/>
      <c r="H49" s="2275"/>
      <c r="I49" s="2275"/>
      <c r="J49" s="2275"/>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3" t="s">
        <v>2067</v>
      </c>
      <c r="B50" s="130">
        <v>1.2E-2</v>
      </c>
      <c r="C50" s="1430"/>
      <c r="D50" s="2276"/>
      <c r="E50" s="2275"/>
      <c r="F50" s="2275"/>
      <c r="G50" s="2275"/>
      <c r="H50" s="2275"/>
      <c r="I50" s="2275"/>
      <c r="J50" s="2275"/>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5" t="s">
        <v>2068</v>
      </c>
      <c r="B51" s="131">
        <v>0.12</v>
      </c>
      <c r="C51" s="1430"/>
      <c r="D51" s="2276"/>
      <c r="E51" s="2275"/>
      <c r="F51" s="2275"/>
      <c r="G51" s="2275"/>
      <c r="H51" s="2275"/>
      <c r="I51" s="2275"/>
      <c r="J51" s="2275"/>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3" t="s">
        <v>2069</v>
      </c>
      <c r="B52" s="132">
        <f>SUMIF(A54:A63,B53,B54:B63)</f>
        <v>3</v>
      </c>
      <c r="C52" s="1430"/>
      <c r="D52" s="2276"/>
      <c r="E52" s="2275"/>
      <c r="F52" s="2275"/>
      <c r="G52" s="2275"/>
      <c r="H52" s="2275"/>
      <c r="I52" s="2275"/>
      <c r="J52" s="2275"/>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3" t="s">
        <v>2070</v>
      </c>
      <c r="B53" s="2334" t="s">
        <v>212</v>
      </c>
      <c r="C53" s="2930" t="s">
        <v>3073</v>
      </c>
      <c r="D53" s="2932" t="s">
        <v>3072</v>
      </c>
      <c r="E53" s="2275"/>
      <c r="F53" s="2275"/>
      <c r="G53" s="2275"/>
      <c r="H53" s="2275"/>
      <c r="I53" s="2275"/>
      <c r="J53" s="2275"/>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5" t="s">
        <v>2071</v>
      </c>
      <c r="B54" s="84">
        <v>3</v>
      </c>
      <c r="C54" s="1430">
        <v>30</v>
      </c>
      <c r="D54" s="2276"/>
      <c r="E54" s="2275"/>
      <c r="F54" s="2275"/>
      <c r="G54" s="2275"/>
      <c r="H54" s="2275"/>
      <c r="I54" s="2275"/>
      <c r="J54" s="2275"/>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5" t="s">
        <v>2072</v>
      </c>
      <c r="B55" s="84">
        <v>1.5</v>
      </c>
      <c r="C55" s="1430">
        <v>24</v>
      </c>
      <c r="D55" s="2276"/>
      <c r="E55" s="2275"/>
      <c r="F55" s="2275"/>
      <c r="G55" s="2275"/>
      <c r="H55" s="2275"/>
      <c r="I55" s="2336"/>
      <c r="J55" s="2275"/>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5" t="s">
        <v>2073</v>
      </c>
      <c r="B56" s="84"/>
      <c r="C56" s="1430">
        <v>18</v>
      </c>
      <c r="D56" s="2276"/>
      <c r="E56" s="2275"/>
      <c r="F56" s="2275"/>
      <c r="G56" s="2275"/>
      <c r="H56" s="2275"/>
      <c r="I56" s="2275"/>
      <c r="J56" s="2275"/>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5" t="s">
        <v>2074</v>
      </c>
      <c r="B57" s="84"/>
      <c r="C57" s="1430">
        <v>12</v>
      </c>
      <c r="D57" s="2276"/>
      <c r="E57" s="2275"/>
      <c r="F57" s="2275"/>
      <c r="G57" s="2275"/>
      <c r="H57" s="2275"/>
      <c r="I57" s="2275"/>
      <c r="J57" s="2275"/>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5" t="s">
        <v>2075</v>
      </c>
      <c r="B58" s="84"/>
      <c r="C58" s="1430">
        <v>3</v>
      </c>
      <c r="D58" s="2276"/>
      <c r="E58" s="2275"/>
      <c r="F58" s="2275"/>
      <c r="G58" s="2275"/>
      <c r="H58" s="2275"/>
      <c r="I58" s="2275"/>
      <c r="J58" s="2275"/>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5" t="s">
        <v>2076</v>
      </c>
      <c r="B59" s="84"/>
      <c r="C59" s="1430">
        <v>1.5</v>
      </c>
      <c r="D59" s="2276"/>
      <c r="E59" s="2275"/>
      <c r="F59" s="2275"/>
      <c r="G59" s="2275"/>
      <c r="H59" s="2275"/>
      <c r="I59" s="2275"/>
      <c r="J59" s="2275"/>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5" t="s">
        <v>2077</v>
      </c>
      <c r="B60" s="84"/>
      <c r="C60" s="2275"/>
      <c r="D60" s="2276"/>
      <c r="E60" s="2275"/>
      <c r="F60" s="2275"/>
      <c r="G60" s="2275"/>
      <c r="H60" s="2275"/>
      <c r="I60" s="2275"/>
      <c r="J60" s="2275"/>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5" t="s">
        <v>2078</v>
      </c>
      <c r="B61" s="84"/>
      <c r="C61" s="2275"/>
      <c r="D61" s="2276"/>
      <c r="E61" s="2275"/>
      <c r="F61" s="2275"/>
      <c r="G61" s="2275"/>
      <c r="H61" s="2275"/>
      <c r="I61" s="2275"/>
      <c r="J61" s="2275"/>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5" t="s">
        <v>2079</v>
      </c>
      <c r="B62" s="84"/>
      <c r="C62" s="2275"/>
      <c r="D62" s="2276"/>
      <c r="E62" s="2275"/>
      <c r="F62" s="2275"/>
      <c r="G62" s="2275"/>
      <c r="H62" s="2275"/>
      <c r="I62" s="2275"/>
      <c r="J62" s="2275"/>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37" t="s">
        <v>2080</v>
      </c>
      <c r="B63" s="133"/>
      <c r="C63" s="2275"/>
      <c r="D63" s="2276"/>
      <c r="E63" s="2275"/>
      <c r="F63" s="2275"/>
      <c r="G63" s="2275"/>
      <c r="H63" s="2275"/>
      <c r="I63" s="2275"/>
      <c r="J63" s="2275"/>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2" customFormat="1">
      <c r="A134" s="2340"/>
      <c r="D134" s="2341"/>
      <c r="K134" s="27"/>
      <c r="L134" s="27"/>
    </row>
    <row r="135" spans="1:12" s="2272" customFormat="1">
      <c r="A135" s="2340"/>
      <c r="D135" s="2341"/>
      <c r="K135" s="27"/>
      <c r="L135" s="27"/>
    </row>
    <row r="136" spans="1:12" s="2272" customFormat="1">
      <c r="A136" s="2340"/>
      <c r="D136" s="2341"/>
      <c r="K136" s="27"/>
      <c r="L136" s="27"/>
    </row>
    <row r="137" spans="1:12" s="2272" customFormat="1">
      <c r="A137" s="2340"/>
      <c r="D137" s="2341"/>
      <c r="K137" s="27"/>
      <c r="L137" s="27"/>
    </row>
    <row r="138" spans="1:12" s="2272" customFormat="1">
      <c r="A138" s="2340"/>
      <c r="D138" s="2341"/>
      <c r="K138" s="27"/>
      <c r="L138" s="27"/>
    </row>
    <row r="139" spans="1:12" s="2272" customFormat="1">
      <c r="A139" s="2340"/>
      <c r="D139" s="2341"/>
      <c r="K139" s="27"/>
      <c r="L139" s="27"/>
    </row>
    <row r="140" spans="1:12" s="2272" customFormat="1">
      <c r="A140" s="2340"/>
      <c r="D140" s="2341"/>
      <c r="K140" s="27"/>
      <c r="L140" s="27"/>
    </row>
    <row r="141" spans="1:12" s="2272" customFormat="1">
      <c r="A141" s="2340"/>
      <c r="D141" s="2341"/>
      <c r="K141" s="27"/>
      <c r="L141" s="27"/>
    </row>
    <row r="142" spans="1:12" s="2272" customFormat="1">
      <c r="A142" s="2340"/>
      <c r="D142" s="2341"/>
      <c r="K142" s="27"/>
      <c r="L142" s="27"/>
    </row>
    <row r="143" spans="1:12" s="2272" customFormat="1">
      <c r="A143" s="2340"/>
      <c r="D143" s="2341"/>
      <c r="K143" s="27"/>
      <c r="L143" s="27"/>
    </row>
    <row r="144" spans="1:12" s="2272" customFormat="1">
      <c r="A144" s="2340"/>
      <c r="D144" s="2341"/>
      <c r="K144" s="27"/>
      <c r="L144" s="27"/>
    </row>
    <row r="145" spans="1:12" s="2272" customFormat="1">
      <c r="A145" s="2340"/>
      <c r="D145" s="2341"/>
      <c r="K145" s="27"/>
      <c r="L145" s="27"/>
    </row>
    <row r="146" spans="1:12" s="2272" customFormat="1">
      <c r="A146" s="2340"/>
      <c r="D146" s="2341"/>
      <c r="K146" s="27"/>
      <c r="L146" s="27"/>
    </row>
    <row r="147" spans="1:12" s="2272" customFormat="1">
      <c r="A147" s="2340"/>
      <c r="D147" s="2341"/>
      <c r="K147" s="27"/>
      <c r="L147" s="27"/>
    </row>
    <row r="148" spans="1:12" s="2272" customFormat="1">
      <c r="A148" s="2340"/>
      <c r="D148" s="2341"/>
      <c r="K148" s="27"/>
      <c r="L148" s="27"/>
    </row>
    <row r="149" spans="1:12" s="2272" customFormat="1">
      <c r="A149" s="2340"/>
      <c r="D149" s="2341"/>
      <c r="K149" s="27"/>
      <c r="L149" s="27"/>
    </row>
    <row r="150" spans="1:12" s="2272" customFormat="1">
      <c r="A150" s="2340"/>
      <c r="D150" s="2341"/>
      <c r="K150" s="27"/>
      <c r="L150" s="27"/>
    </row>
    <row r="151" spans="1:12" s="2272" customFormat="1">
      <c r="A151" s="2340"/>
      <c r="D151" s="2341"/>
      <c r="K151" s="27"/>
      <c r="L151" s="27"/>
    </row>
    <row r="152" spans="1:12" s="2272" customFormat="1">
      <c r="A152" s="2340"/>
      <c r="D152" s="2341"/>
      <c r="K152" s="27"/>
      <c r="L152" s="27"/>
    </row>
    <row r="153" spans="1:12" s="2272" customFormat="1">
      <c r="A153" s="2340"/>
      <c r="D153" s="2341"/>
      <c r="K153" s="27"/>
      <c r="L153" s="27"/>
    </row>
    <row r="154" spans="1:12" s="2272" customFormat="1">
      <c r="A154" s="2340"/>
      <c r="D154" s="2341"/>
      <c r="K154" s="27"/>
      <c r="L154" s="27"/>
    </row>
    <row r="155" spans="1:12" s="2272" customFormat="1">
      <c r="A155" s="2340"/>
      <c r="D155" s="2341"/>
      <c r="K155" s="27"/>
      <c r="L155" s="27"/>
    </row>
    <row r="156" spans="1:12" s="2272" customFormat="1">
      <c r="A156" s="2340"/>
      <c r="D156" s="2341"/>
      <c r="K156" s="27"/>
      <c r="L156" s="27"/>
    </row>
    <row r="157" spans="1:12" s="2272" customFormat="1">
      <c r="A157" s="2340"/>
      <c r="D157" s="2341"/>
      <c r="K157" s="27"/>
      <c r="L157" s="27"/>
    </row>
    <row r="158" spans="1:12" s="2272" customFormat="1">
      <c r="A158" s="2340"/>
      <c r="D158" s="2341"/>
      <c r="K158" s="27"/>
      <c r="L158" s="27"/>
    </row>
    <row r="159" spans="1:12" s="2272" customFormat="1">
      <c r="A159" s="2340"/>
      <c r="D159" s="2341"/>
      <c r="K159" s="27"/>
      <c r="L159" s="27"/>
    </row>
    <row r="160" spans="1:12" s="2272" customFormat="1">
      <c r="A160" s="2340"/>
      <c r="D160" s="2341"/>
      <c r="K160" s="27"/>
      <c r="L160" s="27"/>
    </row>
    <row r="161" spans="1:12" s="2272" customFormat="1">
      <c r="A161" s="2340"/>
      <c r="D161" s="2341"/>
      <c r="K161" s="27"/>
      <c r="L161" s="27"/>
    </row>
    <row r="162" spans="1:12" s="2272" customFormat="1">
      <c r="A162" s="2340"/>
      <c r="D162" s="2341"/>
      <c r="K162" s="27"/>
      <c r="L162" s="27"/>
    </row>
    <row r="163" spans="1:12" s="2272" customFormat="1">
      <c r="A163" s="2340"/>
      <c r="D163" s="2341"/>
      <c r="K163" s="27"/>
      <c r="L163" s="27"/>
    </row>
    <row r="164" spans="1:12" s="2272" customFormat="1">
      <c r="A164" s="2340"/>
      <c r="D164" s="2341"/>
      <c r="K164" s="27"/>
      <c r="L164" s="27"/>
    </row>
    <row r="165" spans="1:12" s="2272" customFormat="1">
      <c r="A165" s="2340"/>
      <c r="D165" s="2341"/>
      <c r="K165" s="27"/>
      <c r="L165" s="27"/>
    </row>
    <row r="166" spans="1:12" s="2272" customFormat="1">
      <c r="A166" s="2340"/>
      <c r="D166" s="2341"/>
      <c r="K166" s="27"/>
      <c r="L166" s="27"/>
    </row>
    <row r="167" spans="1:12" s="2272" customFormat="1">
      <c r="A167" s="2340"/>
      <c r="D167" s="2341"/>
      <c r="K167" s="27"/>
      <c r="L167" s="27"/>
    </row>
    <row r="168" spans="1:12" s="2272" customFormat="1">
      <c r="A168" s="2340"/>
      <c r="D168" s="2341"/>
      <c r="K168" s="27"/>
      <c r="L168" s="27"/>
    </row>
    <row r="169" spans="1:12" s="2272" customFormat="1">
      <c r="A169" s="2340"/>
      <c r="D169" s="2341"/>
      <c r="K169" s="27"/>
      <c r="L169" s="27"/>
    </row>
    <row r="170" spans="1:12" s="2272" customFormat="1">
      <c r="A170" s="2340"/>
      <c r="D170" s="2341"/>
      <c r="K170" s="27"/>
      <c r="L170" s="27"/>
    </row>
    <row r="171" spans="1:12" s="2272" customFormat="1">
      <c r="A171" s="2340"/>
      <c r="D171" s="2341"/>
      <c r="K171" s="27"/>
      <c r="L171" s="27"/>
    </row>
    <row r="172" spans="1:12" s="2272" customFormat="1">
      <c r="A172" s="2340"/>
      <c r="D172" s="2341"/>
      <c r="K172" s="27"/>
      <c r="L172" s="27"/>
    </row>
    <row r="173" spans="1:12" s="2272" customFormat="1">
      <c r="A173" s="2340"/>
      <c r="D173" s="2341"/>
      <c r="K173" s="27"/>
      <c r="L173" s="27"/>
    </row>
    <row r="174" spans="1:12" s="2272"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94" t="s">
        <v>2081</v>
      </c>
      <c r="B1" s="3095"/>
      <c r="C1" s="3095"/>
      <c r="D1" s="3095"/>
      <c r="E1" s="3095"/>
      <c r="F1" s="3095"/>
      <c r="G1" s="309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4"/>
      <c r="G2" s="2362" t="s">
        <v>2083</v>
      </c>
      <c r="H2" s="2365"/>
      <c r="I2" s="2365"/>
      <c r="J2" s="2365"/>
      <c r="K2" s="2365"/>
      <c r="L2" s="2365"/>
      <c r="M2" s="2365"/>
      <c r="N2" s="2365"/>
      <c r="O2" s="2365"/>
      <c r="P2" s="2365"/>
      <c r="Q2" s="2365"/>
      <c r="R2" s="2365"/>
    </row>
    <row r="3" spans="1:29" ht="54">
      <c r="A3" s="415" t="s">
        <v>2084</v>
      </c>
      <c r="B3" s="1271" t="s">
        <v>2085</v>
      </c>
      <c r="C3" s="2367" t="s">
        <v>2086</v>
      </c>
      <c r="D3" s="2368"/>
      <c r="E3" s="431" t="s">
        <v>2084</v>
      </c>
      <c r="F3" s="2369" t="s">
        <v>2087</v>
      </c>
      <c r="G3" s="2370" t="s">
        <v>2088</v>
      </c>
      <c r="H3" s="2365"/>
      <c r="I3" s="2365"/>
      <c r="J3" s="2365"/>
      <c r="K3" s="2365"/>
      <c r="L3" s="2365"/>
      <c r="M3" s="2365"/>
      <c r="N3" s="2365"/>
      <c r="O3" s="2365"/>
      <c r="P3" s="2365"/>
      <c r="Q3" s="2365"/>
      <c r="R3" s="2365"/>
    </row>
    <row r="4" spans="1:29" ht="41.25">
      <c r="A4" s="431"/>
      <c r="B4" s="1799" t="s">
        <v>2089</v>
      </c>
      <c r="C4" s="2371" t="s">
        <v>2090</v>
      </c>
      <c r="D4" s="2368"/>
      <c r="E4" s="2372"/>
      <c r="F4" s="42" t="s">
        <v>2091</v>
      </c>
      <c r="G4" s="2373" t="s">
        <v>2092</v>
      </c>
      <c r="H4" s="2365"/>
      <c r="I4" s="2365"/>
      <c r="J4" s="2365"/>
      <c r="K4" s="2365"/>
      <c r="L4" s="2365"/>
      <c r="M4" s="2365"/>
      <c r="N4" s="2365"/>
      <c r="O4" s="2365"/>
      <c r="P4" s="2365"/>
      <c r="Q4" s="2365"/>
      <c r="R4" s="2365"/>
    </row>
    <row r="5" spans="1:29" ht="41.25">
      <c r="A5" s="431"/>
      <c r="B5" s="1799" t="s">
        <v>2093</v>
      </c>
      <c r="C5" s="2371" t="s">
        <v>2094</v>
      </c>
      <c r="D5" s="2368"/>
      <c r="E5" s="2372"/>
      <c r="F5" s="1799" t="s">
        <v>2095</v>
      </c>
      <c r="G5" s="2373" t="s">
        <v>2096</v>
      </c>
      <c r="H5" s="2365"/>
      <c r="I5" s="2365"/>
      <c r="J5" s="2365"/>
      <c r="K5" s="2365"/>
      <c r="L5" s="2365"/>
      <c r="M5" s="2365"/>
      <c r="N5" s="2365"/>
      <c r="O5" s="2365"/>
      <c r="P5" s="2365"/>
      <c r="Q5" s="2365"/>
      <c r="R5" s="2365"/>
    </row>
    <row r="6" spans="1:29" ht="54">
      <c r="A6" s="431"/>
      <c r="B6" s="1799" t="s">
        <v>2097</v>
      </c>
      <c r="C6" s="2373" t="s">
        <v>2092</v>
      </c>
      <c r="D6" s="2368"/>
      <c r="E6" s="2372"/>
      <c r="F6" s="1799" t="s">
        <v>2098</v>
      </c>
      <c r="G6" s="2373" t="s">
        <v>2099</v>
      </c>
      <c r="H6" s="2365"/>
      <c r="I6" s="2365"/>
      <c r="J6" s="2365"/>
      <c r="K6" s="2365"/>
      <c r="L6" s="2365"/>
      <c r="M6" s="2365"/>
      <c r="N6" s="2365"/>
      <c r="O6" s="2365"/>
      <c r="P6" s="2365"/>
      <c r="Q6" s="2365"/>
      <c r="R6" s="2365"/>
    </row>
    <row r="7" spans="1:29" ht="41.25" thickBot="1">
      <c r="A7" s="431"/>
      <c r="B7" s="1799" t="s">
        <v>2095</v>
      </c>
      <c r="C7" s="2373" t="s">
        <v>2096</v>
      </c>
      <c r="D7" s="2374"/>
      <c r="E7" s="2375"/>
      <c r="F7" s="2376" t="s">
        <v>2100</v>
      </c>
      <c r="G7" s="2377" t="s">
        <v>2101</v>
      </c>
      <c r="H7" s="2365"/>
      <c r="I7" s="2365"/>
      <c r="J7" s="2365"/>
      <c r="K7" s="2365"/>
      <c r="L7" s="2365"/>
      <c r="M7" s="2365"/>
      <c r="N7" s="2365"/>
      <c r="O7" s="2365"/>
      <c r="P7" s="2365"/>
      <c r="Q7" s="2365"/>
      <c r="R7" s="2365"/>
    </row>
    <row r="8" spans="1:29" ht="27">
      <c r="A8" s="431"/>
      <c r="B8" s="1799" t="s">
        <v>2098</v>
      </c>
      <c r="C8" s="2373" t="s">
        <v>2099</v>
      </c>
      <c r="D8" s="2374"/>
      <c r="E8" s="2374"/>
      <c r="F8" s="1136"/>
      <c r="G8" s="1136"/>
      <c r="H8" s="2365"/>
      <c r="I8" s="2365"/>
      <c r="J8" s="2365"/>
      <c r="K8" s="2365"/>
      <c r="L8" s="2365"/>
      <c r="M8" s="2365"/>
      <c r="N8" s="2365"/>
      <c r="O8" s="2365"/>
      <c r="P8" s="2365"/>
      <c r="Q8" s="2365"/>
      <c r="R8" s="2365"/>
    </row>
    <row r="9" spans="1:29" ht="27">
      <c r="A9" s="431"/>
      <c r="B9" s="1799" t="s">
        <v>2102</v>
      </c>
      <c r="C9" s="2371" t="s">
        <v>2103</v>
      </c>
      <c r="D9" s="2368"/>
      <c r="E9" s="2374"/>
      <c r="F9" s="1136"/>
      <c r="G9" s="1136"/>
      <c r="H9" s="2365"/>
      <c r="I9" s="2365"/>
      <c r="J9" s="2365"/>
      <c r="K9" s="2365"/>
      <c r="L9" s="2365"/>
      <c r="M9" s="2365"/>
      <c r="N9" s="2365"/>
      <c r="O9" s="2365"/>
      <c r="P9" s="2365"/>
      <c r="Q9" s="2365"/>
      <c r="R9" s="2365"/>
    </row>
    <row r="10" spans="1:29" s="116" customFormat="1" ht="15.75" thickBot="1">
      <c r="A10" s="2378"/>
      <c r="B10" s="2379" t="s">
        <v>2104</v>
      </c>
      <c r="C10" s="2380"/>
      <c r="D10" s="2368"/>
      <c r="E10" s="2368"/>
      <c r="F10" s="1136"/>
      <c r="G10" s="1136"/>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4"/>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4"/>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70" t="s">
        <v>2085</v>
      </c>
      <c r="C15" s="2400" t="str">
        <f>C3</f>
        <v>估价对象周边居住用地比例、居住小区规模和社区发展完善程度，综合评价居住社区成熟度一般</v>
      </c>
      <c r="D15" s="2368"/>
      <c r="E15" s="2401" t="s">
        <v>2109</v>
      </c>
      <c r="F15" s="1270" t="s">
        <v>2110</v>
      </c>
      <c r="G15" s="134" t="str">
        <f>G3</f>
        <v>估价对象位于XX开发区，园区建设成熟度XX，产业集聚程度XX</v>
      </c>
    </row>
    <row r="16" spans="1:29" ht="42.75">
      <c r="A16" s="645"/>
      <c r="B16" s="2402" t="s">
        <v>2089</v>
      </c>
      <c r="C16" s="2403" t="str">
        <f>C4</f>
        <v>估价对象位于XX商圈，周边商业氛围成熟，人流量大，商业繁华度好</v>
      </c>
      <c r="D16" s="2368"/>
      <c r="E16" s="2404"/>
      <c r="F16" s="2405" t="s">
        <v>2091</v>
      </c>
      <c r="G16" s="135" t="str">
        <f>G4</f>
        <v>估价对象周边道路状况、公共交通通达情况、停车便捷程度，综合评价交通便捷度较好</v>
      </c>
    </row>
    <row r="17" spans="1:18" ht="42.75">
      <c r="A17" s="645"/>
      <c r="B17" s="2402" t="s">
        <v>2093</v>
      </c>
      <c r="C17" s="2403" t="str">
        <f>C5</f>
        <v>估价对象位于XX商圈，周边办公楼项目较多，入驻率高，办公集聚程度较好</v>
      </c>
      <c r="D17" s="2374"/>
      <c r="E17" s="2404"/>
      <c r="F17" s="2405" t="s">
        <v>2111</v>
      </c>
      <c r="G17" s="1573"/>
    </row>
    <row r="18" spans="1:18" ht="57">
      <c r="A18" s="645"/>
      <c r="B18" s="2405" t="s">
        <v>2097</v>
      </c>
      <c r="C18" s="135" t="str">
        <f>C6</f>
        <v>估价对象周边道路状况、公共交通通达情况、停车便捷程度，综合评价交通便捷度较好</v>
      </c>
      <c r="D18" s="2374"/>
      <c r="E18" s="2404"/>
      <c r="F18" s="2405" t="s">
        <v>2100</v>
      </c>
      <c r="G18" s="135" t="str">
        <f>G7</f>
        <v>该园区内是否有污染型企业，绿化情况，卫生条件，整体环境状况判断</v>
      </c>
    </row>
    <row r="19" spans="1:18" ht="28.5">
      <c r="A19" s="645"/>
      <c r="B19" s="2405" t="s">
        <v>2112</v>
      </c>
      <c r="C19" s="1573"/>
      <c r="D19" s="2368"/>
      <c r="E19" s="2404"/>
      <c r="F19" s="1799" t="s">
        <v>2095</v>
      </c>
      <c r="G19" s="135" t="str">
        <f>G5</f>
        <v>估价对象所在区域公共配套设施齐备情况</v>
      </c>
    </row>
    <row r="20" spans="1:18" ht="28.5">
      <c r="A20" s="645"/>
      <c r="B20" s="2405" t="s">
        <v>2113</v>
      </c>
      <c r="C20" s="2403" t="str">
        <f>C9</f>
        <v>区域自然环境：；人文环境；综合评价环境状况一般</v>
      </c>
      <c r="D20" s="2374"/>
      <c r="E20" s="2404"/>
      <c r="F20" s="1799" t="s">
        <v>2114</v>
      </c>
      <c r="G20" s="135" t="str">
        <f>G6</f>
        <v>估价对象所在区域基础设施水平</v>
      </c>
    </row>
    <row r="21" spans="1:18" ht="28.5">
      <c r="A21" s="645"/>
      <c r="B21" s="1799" t="s">
        <v>2095</v>
      </c>
      <c r="C21" s="135" t="str">
        <f>C7</f>
        <v>估价对象所在区域公共配套设施齐备情况</v>
      </c>
      <c r="D21" s="2368"/>
      <c r="E21" s="2404"/>
      <c r="F21" s="2405" t="s">
        <v>2115</v>
      </c>
      <c r="G21" s="2406"/>
    </row>
    <row r="22" spans="1:18" ht="13.5" customHeight="1">
      <c r="A22" s="645"/>
      <c r="B22" s="1799" t="s">
        <v>2098</v>
      </c>
      <c r="C22" s="135" t="str">
        <f>C8</f>
        <v>估价对象所在区域基础设施水平</v>
      </c>
      <c r="D22" s="2368"/>
      <c r="E22" s="2404"/>
      <c r="F22" s="2405" t="s">
        <v>2104</v>
      </c>
      <c r="G22" s="1573"/>
    </row>
    <row r="23" spans="1:18" s="2365" customFormat="1" ht="15.75" thickBot="1">
      <c r="A23" s="645"/>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14410.755000000001</v>
      </c>
      <c r="C1" s="1746"/>
      <c r="D1" s="1746"/>
      <c r="E1" s="1746"/>
      <c r="F1" s="1746"/>
      <c r="G1" s="1744"/>
    </row>
    <row r="2" spans="1:10" ht="16.5">
      <c r="A2" s="1747" t="s">
        <v>1354</v>
      </c>
      <c r="B2" s="1747">
        <f>SUM(C14:C23)</f>
        <v>5708.86</v>
      </c>
      <c r="C2" s="1746"/>
      <c r="D2" s="1746"/>
      <c r="E2" s="1746"/>
      <c r="F2" s="1746"/>
      <c r="G2" s="1744"/>
    </row>
    <row r="3" spans="1:10" ht="16.5">
      <c r="A3" s="1747" t="s">
        <v>1363</v>
      </c>
      <c r="B3" s="1748">
        <f>项目基本情况!D3</f>
        <v>43049</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4600</v>
      </c>
      <c r="C5" s="1747">
        <f ca="1">ROUND(B5*10000/$B$1,0)</f>
        <v>3192</v>
      </c>
      <c r="D5" s="1747">
        <f ca="1">ROUND(B5*10000/$B$2,0)</f>
        <v>8058</v>
      </c>
      <c r="E5" s="1746"/>
      <c r="F5" s="1744"/>
      <c r="G5" s="1744"/>
    </row>
    <row r="6" spans="1:10" ht="16.5">
      <c r="A6" s="1747" t="s">
        <v>1357</v>
      </c>
      <c r="B6" s="1747">
        <f ca="1">SUM(G14:G23)</f>
        <v>4600</v>
      </c>
      <c r="C6" s="1747">
        <f ca="1">ROUND(B6*10000/$B$1,0)</f>
        <v>3192</v>
      </c>
      <c r="D6" s="1747">
        <f ca="1">ROUND(B6*10000/$B$2,0)</f>
        <v>8058</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14410.755000000001</v>
      </c>
      <c r="C14" s="1745">
        <f>结果表!C118</f>
        <v>5708.86</v>
      </c>
      <c r="D14" s="1745">
        <f ca="1">结果表!H118</f>
        <v>4600</v>
      </c>
      <c r="E14" s="1745">
        <f ca="1">ROUND(D14*10000/B14,0)</f>
        <v>3192</v>
      </c>
      <c r="F14" s="1745">
        <f ca="1">ROUND(D14*10000/C14,0)</f>
        <v>8058</v>
      </c>
      <c r="G14" s="1745">
        <f ca="1">结果表!D122</f>
        <v>4600</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0" sqref="G2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2118</v>
      </c>
      <c r="B1" s="2416"/>
      <c r="C1" s="2417"/>
      <c r="D1" s="2416"/>
      <c r="E1" s="2416"/>
      <c r="F1" s="2418" t="s">
        <v>2119</v>
      </c>
      <c r="G1" s="2069" t="s">
        <v>2120</v>
      </c>
      <c r="H1" s="2419" t="str">
        <f>IF(G1="现房","——","估价对象范围")</f>
        <v>估价对象范围</v>
      </c>
      <c r="I1" s="2420" t="s">
        <v>3117</v>
      </c>
    </row>
    <row r="2" spans="1:12" ht="21.75" customHeight="1" thickBot="1">
      <c r="A2" s="3168" t="str">
        <f>项目基本情况!S2</f>
        <v>河北省保定市涞水县涞水镇东关村府前街2号桥北侧20#A、20#B住宅、商业用房出让国有建设用地使用权及在建建筑物房地产</v>
      </c>
      <c r="B2" s="3169"/>
      <c r="C2" s="3169"/>
      <c r="D2" s="3169"/>
      <c r="E2" s="3169"/>
      <c r="F2" s="3169"/>
      <c r="G2" s="3169"/>
      <c r="H2" s="3169"/>
      <c r="I2" s="3170"/>
    </row>
    <row r="3" spans="1:12" ht="12.75">
      <c r="A3" s="3171" t="s">
        <v>2121</v>
      </c>
      <c r="B3" s="3172"/>
      <c r="C3" s="3172"/>
      <c r="D3" s="3172"/>
      <c r="E3" s="3172"/>
      <c r="F3" s="3172"/>
      <c r="G3" s="3172"/>
      <c r="H3" s="3172"/>
      <c r="I3" s="3172"/>
    </row>
    <row r="4" spans="1:12" ht="14.25">
      <c r="A4" s="2423" t="s">
        <v>2122</v>
      </c>
      <c r="B4" s="2424" t="s">
        <v>2123</v>
      </c>
      <c r="C4" s="2425" t="s">
        <v>3118</v>
      </c>
      <c r="D4" s="2425" t="s">
        <v>3119</v>
      </c>
      <c r="E4" s="3152" t="s">
        <v>2124</v>
      </c>
      <c r="F4" s="3165"/>
      <c r="G4" s="3165"/>
      <c r="H4" s="3165"/>
      <c r="I4" s="315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2125</v>
      </c>
      <c r="B5" s="3069">
        <v>25</v>
      </c>
      <c r="C5" s="3173"/>
      <c r="D5" s="3161"/>
      <c r="E5" s="139" t="s">
        <v>2126</v>
      </c>
      <c r="F5" s="2427"/>
      <c r="G5" s="2427"/>
      <c r="H5" s="2427"/>
      <c r="I5" s="1834"/>
    </row>
    <row r="6" spans="1:12" ht="12.75">
      <c r="A6" s="3143"/>
      <c r="B6" s="3069"/>
      <c r="C6" s="3175"/>
      <c r="D6" s="3161"/>
      <c r="E6" s="139" t="s">
        <v>2127</v>
      </c>
      <c r="F6" s="2427"/>
      <c r="G6" s="2427"/>
      <c r="H6" s="2427"/>
      <c r="I6" s="1834"/>
    </row>
    <row r="7" spans="1:12" ht="12.75">
      <c r="A7" s="3143"/>
      <c r="B7" s="3069"/>
      <c r="C7" s="3174"/>
      <c r="D7" s="3161"/>
      <c r="E7" s="139" t="s">
        <v>2128</v>
      </c>
      <c r="F7" s="2427"/>
      <c r="G7" s="2427"/>
      <c r="H7" s="2427"/>
      <c r="I7" s="1834"/>
    </row>
    <row r="8" spans="1:12" ht="12.75">
      <c r="A8" s="3143" t="s">
        <v>2129</v>
      </c>
      <c r="B8" s="3069">
        <v>15</v>
      </c>
      <c r="C8" s="3173"/>
      <c r="D8" s="3161"/>
      <c r="E8" s="139" t="s">
        <v>2130</v>
      </c>
      <c r="F8" s="2427"/>
      <c r="G8" s="2427"/>
      <c r="H8" s="2427"/>
      <c r="I8" s="1834"/>
    </row>
    <row r="9" spans="1:12" ht="12.75">
      <c r="A9" s="3143"/>
      <c r="B9" s="3069"/>
      <c r="C9" s="3174"/>
      <c r="D9" s="3161"/>
      <c r="E9" s="139" t="s">
        <v>2131</v>
      </c>
      <c r="F9" s="2427"/>
      <c r="G9" s="2427"/>
      <c r="H9" s="2427"/>
      <c r="I9" s="1834"/>
    </row>
    <row r="10" spans="1:12" ht="12.75">
      <c r="A10" s="3143" t="s">
        <v>2132</v>
      </c>
      <c r="B10" s="3069">
        <v>15</v>
      </c>
      <c r="C10" s="3173"/>
      <c r="D10" s="3161"/>
      <c r="E10" s="139" t="s">
        <v>2133</v>
      </c>
      <c r="F10" s="2427"/>
      <c r="G10" s="2427"/>
      <c r="H10" s="2427"/>
      <c r="I10" s="1834"/>
    </row>
    <row r="11" spans="1:12" ht="12.75">
      <c r="A11" s="3143"/>
      <c r="B11" s="3069"/>
      <c r="C11" s="3174"/>
      <c r="D11" s="3161"/>
      <c r="E11" s="139" t="s">
        <v>2134</v>
      </c>
      <c r="F11" s="2427"/>
      <c r="G11" s="2427"/>
      <c r="H11" s="2427"/>
      <c r="I11" s="1834"/>
    </row>
    <row r="12" spans="1:12" ht="12.75">
      <c r="A12" s="3143" t="s">
        <v>2135</v>
      </c>
      <c r="B12" s="3069">
        <v>15</v>
      </c>
      <c r="C12" s="3173"/>
      <c r="D12" s="3161"/>
      <c r="E12" s="139" t="s">
        <v>2136</v>
      </c>
      <c r="F12" s="2427"/>
      <c r="G12" s="2427"/>
      <c r="H12" s="2427"/>
      <c r="I12" s="1834"/>
    </row>
    <row r="13" spans="1:12" ht="12.75">
      <c r="A13" s="3143"/>
      <c r="B13" s="3069"/>
      <c r="C13" s="3174"/>
      <c r="D13" s="3161"/>
      <c r="E13" s="139" t="s">
        <v>2137</v>
      </c>
      <c r="F13" s="2427"/>
      <c r="G13" s="2427"/>
      <c r="H13" s="2427"/>
      <c r="I13" s="1834"/>
    </row>
    <row r="14" spans="1:12" ht="12.75">
      <c r="A14" s="3143" t="s">
        <v>2138</v>
      </c>
      <c r="B14" s="3069">
        <v>30</v>
      </c>
      <c r="C14" s="3173">
        <v>4</v>
      </c>
      <c r="D14" s="3161">
        <v>6</v>
      </c>
      <c r="E14" s="139" t="s">
        <v>2139</v>
      </c>
      <c r="F14" s="2427"/>
      <c r="G14" s="2427"/>
      <c r="H14" s="2427"/>
      <c r="I14" s="1834"/>
    </row>
    <row r="15" spans="1:12" ht="12.75">
      <c r="A15" s="3143"/>
      <c r="B15" s="3069"/>
      <c r="C15" s="3175"/>
      <c r="D15" s="3161"/>
      <c r="E15" s="139" t="s">
        <v>2140</v>
      </c>
      <c r="F15" s="2427"/>
      <c r="G15" s="2427"/>
      <c r="H15" s="2427"/>
      <c r="I15" s="1834"/>
    </row>
    <row r="16" spans="1:12" ht="12.75">
      <c r="A16" s="3143"/>
      <c r="B16" s="3069"/>
      <c r="C16" s="3174"/>
      <c r="D16" s="3161"/>
      <c r="E16" s="139" t="s">
        <v>2141</v>
      </c>
      <c r="F16" s="2427"/>
      <c r="G16" s="2427"/>
      <c r="H16" s="2427"/>
      <c r="I16" s="1834"/>
    </row>
    <row r="17" spans="1:35" ht="15">
      <c r="A17" s="2428" t="s">
        <v>2142</v>
      </c>
      <c r="B17" s="64"/>
      <c r="C17" s="140">
        <f>SUM(C5:C16)</f>
        <v>4</v>
      </c>
      <c r="D17" s="140">
        <f>SUM(D5:D16)</f>
        <v>6</v>
      </c>
      <c r="E17" s="137"/>
      <c r="F17" s="137"/>
      <c r="G17" s="137"/>
      <c r="H17" s="137"/>
      <c r="I17" s="137"/>
      <c r="K17" s="2426"/>
      <c r="L17" s="2429" t="s">
        <v>2143</v>
      </c>
      <c r="M17" s="2429" t="s">
        <v>2144</v>
      </c>
    </row>
    <row r="18" spans="1:35" ht="15.75" thickBot="1">
      <c r="A18" s="2430" t="s">
        <v>2145</v>
      </c>
      <c r="B18" s="2431"/>
      <c r="C18" s="141">
        <f>ROUND(C17/SUM(C17:D17),2)</f>
        <v>0.4</v>
      </c>
      <c r="D18" s="141">
        <f>1-C18</f>
        <v>0.6</v>
      </c>
      <c r="E18" s="137"/>
      <c r="F18" s="137"/>
      <c r="G18" s="137"/>
      <c r="H18" s="137"/>
      <c r="I18" s="137"/>
      <c r="K18" s="2426" t="s">
        <v>2146</v>
      </c>
      <c r="L18" s="2426">
        <f>IF(C1="",'数据-汇总表'!E3,SUMIF(项目类型,C1,'数据-汇总表'!E17:E26)+SUMIF(项目类型,C1,'数据-汇总表'!I17:I26))</f>
        <v>14410.755000000001</v>
      </c>
      <c r="M18" s="2426">
        <f>IF(C1="",'数据-汇总表'!E3,SUMIF(项目类型,C1,'数据-汇总表'!E17:E26))</f>
        <v>14410.755000000001</v>
      </c>
    </row>
    <row r="19" spans="1:35" ht="15">
      <c r="A19" s="2432" t="s">
        <v>2147</v>
      </c>
      <c r="B19" s="2433" t="s">
        <v>2148</v>
      </c>
      <c r="C19" s="142">
        <f ca="1">SUMIF(INDIRECT("'"&amp;C4&amp;"'"&amp;"!A:A"),结果表!B19,INDIRECT("'"&amp;C4&amp;"'"&amp;"!B:B"))</f>
        <v>1798</v>
      </c>
      <c r="D19" s="143">
        <f ca="1">SUMIF(INDIRECT("'"&amp;D4&amp;"'"&amp;"!A:A"),结果表!B19,INDIRECT("'"&amp;D4&amp;"'"&amp;"!B:B"))</f>
        <v>6468</v>
      </c>
      <c r="E19" s="2432" t="s">
        <v>2149</v>
      </c>
      <c r="F19" s="2433" t="s">
        <v>2148</v>
      </c>
      <c r="G19" s="144">
        <f ca="1">ROUND(C19*$C$18+D19*$D$18,0)</f>
        <v>4600</v>
      </c>
      <c r="H19" s="2434" t="s">
        <v>2150</v>
      </c>
      <c r="I19" s="137"/>
      <c r="K19" s="2426" t="s">
        <v>2151</v>
      </c>
      <c r="L19" s="2426">
        <f>IF(C1="",'数据-汇总表'!D3,SUMIF(项目类型,C1,'数据-汇总表'!D17:D26)+SUMIF(项目类型,C1,'数据-汇总表'!H17:H27))</f>
        <v>5708.86</v>
      </c>
      <c r="M19" s="2426">
        <f>IF(C1="",'数据-汇总表'!D3,SUMIF(项目类型,C1,'数据-汇总表'!D17:D26))</f>
        <v>5708.86</v>
      </c>
    </row>
    <row r="20" spans="1:35" ht="15">
      <c r="A20" s="2435"/>
      <c r="B20" s="1250" t="s">
        <v>2152</v>
      </c>
      <c r="C20" s="145">
        <f ca="1">SUMIF(INDIRECT("'"&amp;C4&amp;"'"&amp;"!A:A"),结果表!B20,INDIRECT("'"&amp;C4&amp;"'"&amp;"!B:B"))</f>
        <v>1248</v>
      </c>
      <c r="D20" s="146">
        <f ca="1">SUMIF(INDIRECT("'"&amp;D4&amp;"'"&amp;"!A:A"),结果表!B20,INDIRECT("'"&amp;D4&amp;"'"&amp;"!B:B"))</f>
        <v>4488</v>
      </c>
      <c r="E20" s="2435"/>
      <c r="F20" s="1250" t="s">
        <v>2152</v>
      </c>
      <c r="G20" s="147">
        <f ca="1">ROUND(C20*$C$18+D20*$D$18,0)</f>
        <v>3192</v>
      </c>
      <c r="H20" s="983" t="s">
        <v>2153</v>
      </c>
      <c r="I20" s="137"/>
    </row>
    <row r="21" spans="1:35" ht="15" customHeight="1" thickBot="1">
      <c r="A21" s="1003"/>
      <c r="B21" s="2436" t="s">
        <v>2154</v>
      </c>
      <c r="C21" s="789">
        <f ca="1">ROUND(C19*10000/L19,0)</f>
        <v>3149</v>
      </c>
      <c r="D21" s="790">
        <f ca="1">ROUND(D19*10000/L19,0)</f>
        <v>11330</v>
      </c>
      <c r="E21" s="1003"/>
      <c r="F21" s="2436" t="s">
        <v>2154</v>
      </c>
      <c r="G21" s="148">
        <f ca="1">ROUND(G19*10000/L19,0)</f>
        <v>8058</v>
      </c>
      <c r="H21" s="2437" t="s">
        <v>2153</v>
      </c>
      <c r="I21" s="137"/>
    </row>
    <row r="22" spans="1:35" ht="15" thickBot="1">
      <c r="A22" s="2279" t="s">
        <v>2155</v>
      </c>
      <c r="B22" s="2438"/>
      <c r="C22" s="2439"/>
      <c r="D22" s="791">
        <f ca="1">IF(C19&lt;D19,D19/C19-1,C19/D19-1)</f>
        <v>2.5973303670745271</v>
      </c>
      <c r="E22" s="137"/>
      <c r="F22" s="137"/>
      <c r="G22" s="137"/>
      <c r="H22" s="137"/>
      <c r="I22" s="137"/>
    </row>
    <row r="23" spans="1:35" ht="13.5" thickBot="1">
      <c r="A23" s="2416"/>
      <c r="B23" s="2416"/>
      <c r="C23" s="2416"/>
      <c r="D23" s="2416"/>
      <c r="E23" s="137"/>
      <c r="F23" s="137"/>
      <c r="G23" s="137"/>
      <c r="H23" s="137"/>
      <c r="I23" s="137"/>
    </row>
    <row r="24" spans="1:35" ht="14.25">
      <c r="A24" s="3182" t="s">
        <v>2156</v>
      </c>
      <c r="B24" s="2433" t="s">
        <v>2148</v>
      </c>
      <c r="C24" s="144">
        <f>IF(B30=0,0,D30)</f>
        <v>0</v>
      </c>
      <c r="D24" s="2440"/>
      <c r="E24" s="137"/>
      <c r="F24" s="137"/>
      <c r="G24" s="137"/>
      <c r="H24" s="137"/>
      <c r="I24" s="137"/>
    </row>
    <row r="25" spans="1:35" ht="14.25">
      <c r="A25" s="3183"/>
      <c r="B25" s="1250" t="s">
        <v>2152</v>
      </c>
      <c r="C25" s="149">
        <f>IF(B30=0,0,C30)</f>
        <v>0</v>
      </c>
      <c r="D25" s="2441"/>
      <c r="E25" s="137"/>
      <c r="F25" s="137"/>
      <c r="G25" s="137"/>
      <c r="H25" s="137"/>
      <c r="I25" s="137"/>
    </row>
    <row r="26" spans="1:35" ht="13.5" customHeight="1">
      <c r="A26" s="2442" t="s">
        <v>2157</v>
      </c>
      <c r="B26" s="150" t="s">
        <v>2158</v>
      </c>
      <c r="C26" s="150" t="s">
        <v>2159</v>
      </c>
      <c r="D26" s="151" t="s">
        <v>2160</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2" t="s">
        <v>2161</v>
      </c>
      <c r="B30" s="152">
        <f>SUM(B27:B29)</f>
        <v>0</v>
      </c>
      <c r="C30" s="152" t="e">
        <f>ROUND(D30*10000/B30,0)</f>
        <v>#DIV/0!</v>
      </c>
      <c r="D30" s="152">
        <f>SUM(D27:D29)</f>
        <v>0</v>
      </c>
      <c r="E30" s="137"/>
      <c r="F30" s="137"/>
      <c r="G30" s="137"/>
      <c r="H30" s="137"/>
      <c r="I30" s="137"/>
    </row>
    <row r="31" spans="1:35" s="2444" customFormat="1" ht="15" thickBot="1">
      <c r="A31" s="2443"/>
      <c r="B31" s="2443"/>
      <c r="C31" s="2443"/>
      <c r="D31" s="2443"/>
      <c r="E31" s="137"/>
      <c r="F31" s="137"/>
      <c r="G31" s="137"/>
      <c r="H31" s="137"/>
      <c r="I31" s="137"/>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4600</v>
      </c>
      <c r="D32" s="2447" t="s">
        <v>2163</v>
      </c>
      <c r="E32" s="137"/>
      <c r="F32" s="137"/>
      <c r="G32" s="137"/>
      <c r="H32" s="137"/>
      <c r="I32" s="137"/>
    </row>
    <row r="33" spans="1:15" ht="15">
      <c r="A33" s="960" t="s">
        <v>2164</v>
      </c>
      <c r="B33" s="2448"/>
      <c r="C33" s="2449" t="s">
        <v>3172</v>
      </c>
      <c r="D33" s="2450" t="s">
        <v>3118</v>
      </c>
      <c r="E33" s="2451" t="s">
        <v>2165</v>
      </c>
      <c r="F33" s="2452" t="str">
        <f>IF(D32="楼面单价","取值（单价）","取值（总价）")</f>
        <v>取值（总价）</v>
      </c>
      <c r="G33" s="137"/>
      <c r="H33" s="137"/>
      <c r="I33" s="137"/>
    </row>
    <row r="34" spans="1:15" ht="15">
      <c r="A34" s="2453"/>
      <c r="B34" s="2454" t="s">
        <v>2166</v>
      </c>
      <c r="C34" s="157">
        <f ca="1">IF(C33="自定义",F34,C32-C35)</f>
        <v>4080</v>
      </c>
      <c r="D34" s="1058">
        <f ca="1">IF(C33="自定义",ROUND(C34/C32,3),IF(C33="收益比率",SUMIF(INDIRECT("'"&amp;D33&amp;"'"&amp;"!b:b"),"土地收益比率",INDIRECT("'"&amp;D33&amp;"'"&amp;"!c:c")),SUMIF(INDIRECT("'"&amp;D33&amp;"'"&amp;"!b:b"),"土地成本比率",INDIRECT("'"&amp;D33&amp;"'"&amp;"!c:c"))))</f>
        <v>0.88700000000000001</v>
      </c>
      <c r="E34" s="2455" t="s">
        <v>2167</v>
      </c>
      <c r="F34" s="1740"/>
      <c r="G34" s="137"/>
      <c r="H34" s="137"/>
      <c r="I34" s="137"/>
    </row>
    <row r="35" spans="1:15" ht="15.75" thickBot="1">
      <c r="A35" s="2456"/>
      <c r="B35" s="2457" t="s">
        <v>2168</v>
      </c>
      <c r="C35" s="1444">
        <f ca="1">IF(C33="自定义",F35,ROUND(C32*D35,0))</f>
        <v>520</v>
      </c>
      <c r="D35" s="1445">
        <f ca="1">IF(C33="自定义",ROUND(C35/C32,3),IF(C33="收益比率",SUMIF(INDIRECT("'"&amp;D33&amp;"'"&amp;"!b:b"),"建筑物收益比率",INDIRECT("'"&amp;D33&amp;"'"&amp;"!c:c")),SUMIF(INDIRECT("'"&amp;D33&amp;"'"&amp;"!b:b"),"建筑物成本比率",INDIRECT("'"&amp;D33&amp;"'"&amp;"!c:c"))))</f>
        <v>0.113</v>
      </c>
      <c r="E35" s="2458" t="s">
        <v>2169</v>
      </c>
      <c r="F35" s="163"/>
      <c r="G35" s="137"/>
      <c r="H35" s="137"/>
      <c r="I35" s="137"/>
    </row>
    <row r="36" spans="1:15" ht="15.75" thickBot="1">
      <c r="A36" s="3162" t="s">
        <v>2170</v>
      </c>
      <c r="B36" s="2459" t="s">
        <v>2171</v>
      </c>
      <c r="C36" s="154"/>
      <c r="D36" s="2460"/>
      <c r="E36" s="2461"/>
      <c r="F36" s="2462"/>
      <c r="G36" s="137"/>
      <c r="H36" s="137"/>
      <c r="I36" s="137"/>
    </row>
    <row r="37" spans="1:15" ht="15.75" thickBot="1">
      <c r="A37" s="3163"/>
      <c r="B37" s="2265" t="s">
        <v>2172</v>
      </c>
      <c r="C37" s="156"/>
      <c r="D37" s="1395"/>
      <c r="E37" s="1395"/>
      <c r="F37" s="2462"/>
      <c r="G37" s="137"/>
      <c r="H37" s="137"/>
      <c r="I37" s="137"/>
    </row>
    <row r="38" spans="1:15" ht="15.75" thickBot="1">
      <c r="A38" s="3164"/>
      <c r="B38" s="2463" t="s">
        <v>2173</v>
      </c>
      <c r="C38" s="727"/>
      <c r="D38" s="2464" t="s">
        <v>2174</v>
      </c>
      <c r="E38" s="1395"/>
      <c r="F38" s="2462"/>
      <c r="G38" s="137"/>
      <c r="H38" s="137"/>
      <c r="I38" s="137"/>
    </row>
    <row r="39" spans="1:15" ht="15">
      <c r="A39" s="2435" t="s">
        <v>2175</v>
      </c>
      <c r="B39" s="2465" t="s">
        <v>2176</v>
      </c>
      <c r="C39" s="2466" t="s">
        <v>2177</v>
      </c>
      <c r="D39" s="2466" t="s">
        <v>2178</v>
      </c>
      <c r="E39" s="2467" t="s">
        <v>2179</v>
      </c>
      <c r="F39" s="2462"/>
      <c r="G39" s="137"/>
      <c r="H39" s="137"/>
      <c r="I39" s="137"/>
    </row>
    <row r="40" spans="1:15" ht="14.25">
      <c r="A40" s="2468" t="s">
        <v>2180</v>
      </c>
      <c r="B40" s="158"/>
      <c r="C40" s="159"/>
      <c r="D40" s="159"/>
      <c r="E40" s="160"/>
      <c r="F40" s="2462"/>
      <c r="G40" s="137"/>
      <c r="H40" s="137"/>
      <c r="I40" s="137"/>
    </row>
    <row r="41" spans="1:15" ht="14.25">
      <c r="A41" s="2468" t="s">
        <v>2181</v>
      </c>
      <c r="B41" s="158"/>
      <c r="C41" s="159"/>
      <c r="D41" s="159"/>
      <c r="E41" s="160"/>
      <c r="F41" s="2462"/>
      <c r="G41" s="137"/>
      <c r="H41" s="137"/>
      <c r="I41" s="137"/>
    </row>
    <row r="42" spans="1:15" ht="15" thickBot="1">
      <c r="A42" s="2469"/>
      <c r="B42" s="161"/>
      <c r="C42" s="162"/>
      <c r="D42" s="162"/>
      <c r="E42" s="163"/>
      <c r="F42" s="2462"/>
      <c r="G42" s="137"/>
      <c r="H42" s="137"/>
      <c r="I42" s="137"/>
    </row>
    <row r="43" spans="1:15" ht="12.75">
      <c r="A43" s="2163"/>
      <c r="B43" s="2163"/>
      <c r="C43" s="2163"/>
      <c r="D43" s="2163"/>
      <c r="E43" s="2163"/>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79" t="s">
        <v>2184</v>
      </c>
      <c r="B45" s="3180"/>
      <c r="C45" s="3181"/>
      <c r="D45" s="164">
        <f ca="1">ROUND(H101*F45,0)</f>
        <v>4600</v>
      </c>
      <c r="E45" s="165" t="s">
        <v>2185</v>
      </c>
      <c r="F45" s="166">
        <v>1</v>
      </c>
      <c r="G45" s="167" t="s">
        <v>2186</v>
      </c>
      <c r="H45" s="137"/>
      <c r="I45" s="137"/>
      <c r="J45" s="3098" t="s">
        <v>2187</v>
      </c>
      <c r="K45" s="3098"/>
      <c r="L45" s="3098"/>
      <c r="M45" s="3098"/>
      <c r="N45" s="3098"/>
      <c r="O45" s="3098"/>
    </row>
    <row r="46" spans="1:15" ht="14.25" customHeight="1">
      <c r="A46" s="3176" t="s">
        <v>2188</v>
      </c>
      <c r="B46" s="3177"/>
      <c r="C46" s="3177"/>
      <c r="D46" s="3177"/>
      <c r="E46" s="3177"/>
      <c r="F46" s="3177"/>
      <c r="G46" s="3178"/>
      <c r="H46" s="2478"/>
      <c r="I46" s="168"/>
      <c r="J46" s="1813">
        <v>1</v>
      </c>
      <c r="K46" s="3098" t="s">
        <v>2189</v>
      </c>
      <c r="L46" s="3098"/>
      <c r="M46" s="3099"/>
      <c r="N46" s="3099"/>
      <c r="O46" s="3099"/>
    </row>
    <row r="47" spans="1:15" ht="12" customHeight="1">
      <c r="A47" s="169" t="s">
        <v>2190</v>
      </c>
      <c r="B47" s="170"/>
      <c r="C47" s="171"/>
      <c r="D47" s="172" t="s">
        <v>2191</v>
      </c>
      <c r="E47" s="24" t="s">
        <v>2192</v>
      </c>
      <c r="F47" s="173" t="s">
        <v>2193</v>
      </c>
      <c r="G47" s="174" t="s">
        <v>2194</v>
      </c>
      <c r="H47" s="2478"/>
      <c r="I47" s="168"/>
      <c r="J47" s="1813">
        <v>2</v>
      </c>
      <c r="K47" s="3098" t="s">
        <v>2195</v>
      </c>
      <c r="L47" s="3098"/>
      <c r="M47" s="3100">
        <f>'数据-取费表'!B2</f>
        <v>43049</v>
      </c>
      <c r="N47" s="3100"/>
      <c r="O47" s="3100"/>
    </row>
    <row r="48" spans="1:15" ht="25.5">
      <c r="A48" s="3166" t="s">
        <v>2196</v>
      </c>
      <c r="B48" s="3167"/>
      <c r="C48" s="3167"/>
      <c r="D48" s="139">
        <f>IF(H48="情况1",0,IF(H48="情况2",D52,IF(H48="情况3",D53,IF(H48="情况4",D54))))</f>
        <v>0</v>
      </c>
      <c r="E48" s="1802" t="str">
        <f>IF(H48="情况4","(销售额-原购置价)×税（费）率","销售额×税（费）率")</f>
        <v>销售额×税（费）率</v>
      </c>
      <c r="F48" s="175" t="str">
        <f>IF(H48="情况1","免征",'数据-取费表'!B41)</f>
        <v>免征</v>
      </c>
      <c r="G48" s="2479" t="s">
        <v>2197</v>
      </c>
      <c r="H48" s="2480" t="s">
        <v>2198</v>
      </c>
      <c r="I48" s="2478"/>
      <c r="J48" s="1813">
        <v>3</v>
      </c>
      <c r="K48" s="3098" t="s">
        <v>2199</v>
      </c>
      <c r="L48" s="3098"/>
      <c r="M48" s="3101">
        <f ca="1">H101</f>
        <v>4600</v>
      </c>
      <c r="N48" s="3101"/>
      <c r="O48" s="3101"/>
    </row>
    <row r="49" spans="1:35" ht="25.5" customHeight="1">
      <c r="A49" s="176" t="s">
        <v>2200</v>
      </c>
      <c r="B49" s="3146" t="s">
        <v>2201</v>
      </c>
      <c r="C49" s="3146"/>
      <c r="D49" s="177">
        <v>0</v>
      </c>
      <c r="E49" s="23" t="s">
        <v>2202</v>
      </c>
      <c r="F49" s="28" t="s">
        <v>34</v>
      </c>
      <c r="G49" s="3127"/>
      <c r="H49" s="137"/>
      <c r="I49" s="2481"/>
      <c r="J49" s="1813">
        <v>4</v>
      </c>
      <c r="K49" s="3098" t="str">
        <f>IF(项目基本情况!E8="房地产抵押价值","房地产抵押价值","抵押担保权已注销时的房地产抵押价值")</f>
        <v>房地产抵押价值</v>
      </c>
      <c r="L49" s="3098"/>
      <c r="M49" s="3101">
        <f ca="1">IF(项目基本情况!E8="房地产抵押价值",H107,H109)</f>
        <v>4600</v>
      </c>
      <c r="N49" s="3101"/>
      <c r="O49" s="3101"/>
    </row>
    <row r="50" spans="1:35" ht="25.5" customHeight="1">
      <c r="A50" s="178"/>
      <c r="B50" s="3146" t="s">
        <v>2203</v>
      </c>
      <c r="C50" s="3146"/>
      <c r="D50" s="179"/>
      <c r="E50" s="31"/>
      <c r="F50" s="180"/>
      <c r="G50" s="3128"/>
      <c r="H50" s="137"/>
      <c r="I50" s="2481"/>
      <c r="J50" s="3098" t="s">
        <v>2204</v>
      </c>
      <c r="K50" s="3098"/>
      <c r="L50" s="3098"/>
      <c r="M50" s="3098"/>
      <c r="N50" s="3098"/>
      <c r="O50" s="3098"/>
    </row>
    <row r="51" spans="1:35" ht="12" customHeight="1">
      <c r="A51" s="181"/>
      <c r="B51" s="3146" t="s">
        <v>2205</v>
      </c>
      <c r="C51" s="3146"/>
      <c r="D51" s="182"/>
      <c r="E51" s="30"/>
      <c r="F51" s="180"/>
      <c r="G51" s="3129"/>
      <c r="H51" s="137"/>
      <c r="I51" s="2481"/>
      <c r="J51" s="2482" t="s">
        <v>2206</v>
      </c>
      <c r="K51" s="3098" t="s">
        <v>2207</v>
      </c>
      <c r="L51" s="3098"/>
      <c r="M51" s="2482" t="s">
        <v>2208</v>
      </c>
      <c r="N51" s="2482" t="s">
        <v>2209</v>
      </c>
      <c r="O51" s="2482" t="s">
        <v>2210</v>
      </c>
    </row>
    <row r="52" spans="1:35" ht="24" customHeight="1">
      <c r="A52" s="183" t="s">
        <v>2211</v>
      </c>
      <c r="B52" s="3146" t="s">
        <v>2212</v>
      </c>
      <c r="C52" s="3146"/>
      <c r="D52" s="182">
        <f ca="1">ROUND(D45*'数据-取费表'!B41/(1+'数据-取费表'!C42),0)</f>
        <v>268</v>
      </c>
      <c r="E52" s="11" t="s">
        <v>2213</v>
      </c>
      <c r="F52" s="184">
        <f>'数据-取费表'!B41</f>
        <v>6.1600000000000002E-2</v>
      </c>
      <c r="G52" s="2483"/>
      <c r="H52" s="137"/>
      <c r="I52" s="2481"/>
      <c r="J52" s="1813">
        <v>1</v>
      </c>
      <c r="K52" s="3121" t="s">
        <v>2214</v>
      </c>
      <c r="L52" s="3121"/>
      <c r="M52" s="1755">
        <f>D48</f>
        <v>0</v>
      </c>
      <c r="N52" s="1813" t="str">
        <f>E48</f>
        <v>销售额×税（费）率</v>
      </c>
      <c r="O52" s="1756" t="str">
        <f>F48</f>
        <v>免征</v>
      </c>
    </row>
    <row r="53" spans="1:35" ht="12" customHeight="1">
      <c r="A53" s="183" t="s">
        <v>2215</v>
      </c>
      <c r="B53" s="3147" t="s">
        <v>2216</v>
      </c>
      <c r="C53" s="3148"/>
      <c r="D53" s="182">
        <f ca="1">ROUND(D45*'数据-取费表'!B41/(1+'数据-取费表'!C42),0)</f>
        <v>268</v>
      </c>
      <c r="E53" s="11" t="s">
        <v>2213</v>
      </c>
      <c r="F53" s="184">
        <f>'数据-取费表'!B41</f>
        <v>6.1600000000000002E-2</v>
      </c>
      <c r="G53" s="2483"/>
      <c r="H53" s="137"/>
      <c r="I53" s="2481"/>
      <c r="J53" s="1813">
        <v>2</v>
      </c>
      <c r="K53" s="3121" t="s">
        <v>2217</v>
      </c>
      <c r="L53" s="3121"/>
      <c r="M53" s="1755">
        <f t="shared" ref="M53:O54" ca="1" si="0">D55</f>
        <v>2</v>
      </c>
      <c r="N53" s="1813" t="str">
        <f t="shared" si="0"/>
        <v>销售额×税（费）率</v>
      </c>
      <c r="O53" s="1756">
        <f t="shared" si="0"/>
        <v>5.0000000000000001E-4</v>
      </c>
    </row>
    <row r="54" spans="1:35" ht="12" customHeight="1">
      <c r="A54" s="183" t="s">
        <v>2218</v>
      </c>
      <c r="B54" s="3147" t="s">
        <v>2219</v>
      </c>
      <c r="C54" s="3148"/>
      <c r="D54" s="182">
        <f ca="1">C68</f>
        <v>268</v>
      </c>
      <c r="E54" s="30" t="s">
        <v>2220</v>
      </c>
      <c r="F54" s="184">
        <f>'数据-取费表'!B41</f>
        <v>6.1600000000000002E-2</v>
      </c>
      <c r="G54" s="2483"/>
      <c r="H54" s="2484"/>
      <c r="I54" s="2481"/>
      <c r="J54" s="1813">
        <v>3</v>
      </c>
      <c r="K54" s="3121" t="s">
        <v>2221</v>
      </c>
      <c r="L54" s="3121"/>
      <c r="M54" s="1755">
        <f t="shared" ca="1" si="0"/>
        <v>2591</v>
      </c>
      <c r="N54" s="1813" t="str">
        <f t="shared" si="0"/>
        <v>增值额×税（费）率</v>
      </c>
      <c r="O54" s="1757" t="str">
        <f t="shared" si="0"/>
        <v>——</v>
      </c>
    </row>
    <row r="55" spans="1:35" ht="24" customHeight="1">
      <c r="A55" s="3185" t="s">
        <v>2222</v>
      </c>
      <c r="B55" s="3167"/>
      <c r="C55" s="3167"/>
      <c r="D55" s="185">
        <f ca="1">IF(H55="个人住宅",0,ROUND(D45*I55,0))</f>
        <v>2</v>
      </c>
      <c r="E55" s="11" t="s">
        <v>2223</v>
      </c>
      <c r="F55" s="184">
        <f>IF(H55="正常",I55,"免征")</f>
        <v>5.0000000000000001E-4</v>
      </c>
      <c r="G55" s="2483"/>
      <c r="H55" s="2480" t="s">
        <v>2224</v>
      </c>
      <c r="I55" s="186">
        <f>'数据-取费表'!B49</f>
        <v>5.0000000000000001E-4</v>
      </c>
      <c r="J55" s="1813" t="str">
        <f>IF(H59="非个人房产","",4)</f>
        <v/>
      </c>
      <c r="K55" s="3121" t="str">
        <f>IF(H59="非个人房产","——","个人所得税")</f>
        <v>——</v>
      </c>
      <c r="L55" s="3121"/>
      <c r="M55" s="1758" t="str">
        <f>D59</f>
        <v>——</v>
      </c>
      <c r="N55" s="1811" t="str">
        <f>E59</f>
        <v>——</v>
      </c>
      <c r="O55" s="1759" t="str">
        <f>F59</f>
        <v>——</v>
      </c>
    </row>
    <row r="56" spans="1:35" ht="24.75">
      <c r="A56" s="3185" t="s">
        <v>2225</v>
      </c>
      <c r="B56" s="3167"/>
      <c r="C56" s="3167"/>
      <c r="D56" s="185">
        <f ca="1">IF(H56="个人住宅",D57,D58)</f>
        <v>2591</v>
      </c>
      <c r="E56" s="11" t="s">
        <v>2226</v>
      </c>
      <c r="F56" s="184" t="str">
        <f>IF(H56="正常",F58,"免征")</f>
        <v>——</v>
      </c>
      <c r="G56" s="2485" t="s">
        <v>2227</v>
      </c>
      <c r="H56" s="2486" t="s">
        <v>2224</v>
      </c>
      <c r="I56" s="2487"/>
      <c r="J56" s="1813" t="str">
        <f>IF(项目基本情况!K6="上海银行",IF(J55="",4,J55+1),"")</f>
        <v/>
      </c>
      <c r="K56" s="3104" t="str">
        <f>IF(项目基本情况!K6="上海银行","其他处置费用","")</f>
        <v/>
      </c>
      <c r="L56" s="3105"/>
      <c r="M56" s="1755" t="str">
        <f>IF(项目基本情况!K6="上海银行",M69,"")</f>
        <v/>
      </c>
      <c r="N56" s="3107" t="str">
        <f>IF(项目基本情况!K6="上海银行","包含处置中涉及的律师、诉讼、拍卖、评估等费用","")</f>
        <v/>
      </c>
      <c r="O56" s="3108"/>
    </row>
    <row r="57" spans="1:35" ht="12.75">
      <c r="A57" s="183" t="s">
        <v>2200</v>
      </c>
      <c r="B57" s="3152" t="s">
        <v>2228</v>
      </c>
      <c r="C57" s="3153"/>
      <c r="D57" s="187">
        <v>0</v>
      </c>
      <c r="E57" s="23" t="s">
        <v>2202</v>
      </c>
      <c r="F57" s="155"/>
      <c r="G57" s="2483"/>
      <c r="H57" s="2487"/>
      <c r="I57" s="2487"/>
      <c r="J57" s="3121">
        <f>IF(AND(J55="",J56=""),4,IF(项目基本情况!K6="上海银行",结果表!J56+1,结果表!J55+1))</f>
        <v>4</v>
      </c>
      <c r="K57" s="3121" t="s">
        <v>2229</v>
      </c>
      <c r="L57" s="2488" t="s">
        <v>2230</v>
      </c>
      <c r="M57" s="1760"/>
      <c r="N57" s="1761">
        <f ca="1">SUMIF(M52:M56,"&lt;9e307")</f>
        <v>2593</v>
      </c>
      <c r="O57" s="2489"/>
      <c r="P57" s="1754">
        <f ca="1">N57/M49</f>
        <v>0.56369565217391304</v>
      </c>
    </row>
    <row r="58" spans="1:35" ht="24.75">
      <c r="A58" s="183" t="s">
        <v>2211</v>
      </c>
      <c r="B58" s="3152" t="s">
        <v>2231</v>
      </c>
      <c r="C58" s="3165"/>
      <c r="D58" s="185">
        <f ca="1">IF(H58="转让取得",C81,C97)</f>
        <v>2591</v>
      </c>
      <c r="E58" s="11" t="s">
        <v>2226</v>
      </c>
      <c r="F58" s="24" t="s">
        <v>34</v>
      </c>
      <c r="G58" s="2483"/>
      <c r="H58" s="2486" t="s">
        <v>2232</v>
      </c>
      <c r="I58" s="2487"/>
      <c r="J58" s="3121"/>
      <c r="K58" s="3121"/>
      <c r="L58" s="2488" t="s">
        <v>2233</v>
      </c>
      <c r="M58" s="1762"/>
      <c r="N58" s="2490" t="str">
        <f ca="1">NUMBERSTRING(INT(N57*10000),2)&amp;"元整"</f>
        <v>贰仟伍佰玖拾叁万元整</v>
      </c>
      <c r="O58" s="2491"/>
    </row>
    <row r="59" spans="1:35" ht="24.75" thickBot="1">
      <c r="A59" s="3125" t="s">
        <v>2234</v>
      </c>
      <c r="B59" s="3126"/>
      <c r="C59" s="3126"/>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23">
        <f>J57+1</f>
        <v>5</v>
      </c>
      <c r="K59" s="3121" t="s">
        <v>2236</v>
      </c>
      <c r="L59" s="1813" t="s">
        <v>2230</v>
      </c>
      <c r="M59" s="1763"/>
      <c r="N59" s="1764">
        <f ca="1">M49-N57</f>
        <v>2007</v>
      </c>
      <c r="O59" s="2493"/>
    </row>
    <row r="60" spans="1:35" ht="12" customHeight="1">
      <c r="A60" s="2494"/>
      <c r="B60" s="2416"/>
      <c r="C60" s="2416"/>
      <c r="D60" s="2416"/>
      <c r="E60" s="2164"/>
      <c r="F60" s="2487"/>
      <c r="G60" s="2487"/>
      <c r="H60" s="2495"/>
      <c r="I60" s="137"/>
      <c r="J60" s="3124"/>
      <c r="K60" s="3121"/>
      <c r="L60" s="2488" t="s">
        <v>2233</v>
      </c>
      <c r="M60" s="1762"/>
      <c r="N60" s="2490" t="str">
        <f ca="1">NUMBERSTRING(INT(N59*10000),2)&amp;"元整"</f>
        <v>贰仟零柒万元整</v>
      </c>
      <c r="O60" s="2491"/>
    </row>
    <row r="61" spans="1:35" ht="13.5" thickBot="1">
      <c r="A61" s="3184" t="s">
        <v>2237</v>
      </c>
      <c r="B61" s="3184"/>
      <c r="C61" s="3184"/>
      <c r="D61" s="3184"/>
      <c r="E61" s="3184"/>
      <c r="F61" s="2487"/>
      <c r="G61" s="2487"/>
      <c r="H61" s="2495"/>
      <c r="I61" s="137"/>
      <c r="J61" s="1813">
        <f>J59+1</f>
        <v>6</v>
      </c>
      <c r="K61" s="3121" t="s">
        <v>2238</v>
      </c>
      <c r="L61" s="3121"/>
      <c r="M61" s="1765"/>
      <c r="N61" s="1766">
        <f ca="1">ROUND(N59*10000/'数据-汇总表'!E3,0)</f>
        <v>1393</v>
      </c>
      <c r="O61" s="2496"/>
    </row>
    <row r="62" spans="1:35" ht="12.75">
      <c r="A62" s="3141" t="s">
        <v>2239</v>
      </c>
      <c r="B62" s="3142"/>
      <c r="C62" s="1805"/>
      <c r="D62" s="1805" t="s">
        <v>2240</v>
      </c>
      <c r="E62" s="192" t="s">
        <v>2241</v>
      </c>
      <c r="F62" s="2487"/>
      <c r="G62" s="2487"/>
      <c r="H62" s="2495"/>
      <c r="I62" s="137"/>
    </row>
    <row r="63" spans="1:35" ht="12.75">
      <c r="A63" s="203" t="s">
        <v>775</v>
      </c>
      <c r="B63" s="193" t="s">
        <v>2242</v>
      </c>
      <c r="C63" s="194">
        <f ca="1">ROUND((C64+C65)/(1+'数据-取费表'!C42),0)</f>
        <v>4356</v>
      </c>
      <c r="D63" s="195"/>
      <c r="E63" s="196"/>
      <c r="F63" s="2487"/>
      <c r="G63" s="2487"/>
      <c r="H63" s="2495"/>
      <c r="I63" s="137"/>
      <c r="J63" s="3106" t="s">
        <v>2243</v>
      </c>
      <c r="K63" s="2497" t="s">
        <v>2244</v>
      </c>
      <c r="L63" s="1753">
        <f ca="1">IF(M49&gt;10000,M49*0.5%,IF(AND(M49&gt;1000,M49&lt;=10000),M49*1%,IF(AND(M49&gt;100,M49&lt;=1000),M49*3%,IF(AND(M49&gt;10,M49&lt;=100),M49*5%,M49*8%))))</f>
        <v>46</v>
      </c>
      <c r="M63" s="24">
        <f ca="1">ROUND(L63,1)</f>
        <v>46</v>
      </c>
      <c r="Z63" s="2421"/>
      <c r="AI63" s="2422"/>
    </row>
    <row r="64" spans="1:35" ht="14.25" customHeight="1">
      <c r="A64" s="197" t="s">
        <v>770</v>
      </c>
      <c r="B64" s="198" t="s">
        <v>2245</v>
      </c>
      <c r="C64" s="199">
        <f ca="1">D45</f>
        <v>4600</v>
      </c>
      <c r="D64" s="200" t="s">
        <v>32</v>
      </c>
      <c r="E64" s="201"/>
      <c r="F64" s="2487"/>
      <c r="G64" s="2487"/>
      <c r="H64" s="2495"/>
      <c r="I64" s="137"/>
      <c r="J64" s="3106"/>
      <c r="K64" s="2497" t="s">
        <v>2246</v>
      </c>
      <c r="L64" s="1753">
        <f ca="1">IF(M49&gt;2000,M49*0.5%,IF(AND(M49&gt;1000,M49&lt;=2000),M49*0.6%,IF(AND(M49&gt;500,M49&lt;=1000),M49*0.7%,IF(AND(M49&gt;200,M49&lt;=500),M49*0.8%,IF(AND(M49&gt;100,M49&lt;=200),M49*0.9%,IF(AND(M49&gt;50,M49&lt;=100),M49*1%,IF(AND(M49&gt;20,M49&lt;=50),M49*1.5%,IF(AND(M49&gt;10,M49&lt;=20),M49*2%,IF(AND(M49&gt;1,M49&lt;=10),M49*2.5%)))))))))</f>
        <v>23</v>
      </c>
      <c r="M64" s="24">
        <f t="shared" ref="M64:M65" ca="1" si="1">ROUND(L64,1)</f>
        <v>23</v>
      </c>
      <c r="N64" s="137" t="s">
        <v>2247</v>
      </c>
      <c r="Z64" s="2421"/>
      <c r="AI64" s="2422"/>
    </row>
    <row r="65" spans="1:35" ht="14.25" customHeight="1">
      <c r="A65" s="197" t="s">
        <v>771</v>
      </c>
      <c r="B65" s="198" t="s">
        <v>2248</v>
      </c>
      <c r="C65" s="202"/>
      <c r="D65" s="200"/>
      <c r="E65" s="201"/>
      <c r="F65" s="2487"/>
      <c r="G65" s="2487"/>
      <c r="H65" s="2495"/>
      <c r="I65" s="137"/>
      <c r="J65" s="3106"/>
      <c r="K65" s="2497" t="s">
        <v>2249</v>
      </c>
      <c r="L65" s="1753">
        <f ca="1">IF(M49&gt;1000,M49*0.1%,IF(AND(M49&gt;500,M49&lt;=1000),M49*0.5%,IF(AND(M49&gt;50,M49&lt;=500),M49*1%,IF(AND(M49&gt;1,M49&lt;=50),M49*1.5%))))</f>
        <v>4.6000000000000005</v>
      </c>
      <c r="M65" s="24">
        <f t="shared" ca="1" si="1"/>
        <v>4.5999999999999996</v>
      </c>
      <c r="N65" s="137" t="s">
        <v>2247</v>
      </c>
      <c r="Z65" s="2421"/>
      <c r="AI65" s="2422"/>
    </row>
    <row r="66" spans="1:35" ht="14.25" customHeight="1">
      <c r="A66" s="203" t="s">
        <v>772</v>
      </c>
      <c r="B66" s="204" t="s">
        <v>2250</v>
      </c>
      <c r="C66" s="205"/>
      <c r="D66" s="206" t="s">
        <v>32</v>
      </c>
      <c r="E66" s="1777" t="s">
        <v>1372</v>
      </c>
      <c r="F66" s="2487"/>
      <c r="G66" s="2487"/>
      <c r="H66" s="2495"/>
      <c r="I66" s="137"/>
      <c r="J66" s="3106"/>
      <c r="K66" s="2497" t="s">
        <v>2251</v>
      </c>
      <c r="L66" s="1753">
        <f ca="1">M49*0.5%</f>
        <v>23</v>
      </c>
      <c r="M66" s="24">
        <f ca="1">IF(L66&gt;0.5,0.5,ROUND(L66,0))</f>
        <v>0.5</v>
      </c>
      <c r="N66" s="137" t="s">
        <v>2252</v>
      </c>
      <c r="Z66" s="2421"/>
      <c r="AI66" s="2422"/>
    </row>
    <row r="67" spans="1:35" ht="14.25" customHeight="1">
      <c r="A67" s="203" t="s">
        <v>773</v>
      </c>
      <c r="B67" s="204" t="s">
        <v>2253</v>
      </c>
      <c r="C67" s="207">
        <f ca="1">C63-C66</f>
        <v>4356</v>
      </c>
      <c r="D67" s="200" t="s">
        <v>32</v>
      </c>
      <c r="E67" s="201"/>
      <c r="F67" s="2487"/>
      <c r="G67" s="2487"/>
      <c r="H67" s="2495"/>
      <c r="I67" s="137"/>
      <c r="J67" s="3106"/>
      <c r="K67" s="2497" t="s">
        <v>2254</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2255</v>
      </c>
      <c r="C68" s="210">
        <f ca="1">IF(C67&lt;=0,0,ROUND(C67*D68,0))</f>
        <v>268</v>
      </c>
      <c r="D68" s="211">
        <f>'数据-取费表'!B41</f>
        <v>6.1600000000000002E-2</v>
      </c>
      <c r="E68" s="212"/>
      <c r="F68" s="2487"/>
      <c r="G68" s="2487"/>
      <c r="H68" s="2495"/>
      <c r="I68" s="137"/>
      <c r="J68" s="3106"/>
      <c r="K68" s="2497" t="s">
        <v>2256</v>
      </c>
      <c r="L68" s="1753">
        <f ca="1">IF(M49&gt;10000,M49*0.5%,IF(AND(M49&gt;5000,M49&lt;=10000),M49*1%,IF(AND(M49&gt;1000,M49&lt;=5000),M49*2%,IF(AND(M49&gt;200,M49&lt;=1000),M49*3%,M49*5%))))</f>
        <v>92</v>
      </c>
      <c r="M68" s="24">
        <f ca="1">ROUND(L68,1)</f>
        <v>92</v>
      </c>
      <c r="Z68" s="2421"/>
      <c r="AI68" s="2422"/>
    </row>
    <row r="69" spans="1:35" s="2444" customFormat="1" ht="16.5" customHeight="1">
      <c r="A69" s="2498"/>
      <c r="B69" s="2499"/>
      <c r="C69" s="2500"/>
      <c r="D69" s="2501"/>
      <c r="E69" s="2502"/>
      <c r="F69" s="2164"/>
      <c r="G69" s="2164"/>
      <c r="H69" s="2163"/>
      <c r="I69" s="2416"/>
      <c r="J69" s="3106"/>
      <c r="K69" s="2497" t="s">
        <v>2257</v>
      </c>
      <c r="L69" s="2503"/>
      <c r="M69" s="24">
        <f ca="1">ROUND(SUM(M63:M68),0)</f>
        <v>169</v>
      </c>
      <c r="N69" s="1754">
        <f ca="1">M69/M49</f>
        <v>3.6739130434782608E-2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0" t="s">
        <v>2258</v>
      </c>
      <c r="B70" s="3151"/>
      <c r="C70" s="3151"/>
      <c r="D70" s="3151"/>
      <c r="E70" s="3151"/>
      <c r="F70" s="3151"/>
      <c r="G70" s="3151"/>
      <c r="H70" s="315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1" t="s">
        <v>2239</v>
      </c>
      <c r="B71" s="3142"/>
      <c r="C71" s="1805"/>
      <c r="D71" s="1805"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4356</v>
      </c>
      <c r="D72" s="200" t="s">
        <v>32</v>
      </c>
      <c r="E72" s="1804"/>
      <c r="F72" s="1798"/>
      <c r="G72" s="179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24</v>
      </c>
      <c r="D73" s="200" t="s">
        <v>32</v>
      </c>
      <c r="E73" s="1804"/>
      <c r="F73" s="1798"/>
      <c r="G73" s="179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4"/>
      <c r="F74" s="1798"/>
      <c r="G74" s="179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47" t="s">
        <v>2267</v>
      </c>
      <c r="F76" s="3146"/>
      <c r="G76" s="3146"/>
      <c r="H76" s="314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9"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24</v>
      </c>
      <c r="D78" s="226">
        <f>'数据-取费表'!B43</f>
        <v>5.6000000000000008E-3</v>
      </c>
      <c r="E78" s="3138" t="s">
        <v>2272</v>
      </c>
      <c r="F78" s="3139"/>
      <c r="G78" s="3139"/>
      <c r="H78" s="314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4332</v>
      </c>
      <c r="D79" s="200" t="s">
        <v>32</v>
      </c>
      <c r="E79" s="1804"/>
      <c r="F79" s="1798"/>
      <c r="G79" s="179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180.5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2591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0" t="s">
        <v>2276</v>
      </c>
      <c r="B83" s="3151"/>
      <c r="C83" s="3151"/>
      <c r="D83" s="3151"/>
      <c r="E83" s="3151"/>
      <c r="F83" s="3151"/>
      <c r="G83" s="3151"/>
      <c r="H83" s="315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1" t="s">
        <v>2239</v>
      </c>
      <c r="B84" s="3142"/>
      <c r="C84" s="1805"/>
      <c r="D84" s="1805"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4356</v>
      </c>
      <c r="D85" s="200" t="s">
        <v>32</v>
      </c>
      <c r="E85" s="1804"/>
      <c r="F85" s="1798"/>
      <c r="G85" s="179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24</v>
      </c>
      <c r="D86" s="235"/>
      <c r="E86" s="1804"/>
      <c r="F86" s="1798"/>
      <c r="G86" s="179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800"/>
      <c r="F87" s="1801"/>
      <c r="G87" s="1801"/>
      <c r="H87" s="1803"/>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1"/>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1"/>
      <c r="G89" s="1801"/>
      <c r="H89" s="1803"/>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1"/>
      <c r="G90" s="1801"/>
      <c r="H90" s="1803"/>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138" t="s">
        <v>2285</v>
      </c>
      <c r="F91" s="3139"/>
      <c r="G91" s="3139"/>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138" t="s">
        <v>2289</v>
      </c>
      <c r="F92" s="3139"/>
      <c r="G92" s="3139"/>
      <c r="H92" s="314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24</v>
      </c>
      <c r="D93" s="226">
        <f>'数据-取费表'!B43</f>
        <v>5.6000000000000008E-3</v>
      </c>
      <c r="E93" s="3138" t="s">
        <v>2272</v>
      </c>
      <c r="F93" s="3139"/>
      <c r="G93" s="3139"/>
      <c r="H93" s="314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86" t="s">
        <v>2293</v>
      </c>
      <c r="F94" s="3187"/>
      <c r="G94" s="3187"/>
      <c r="H94" s="318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4332</v>
      </c>
      <c r="D95" s="200" t="s">
        <v>32</v>
      </c>
      <c r="E95" s="1804"/>
      <c r="F95" s="1798"/>
      <c r="G95" s="179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180.5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2591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2294</v>
      </c>
      <c r="B99" s="2416"/>
      <c r="C99" s="2416"/>
      <c r="D99" s="2416"/>
      <c r="E99" s="2164"/>
      <c r="F99" s="2164"/>
      <c r="G99" s="2164"/>
      <c r="H99" s="2163"/>
      <c r="I99" s="137"/>
    </row>
    <row r="100" spans="1:35" ht="18.75" customHeight="1">
      <c r="A100" s="3090" t="s">
        <v>2295</v>
      </c>
      <c r="B100" s="3091"/>
      <c r="C100" s="3091"/>
      <c r="D100" s="3122"/>
      <c r="E100" s="3091" t="s">
        <v>2296</v>
      </c>
      <c r="F100" s="3091"/>
      <c r="G100" s="3091"/>
      <c r="H100" s="3122"/>
      <c r="I100" s="137"/>
    </row>
    <row r="101" spans="1:35" ht="18.75" customHeight="1">
      <c r="A101" s="3130" t="s">
        <v>2297</v>
      </c>
      <c r="B101" s="3131"/>
      <c r="C101" s="736" t="str">
        <f>C4</f>
        <v>成本法</v>
      </c>
      <c r="D101" s="737" t="str">
        <f>D4</f>
        <v>假设开发法</v>
      </c>
      <c r="E101" s="3102" t="s">
        <v>2298</v>
      </c>
      <c r="F101" s="3103"/>
      <c r="G101" s="2518" t="s">
        <v>2299</v>
      </c>
      <c r="H101" s="1048">
        <f ca="1">H118</f>
        <v>4600</v>
      </c>
      <c r="I101" s="137"/>
    </row>
    <row r="102" spans="1:35" ht="18.75" customHeight="1">
      <c r="A102" s="3132" t="s">
        <v>2300</v>
      </c>
      <c r="B102" s="2518" t="s">
        <v>2299</v>
      </c>
      <c r="C102" s="736">
        <f ca="1">C19</f>
        <v>1798</v>
      </c>
      <c r="D102" s="737">
        <f ca="1">D19</f>
        <v>6468</v>
      </c>
      <c r="E102" s="3102"/>
      <c r="F102" s="3103"/>
      <c r="G102" s="2518" t="s">
        <v>2301</v>
      </c>
      <c r="H102" s="371">
        <f ca="1">I118</f>
        <v>3192</v>
      </c>
      <c r="I102" s="137"/>
    </row>
    <row r="103" spans="1:35" ht="42.75" customHeight="1">
      <c r="A103" s="3132"/>
      <c r="B103" s="2518" t="s">
        <v>2301</v>
      </c>
      <c r="C103" s="738">
        <f ca="1">C20</f>
        <v>1248</v>
      </c>
      <c r="D103" s="739">
        <f ca="1">D20</f>
        <v>4488</v>
      </c>
      <c r="E103" s="3096" t="s">
        <v>2302</v>
      </c>
      <c r="F103" s="3097"/>
      <c r="G103" s="2519" t="s">
        <v>2303</v>
      </c>
      <c r="H103" s="1048">
        <f>IF(D36="正常操作",H104+H105+H106,H105+H106)</f>
        <v>0</v>
      </c>
      <c r="I103" s="137"/>
    </row>
    <row r="104" spans="1:35" ht="18.75" customHeight="1">
      <c r="A104" s="3132" t="s">
        <v>2304</v>
      </c>
      <c r="B104" s="2520" t="s">
        <v>2299</v>
      </c>
      <c r="C104" s="740">
        <f ca="1">H118</f>
        <v>4600</v>
      </c>
      <c r="D104" s="741"/>
      <c r="E104" s="2265" t="s">
        <v>2305</v>
      </c>
      <c r="F104" s="2256"/>
      <c r="G104" s="2519" t="s">
        <v>2303</v>
      </c>
      <c r="H104" s="1049">
        <f>IF(D36="同一抵押权人同一抵押物续贷",C36&amp;"（未扣减，详见特别提示）",C36)</f>
        <v>0</v>
      </c>
      <c r="I104" s="137"/>
    </row>
    <row r="105" spans="1:35" ht="18.75" customHeight="1" thickBot="1">
      <c r="A105" s="3144"/>
      <c r="B105" s="2521" t="s">
        <v>2301</v>
      </c>
      <c r="C105" s="742">
        <f ca="1">I118</f>
        <v>3192</v>
      </c>
      <c r="D105" s="743"/>
      <c r="E105" s="2265" t="s">
        <v>2306</v>
      </c>
      <c r="F105" s="2256"/>
      <c r="G105" s="2519" t="s">
        <v>2303</v>
      </c>
      <c r="H105" s="1049">
        <f>C37</f>
        <v>0</v>
      </c>
      <c r="I105" s="137"/>
    </row>
    <row r="106" spans="1:35" ht="18.75" customHeight="1">
      <c r="A106" s="2416" t="s">
        <v>2307</v>
      </c>
      <c r="B106" s="2416"/>
      <c r="C106" s="2416"/>
      <c r="D106" s="2416"/>
      <c r="E106" s="2522" t="s">
        <v>2308</v>
      </c>
      <c r="F106" s="2256"/>
      <c r="G106" s="2519" t="s">
        <v>2303</v>
      </c>
      <c r="H106" s="1049">
        <f>C38</f>
        <v>0</v>
      </c>
      <c r="I106" s="137"/>
    </row>
    <row r="107" spans="1:35" ht="18.75" customHeight="1">
      <c r="A107" s="137"/>
      <c r="B107" s="137"/>
      <c r="C107" s="137"/>
      <c r="D107" s="137"/>
      <c r="E107" s="3133" t="str">
        <f>IF(项目基本情况!E8="已注销","——","3.房地产抵押价值")</f>
        <v>3.房地产抵押价值</v>
      </c>
      <c r="F107" s="3103"/>
      <c r="G107" s="2518" t="s">
        <v>2299</v>
      </c>
      <c r="H107" s="1048">
        <f ca="1">IF(E107="——","——",H101-H103)</f>
        <v>4600</v>
      </c>
      <c r="I107" s="137"/>
    </row>
    <row r="108" spans="1:35" ht="18.75" customHeight="1">
      <c r="A108" s="137"/>
      <c r="B108" s="137"/>
      <c r="C108" s="137"/>
      <c r="D108" s="137"/>
      <c r="E108" s="3133"/>
      <c r="F108" s="3103"/>
      <c r="G108" s="2518" t="s">
        <v>2301</v>
      </c>
      <c r="H108" s="371">
        <f ca="1">ROUND(H107*10000/'数据-汇总表'!E3,0)</f>
        <v>3192</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03"/>
      <c r="G109" s="2518" t="s">
        <v>2299</v>
      </c>
      <c r="H109" s="348" t="str">
        <f>IF(E109="——","——",H101-H105-H106)</f>
        <v>——</v>
      </c>
      <c r="I109" s="137"/>
    </row>
    <row r="110" spans="1:35" ht="18.75" customHeight="1">
      <c r="A110" s="137"/>
      <c r="B110" s="137"/>
      <c r="C110" s="137"/>
      <c r="D110" s="137"/>
      <c r="E110" s="3133"/>
      <c r="F110" s="3103"/>
      <c r="G110" s="2518" t="s">
        <v>2301</v>
      </c>
      <c r="H110" s="371" t="str">
        <f>IF(H109="——","——",ROUND(H109*10000/'数据-汇总表'!E3,0))</f>
        <v>——</v>
      </c>
      <c r="I110" s="137"/>
    </row>
    <row r="111" spans="1:35" ht="18.75" customHeight="1">
      <c r="A111" s="137"/>
      <c r="B111" s="137"/>
      <c r="C111" s="137"/>
      <c r="D111" s="137"/>
      <c r="E111" s="3134" t="str">
        <f>IF(项目基本情况!E9="抵押净值",IF(OR(项目基本情况!E8="已注销",项目基本情况!E8="房地产抵押价值"),"4.抵押净值","5.抵押净值"),"——")</f>
        <v>——</v>
      </c>
      <c r="F111" s="3135"/>
      <c r="G111" s="2518" t="s">
        <v>2299</v>
      </c>
      <c r="H111" s="1048" t="str">
        <f>IF(E111="——","——",N59)</f>
        <v>——</v>
      </c>
      <c r="I111" s="137"/>
    </row>
    <row r="112" spans="1:35" ht="18.75" customHeight="1" thickBot="1">
      <c r="A112" s="137"/>
      <c r="B112" s="137"/>
      <c r="C112" s="137"/>
      <c r="D112" s="137"/>
      <c r="E112" s="3136"/>
      <c r="F112" s="3137"/>
      <c r="G112" s="2523" t="s">
        <v>2301</v>
      </c>
      <c r="H112" s="790" t="str">
        <f>IF(E111="——","——",N61)</f>
        <v>——</v>
      </c>
      <c r="I112" s="137"/>
    </row>
    <row r="113" spans="1:11" ht="18.75" customHeight="1">
      <c r="A113" s="137"/>
      <c r="B113" s="137"/>
      <c r="C113" s="137"/>
      <c r="D113" s="137"/>
      <c r="E113" s="3145" t="s">
        <v>2307</v>
      </c>
      <c r="F113" s="3145"/>
      <c r="G113" s="3145"/>
      <c r="H113" s="3145"/>
      <c r="I113" s="137"/>
    </row>
    <row r="114" spans="1:11" ht="3.75" customHeight="1">
      <c r="A114" s="2416"/>
      <c r="B114" s="2416"/>
      <c r="C114" s="2416"/>
      <c r="D114" s="2416"/>
      <c r="E114" s="2494"/>
      <c r="F114" s="2494"/>
      <c r="G114" s="2494"/>
      <c r="H114" s="2494"/>
      <c r="I114" s="2416"/>
    </row>
    <row r="115" spans="1:11" ht="18.75" customHeight="1">
      <c r="A115" s="3158" t="s">
        <v>2309</v>
      </c>
      <c r="B115" s="3159"/>
      <c r="C115" s="3159"/>
      <c r="D115" s="3159"/>
      <c r="E115" s="3159"/>
      <c r="F115" s="3159"/>
      <c r="G115" s="3159"/>
      <c r="H115" s="3159"/>
      <c r="I115" s="3160"/>
    </row>
    <row r="116" spans="1:11" ht="27" customHeight="1">
      <c r="A116" s="3069" t="s">
        <v>2310</v>
      </c>
      <c r="B116" s="3112" t="s">
        <v>2311</v>
      </c>
      <c r="C116" s="3112" t="s">
        <v>2312</v>
      </c>
      <c r="D116" s="3118" t="s">
        <v>2313</v>
      </c>
      <c r="E116" s="3119"/>
      <c r="F116" s="3154" t="s">
        <v>2314</v>
      </c>
      <c r="G116" s="3154"/>
      <c r="H116" s="3069" t="s">
        <v>2315</v>
      </c>
      <c r="I116" s="3069"/>
    </row>
    <row r="117" spans="1:11" ht="18.75" customHeight="1">
      <c r="A117" s="3069"/>
      <c r="B117" s="3113"/>
      <c r="C117" s="3113"/>
      <c r="D117" s="1799" t="s">
        <v>2316</v>
      </c>
      <c r="E117" s="1799" t="s">
        <v>2317</v>
      </c>
      <c r="F117" s="1799" t="s">
        <v>2316</v>
      </c>
      <c r="G117" s="1799" t="s">
        <v>2318</v>
      </c>
      <c r="H117" s="1799" t="s">
        <v>2316</v>
      </c>
      <c r="I117" s="1799" t="s">
        <v>2318</v>
      </c>
    </row>
    <row r="118" spans="1:11" ht="24.75" customHeight="1">
      <c r="A118" s="2524" t="str">
        <f>项目基本情况!S2</f>
        <v>河北省保定市涞水县涞水镇东关村府前街2号桥北侧20#A、20#B住宅、商业用房出让国有建设用地使用权及在建建筑物房地产</v>
      </c>
      <c r="B118" s="1799">
        <f>M18</f>
        <v>14410.755000000001</v>
      </c>
      <c r="C118" s="1799">
        <f>M19</f>
        <v>5708.86</v>
      </c>
      <c r="D118" s="1799">
        <f ca="1">ROUND(IF(D32="总价",C34,E118*B118/10000),0)</f>
        <v>4080</v>
      </c>
      <c r="E118" s="1799">
        <f ca="1">ROUND(IF(C33="自定义",IF(D32="楼面单价",C34,D118*10000/B118),I118-G118),0)</f>
        <v>2831</v>
      </c>
      <c r="F118" s="1799">
        <f ca="1">ROUND(IF(D32="总价",C35,G118*B118/10000),0)</f>
        <v>520</v>
      </c>
      <c r="G118" s="1799">
        <f ca="1">ROUND(IF(D32="楼面单价",C35,F118*10000/B118),0)</f>
        <v>361</v>
      </c>
      <c r="H118" s="1799">
        <f ca="1">ROUND(IF(D32="总价",C32,I118*B118/10000),0)</f>
        <v>4600</v>
      </c>
      <c r="I118" s="1799">
        <f ca="1">ROUND(IF(D32="楼面单价",C32,H118*10000/B118),0)</f>
        <v>3192</v>
      </c>
    </row>
    <row r="119" spans="1:11" ht="18.75" customHeight="1">
      <c r="A119" s="3069" t="s">
        <v>2319</v>
      </c>
      <c r="B119" s="3069"/>
      <c r="C119" s="3069"/>
      <c r="D119" s="3114" t="str">
        <f ca="1">NUMBERSTRING(INT(D118*10000),2)&amp;"元整"</f>
        <v>肆仟零捌拾万元整</v>
      </c>
      <c r="E119" s="3115"/>
      <c r="F119" s="3114" t="str">
        <f ca="1">NUMBERSTRING(INT(F118*10000),2)&amp;"元整"</f>
        <v>伍佰贰拾万元整</v>
      </c>
      <c r="G119" s="3115"/>
      <c r="H119" s="3114" t="str">
        <f ca="1">NUMBERSTRING(INT(H118*10000),2)&amp;"元整"</f>
        <v>肆仟陆佰万元整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1" t="str">
        <f>IF(D120=0,"故，本次评估不存在"&amp;A120,"故，本次评估"&amp;A120&amp;"为人民币"&amp;D120&amp;"万元整。")</f>
        <v>故，本次评估不存在估价师知悉的法定优先受偿款</v>
      </c>
    </row>
    <row r="121" spans="1:11" ht="18.75" customHeight="1">
      <c r="A121" s="3155" t="s">
        <v>2319</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4600</v>
      </c>
      <c r="E122" s="3110"/>
      <c r="F122" s="3110"/>
      <c r="G122" s="3110"/>
      <c r="H122" s="3110"/>
      <c r="I122" s="3111"/>
    </row>
    <row r="123" spans="1:11" ht="18.75" customHeight="1">
      <c r="A123" s="3069" t="s">
        <v>2319</v>
      </c>
      <c r="B123" s="3069"/>
      <c r="C123" s="3069"/>
      <c r="D123" s="3114" t="str">
        <f ca="1">NUMBERSTRING(INT(D122*10000),2)&amp;"元整"</f>
        <v>肆仟陆佰万元整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2319</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2319</v>
      </c>
      <c r="B127" s="3069"/>
      <c r="C127" s="3069"/>
      <c r="D127" s="3114" t="e">
        <f>NUMBERSTRING(INT(D126*10000),2)&amp;"元整"</f>
        <v>#VALUE!</v>
      </c>
      <c r="E127" s="3116"/>
      <c r="F127" s="3116"/>
      <c r="G127" s="3116"/>
      <c r="H127" s="3116"/>
      <c r="I127" s="3115"/>
    </row>
    <row r="128" spans="1:11" ht="21.75" customHeight="1">
      <c r="A128" s="3117" t="s">
        <v>2320</v>
      </c>
      <c r="B128" s="3117"/>
      <c r="C128" s="3117"/>
      <c r="D128" s="3117"/>
      <c r="E128" s="3117"/>
      <c r="F128" s="3117"/>
      <c r="G128" s="3117"/>
      <c r="H128" s="3117"/>
      <c r="I128" s="3117"/>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795" t="s">
        <v>3191</v>
      </c>
      <c r="D134" s="2533"/>
      <c r="E134" s="2533"/>
      <c r="F134" s="2533"/>
      <c r="G134" s="2533"/>
      <c r="H134" s="2534"/>
      <c r="I134" s="795"/>
    </row>
    <row r="135" spans="1:35" ht="21.75" customHeight="1">
      <c r="A135" s="795"/>
      <c r="B135" s="795"/>
      <c r="C135" s="795" t="s">
        <v>3193</v>
      </c>
      <c r="D135" s="795"/>
      <c r="E135" s="795"/>
      <c r="F135" s="2541" t="s">
        <v>2323</v>
      </c>
      <c r="G135" s="2542"/>
      <c r="H135" s="2542"/>
      <c r="I135" s="2543" t="s">
        <v>2324</v>
      </c>
    </row>
    <row r="136" spans="1:35" ht="21.75" customHeight="1">
      <c r="A136" s="795"/>
      <c r="B136" s="2544" t="s">
        <v>2325</v>
      </c>
      <c r="C136" s="795" t="s">
        <v>3192</v>
      </c>
      <c r="D136" s="795"/>
      <c r="E136" s="795"/>
      <c r="F136" s="795"/>
      <c r="G136" s="795"/>
      <c r="H136" s="795"/>
      <c r="I136" s="795"/>
    </row>
    <row r="137" spans="1:35" ht="21.75" customHeight="1">
      <c r="A137" s="795"/>
      <c r="B137" s="795"/>
      <c r="C137" s="795" t="s">
        <v>3194</v>
      </c>
      <c r="D137" s="795"/>
      <c r="E137" s="795"/>
      <c r="F137" s="795"/>
      <c r="G137" s="795"/>
      <c r="H137" s="795"/>
      <c r="I137" s="795"/>
    </row>
    <row r="138" spans="1:35" ht="21.75" customHeight="1">
      <c r="A138" s="795"/>
      <c r="B138" s="2542"/>
      <c r="C138" s="2542"/>
      <c r="D138" s="2542"/>
      <c r="E138" s="2542"/>
      <c r="F138" s="2542"/>
      <c r="G138" s="2542"/>
      <c r="H138" s="2542"/>
      <c r="I138" s="2543" t="s">
        <v>2326</v>
      </c>
    </row>
    <row r="139" spans="1:35" ht="21.75" customHeight="1">
      <c r="A139" s="795"/>
      <c r="B139" s="2544" t="s">
        <v>2327</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2326</v>
      </c>
    </row>
    <row r="142" spans="1:35" ht="21.75" customHeight="1">
      <c r="A142" s="795"/>
      <c r="B142" s="2544"/>
      <c r="C142" s="2545"/>
      <c r="D142" s="2546"/>
      <c r="E142" s="2546"/>
      <c r="F142" s="2338"/>
      <c r="G142" s="795"/>
      <c r="H142" s="795"/>
      <c r="I142" s="795"/>
    </row>
    <row r="143" spans="1:35" s="138"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43" sqref="C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8</v>
      </c>
    </row>
    <row r="2" spans="1:9" s="244" customFormat="1" ht="18" customHeight="1">
      <c r="A2" s="245" t="s">
        <v>2329</v>
      </c>
      <c r="B2" s="246">
        <f ca="1">IF(D2="——",C52,C52-E2)</f>
        <v>1798</v>
      </c>
      <c r="C2" s="243" t="s">
        <v>2330</v>
      </c>
      <c r="D2" s="2547" t="s">
        <v>70</v>
      </c>
      <c r="E2" s="1443" t="e">
        <f ca="1">SUMIF(INDIRECT("'"&amp;G2&amp;"'"&amp;"!A:A"),"承租人权益价值",INDIRECT("'"&amp;G2&amp;"'"&amp;"!c:c"))</f>
        <v>#REF!</v>
      </c>
      <c r="F2" s="2548" t="s">
        <v>2330</v>
      </c>
      <c r="G2" s="2549"/>
    </row>
    <row r="3" spans="1:9" s="244" customFormat="1" ht="18" customHeight="1" thickBot="1">
      <c r="A3" s="247" t="s">
        <v>2331</v>
      </c>
      <c r="B3" s="248">
        <f ca="1">ROUND(B2*10000/(IF(B1="",'数据-汇总表'!E3,INDIRECT("'数据-取费表'!k"&amp;$G$1))),0)</f>
        <v>1248</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1367</v>
      </c>
      <c r="D5" s="255" t="s">
        <v>2336</v>
      </c>
      <c r="E5" s="256" t="s">
        <v>2337</v>
      </c>
      <c r="F5" s="256" t="s">
        <v>2338</v>
      </c>
      <c r="G5" s="257"/>
    </row>
    <row r="6" spans="1:9" s="258" customFormat="1" ht="13.5" customHeight="1">
      <c r="A6" s="952" t="s">
        <v>2339</v>
      </c>
      <c r="B6" s="259" t="s">
        <v>2340</v>
      </c>
      <c r="C6" s="260">
        <f>'土地比较法-住宅、综合'!F66</f>
        <v>1327</v>
      </c>
      <c r="D6" s="261"/>
      <c r="E6" s="262"/>
      <c r="F6" s="262"/>
      <c r="G6" s="263"/>
    </row>
    <row r="7" spans="1:9" s="258" customFormat="1" ht="13.5" customHeight="1">
      <c r="A7" s="952" t="s">
        <v>2341</v>
      </c>
      <c r="B7" s="259" t="s">
        <v>2342</v>
      </c>
      <c r="C7" s="264">
        <f>ROUND(C6*F7,0)</f>
        <v>40</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0" t="s">
        <v>3195</v>
      </c>
    </row>
    <row r="9" spans="1:9" s="258" customFormat="1" ht="13.5" customHeight="1">
      <c r="A9" s="953" t="s">
        <v>800</v>
      </c>
      <c r="B9" s="268" t="s">
        <v>2345</v>
      </c>
      <c r="C9" s="269">
        <f ca="1">ROUND(D9*E9/10000,0)</f>
        <v>0</v>
      </c>
      <c r="D9" s="1035">
        <f ca="1">IF(B1="",'数据-汇总表'!E5,IF(INDIRECT("'数据-取费表'!c"&amp;$G$1)="住宅",INDIRECT("'数据-取费表'!k"&amp;$G$1),0))</f>
        <v>11239.412</v>
      </c>
      <c r="E9" s="269">
        <f>'数据-取费表'!B27</f>
        <v>0</v>
      </c>
      <c r="F9" s="265"/>
      <c r="G9" s="2551"/>
      <c r="H9" s="1393"/>
      <c r="I9" s="2552" t="s">
        <v>2346</v>
      </c>
    </row>
    <row r="10" spans="1:9" s="258" customFormat="1" ht="13.5" customHeight="1">
      <c r="A10" s="953" t="s">
        <v>801</v>
      </c>
      <c r="B10" s="268" t="s">
        <v>2347</v>
      </c>
      <c r="C10" s="269">
        <f ca="1">ROUND(D10*E10/10000,0)</f>
        <v>0</v>
      </c>
      <c r="D10" s="1035">
        <f ca="1">IF(B1="",'数据-汇总表'!E6,IF(INDIRECT("'数据-取费表'!c"&amp;$G$1)="住宅",INDIRECT("'数据-取费表'!s"&amp;$G$1),INDIRECT("'数据-取费表'!k"&amp;$G$1)+INDIRECT("'数据-取费表'!s"&amp;$G$1)))</f>
        <v>3171.3430000000008</v>
      </c>
      <c r="E10" s="269">
        <f>'数据-取费表'!B28</f>
        <v>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3356" t="str">
        <f>IF(G19="已包含在土地取得成本中","0",ROUND(D19*E19/10000,0))</f>
        <v>0</v>
      </c>
      <c r="D19" s="1039">
        <f ca="1">D9+D10</f>
        <v>14410.755000000001</v>
      </c>
      <c r="E19" s="255">
        <f>'数据-取费表'!B31</f>
        <v>150</v>
      </c>
      <c r="F19" s="275"/>
      <c r="G19" s="2550" t="s">
        <v>3196</v>
      </c>
    </row>
    <row r="20" spans="1:7" s="258" customFormat="1" ht="13.5" customHeight="1">
      <c r="A20" s="299" t="s">
        <v>2360</v>
      </c>
      <c r="B20" s="254" t="s">
        <v>2361</v>
      </c>
      <c r="C20" s="276">
        <f>ROUND((C5+C19)*F20,0)</f>
        <v>27</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13</v>
      </c>
      <c r="D22" s="279">
        <f ca="1">C26</f>
        <v>1E-4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13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3357">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1E-4</v>
      </c>
      <c r="D26" s="282"/>
      <c r="E26" s="285"/>
      <c r="F26" s="283"/>
      <c r="G26" s="287"/>
    </row>
    <row r="27" spans="1:7" s="258" customFormat="1" ht="24.75">
      <c r="A27" s="299" t="s">
        <v>2379</v>
      </c>
      <c r="B27" s="288" t="s">
        <v>2380</v>
      </c>
      <c r="C27" s="289">
        <f ca="1">C28</f>
        <v>61</v>
      </c>
      <c r="D27" s="279">
        <f ca="1">C29</f>
        <v>8.9999999999999998E-4</v>
      </c>
      <c r="E27" s="280" t="s">
        <v>2381</v>
      </c>
      <c r="F27" s="290">
        <f ca="1">IF(B1="",'数据-取费表'!Q16,INDIRECT("'数据-取费表'!q"&amp;$G$1))</f>
        <v>0.33</v>
      </c>
      <c r="G27" s="291" t="s">
        <v>2382</v>
      </c>
    </row>
    <row r="28" spans="1:7" s="258" customFormat="1" ht="13.5" customHeight="1">
      <c r="A28" s="954" t="s">
        <v>791</v>
      </c>
      <c r="B28" s="292" t="s">
        <v>2383</v>
      </c>
      <c r="C28" s="293">
        <f ca="1">ROUND((C5+C19+C20)*F27*'数据-取费表'!B21/'数据-取费表'!B20,0)</f>
        <v>61</v>
      </c>
      <c r="D28" s="279"/>
      <c r="E28" s="280"/>
      <c r="F28" s="290"/>
      <c r="G28" s="291"/>
    </row>
    <row r="29" spans="1:7" s="258" customFormat="1" ht="13.5" customHeight="1">
      <c r="A29" s="954" t="s">
        <v>792</v>
      </c>
      <c r="B29" s="292" t="s">
        <v>2384</v>
      </c>
      <c r="C29" s="282">
        <f ca="1">ROUND(C21*F27*'数据-取费表'!B21/'数据-取费表'!B20,4)</f>
        <v>8.9999999999999998E-4</v>
      </c>
      <c r="D29" s="279"/>
      <c r="E29" s="280"/>
      <c r="F29" s="290"/>
      <c r="G29" s="291"/>
    </row>
    <row r="30" spans="1:7" s="258" customFormat="1" ht="13.5" customHeight="1">
      <c r="A30" s="299" t="s">
        <v>2385</v>
      </c>
      <c r="B30" s="254" t="s">
        <v>2386</v>
      </c>
      <c r="C30" s="279">
        <f>ROUND(F30/(1+'数据-取费表'!C42),4)</f>
        <v>5.8299999999999998E-2</v>
      </c>
      <c r="D30" s="280" t="s">
        <v>2381</v>
      </c>
      <c r="E30" s="285"/>
      <c r="F30" s="281">
        <f>'数据-取费表'!B41</f>
        <v>6.1600000000000002E-2</v>
      </c>
      <c r="G30" s="278" t="s">
        <v>2387</v>
      </c>
    </row>
    <row r="31" spans="1:7" ht="16.5" customHeight="1">
      <c r="A31" s="253">
        <v>1</v>
      </c>
      <c r="B31" s="254" t="s">
        <v>2388</v>
      </c>
      <c r="C31" s="255">
        <f ca="1">ROUND((C5+C19+C20+C22+C27)/(1-C21-D22-D27-C30),0)</f>
        <v>1594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137</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0.05</v>
      </c>
      <c r="G34" s="263" t="s">
        <v>2393</v>
      </c>
    </row>
    <row r="35" spans="1:7" ht="13.5" customHeight="1">
      <c r="A35" s="954" t="s">
        <v>796</v>
      </c>
      <c r="B35" s="259" t="s">
        <v>2394</v>
      </c>
      <c r="C35" s="264">
        <f ca="1">ROUND(C34*F35,0)</f>
        <v>3</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5</v>
      </c>
      <c r="D36" s="264"/>
      <c r="E36" s="264"/>
      <c r="F36" s="303">
        <f>'数据-取费表'!B34</f>
        <v>0.05</v>
      </c>
      <c r="G36" s="304" t="s">
        <v>2397</v>
      </c>
    </row>
    <row r="37" spans="1:7" s="302" customFormat="1" ht="13.5" customHeight="1">
      <c r="A37" s="954" t="s">
        <v>798</v>
      </c>
      <c r="B37" s="259" t="s">
        <v>2398</v>
      </c>
      <c r="C37" s="293">
        <f ca="1">ROUND(E37*D37*F34/10000,0)</f>
        <v>11</v>
      </c>
      <c r="D37" s="261">
        <f ca="1">D19</f>
        <v>14410.755000000001</v>
      </c>
      <c r="E37" s="293">
        <f>'数据-取费表'!B35</f>
        <v>150</v>
      </c>
      <c r="F37" s="303"/>
      <c r="G37" s="305" t="s">
        <v>2399</v>
      </c>
    </row>
    <row r="38" spans="1:7" ht="13.5" customHeight="1">
      <c r="A38" s="954" t="s">
        <v>799</v>
      </c>
      <c r="B38" s="259" t="s">
        <v>2400</v>
      </c>
      <c r="C38" s="264">
        <f ca="1">ROUND(C34*F38,0)</f>
        <v>2</v>
      </c>
      <c r="D38" s="264"/>
      <c r="E38" s="264"/>
      <c r="F38" s="303">
        <f>'数据-取费表'!B36</f>
        <v>1.4999999999999999E-2</v>
      </c>
      <c r="G38" s="263" t="s">
        <v>2395</v>
      </c>
    </row>
    <row r="39" spans="1:7" s="258" customFormat="1" ht="13.5" customHeight="1">
      <c r="A39" s="299" t="s">
        <v>2401</v>
      </c>
      <c r="B39" s="254" t="s">
        <v>2402</v>
      </c>
      <c r="C39" s="276">
        <f ca="1">ROUND(C33*F20,0)</f>
        <v>3</v>
      </c>
      <c r="D39" s="276"/>
      <c r="E39" s="276"/>
      <c r="F39" s="277"/>
      <c r="G39" s="278" t="s">
        <v>2403</v>
      </c>
    </row>
    <row r="40" spans="1:7" s="258" customFormat="1" ht="13.5" customHeight="1">
      <c r="A40" s="299" t="s">
        <v>2404</v>
      </c>
      <c r="B40" s="254" t="s">
        <v>2405</v>
      </c>
      <c r="C40" s="1732">
        <f>F21</f>
        <v>0.02</v>
      </c>
      <c r="D40" s="280" t="s">
        <v>2406</v>
      </c>
      <c r="E40" s="276"/>
      <c r="F40" s="277"/>
      <c r="G40" s="278" t="s">
        <v>2407</v>
      </c>
    </row>
    <row r="41" spans="1:7" s="258" customFormat="1" ht="13.5" customHeight="1">
      <c r="A41" s="299" t="s">
        <v>2408</v>
      </c>
      <c r="B41" s="254" t="s">
        <v>2409</v>
      </c>
      <c r="C41" s="276">
        <f ca="1">ROUND(SUM(C42:C43),0)</f>
        <v>1</v>
      </c>
      <c r="D41" s="279">
        <f ca="1">C44</f>
        <v>1E-4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v>
      </c>
      <c r="D42" s="282"/>
      <c r="E42" s="282"/>
      <c r="F42" s="283"/>
      <c r="G42" s="3189" t="s">
        <v>2411</v>
      </c>
    </row>
    <row r="43" spans="1:7" ht="13.5" customHeight="1">
      <c r="A43" s="954" t="s">
        <v>792</v>
      </c>
      <c r="B43" s="259" t="s">
        <v>2412</v>
      </c>
      <c r="C43" s="3358">
        <f ca="1">ROUND(IF('数据-取费表'!B22&lt;=1,C39*F22*'数据-取费表'!B21/2,C39*(POWER((1+F22),'数据-取费表'!B21/2)-1)),0)</f>
        <v>0</v>
      </c>
      <c r="D43" s="282"/>
      <c r="E43" s="282"/>
      <c r="F43" s="283"/>
      <c r="G43" s="3190"/>
    </row>
    <row r="44" spans="1:7" ht="13.5" customHeight="1">
      <c r="A44" s="954" t="s">
        <v>793</v>
      </c>
      <c r="B44" s="259" t="s">
        <v>2413</v>
      </c>
      <c r="C44" s="282">
        <f ca="1">ROUND(IF('数据-取费表'!B22&lt;=1,C40*F22*'数据-取费表'!B21/2,C40*(POWER((1+F22),'数据-取费表'!B21/2)-1)),4)</f>
        <v>1E-4</v>
      </c>
      <c r="D44" s="282"/>
      <c r="E44" s="282"/>
      <c r="F44" s="283"/>
      <c r="G44" s="3191"/>
    </row>
    <row r="45" spans="1:7" s="258" customFormat="1" ht="13.5" customHeight="1">
      <c r="A45" s="299" t="s">
        <v>2414</v>
      </c>
      <c r="B45" s="288" t="s">
        <v>2380</v>
      </c>
      <c r="C45" s="289">
        <f ca="1">C46</f>
        <v>46</v>
      </c>
      <c r="D45" s="279">
        <f ca="1">C47</f>
        <v>6.6E-3</v>
      </c>
      <c r="E45" s="280" t="s">
        <v>2406</v>
      </c>
      <c r="F45" s="290"/>
      <c r="G45" s="291" t="s">
        <v>2415</v>
      </c>
    </row>
    <row r="46" spans="1:7" s="258" customFormat="1" ht="13.5" customHeight="1">
      <c r="A46" s="954" t="s">
        <v>791</v>
      </c>
      <c r="B46" s="292" t="s">
        <v>2416</v>
      </c>
      <c r="C46" s="293">
        <f ca="1">ROUND((C33+C39)*F27,0)</f>
        <v>46</v>
      </c>
      <c r="D46" s="307"/>
      <c r="E46" s="280"/>
      <c r="F46" s="290"/>
      <c r="G46" s="291"/>
    </row>
    <row r="47" spans="1:7" s="258" customFormat="1" ht="13.5" customHeight="1">
      <c r="A47" s="954" t="s">
        <v>792</v>
      </c>
      <c r="B47" s="292" t="s">
        <v>2417</v>
      </c>
      <c r="C47" s="282">
        <f ca="1">ROUND(C40*F27,4)</f>
        <v>6.6E-3</v>
      </c>
      <c r="D47" s="307"/>
      <c r="E47" s="280"/>
      <c r="F47" s="290"/>
      <c r="G47" s="291"/>
    </row>
    <row r="48" spans="1:7" s="258" customFormat="1" ht="13.5" customHeight="1">
      <c r="A48" s="299" t="s">
        <v>2379</v>
      </c>
      <c r="B48" s="254" t="s">
        <v>2418</v>
      </c>
      <c r="C48" s="1732">
        <f>ROUND(F30/(1+'数据-取费表'!C42),4)</f>
        <v>5.8299999999999998E-2</v>
      </c>
      <c r="D48" s="280" t="s">
        <v>2406</v>
      </c>
      <c r="E48" s="276"/>
      <c r="F48" s="281"/>
      <c r="G48" s="278" t="s">
        <v>2419</v>
      </c>
    </row>
    <row r="49" spans="1:7" ht="16.5" customHeight="1">
      <c r="A49" s="299" t="s">
        <v>2385</v>
      </c>
      <c r="B49" s="254" t="s">
        <v>2420</v>
      </c>
      <c r="C49" s="276">
        <f ca="1">ROUND((C33+C39+C41+C45)/(1-C40-D41-D45-C48),0)</f>
        <v>204</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204</v>
      </c>
      <c r="D51" s="276"/>
      <c r="E51" s="276"/>
      <c r="F51" s="308"/>
      <c r="G51" s="278" t="s">
        <v>2427</v>
      </c>
    </row>
    <row r="52" spans="1:7" s="252" customFormat="1" ht="16.5" thickBot="1">
      <c r="A52" s="309" t="s">
        <v>2428</v>
      </c>
      <c r="B52" s="310"/>
      <c r="C52" s="311">
        <f ca="1">C31+C51</f>
        <v>1798</v>
      </c>
      <c r="D52" s="310"/>
      <c r="E52" s="310"/>
      <c r="F52" s="310"/>
      <c r="G52" s="312"/>
    </row>
    <row r="55" spans="1:7" ht="15">
      <c r="B55" s="314" t="s">
        <v>2429</v>
      </c>
      <c r="C55" s="315"/>
    </row>
    <row r="56" spans="1:7">
      <c r="B56" s="317" t="s">
        <v>1515</v>
      </c>
      <c r="C56" s="319">
        <f ca="1">1-C57</f>
        <v>0.88700000000000001</v>
      </c>
    </row>
    <row r="57" spans="1:7">
      <c r="B57" s="317" t="s">
        <v>1516</v>
      </c>
      <c r="C57" s="318">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3" t="str">
        <f>项目基本情况!B1</f>
        <v>河北省保定市涞水县涞水镇东关村府前街2号桥北侧20#A、20#B住宅、商业用房出让国有建设用地使用权及在建建筑物房地产抵押价值预评估</v>
      </c>
      <c r="C37" s="3003"/>
      <c r="D37" s="3003"/>
      <c r="E37" s="3003"/>
      <c r="F37" s="3003"/>
      <c r="G37" s="3003"/>
      <c r="H37" s="3003"/>
      <c r="I37" s="3003"/>
    </row>
    <row r="38" spans="1:9">
      <c r="A38" s="1019"/>
      <c r="B38" s="1019"/>
    </row>
    <row r="39" spans="1:9">
      <c r="A39" s="1017" t="s">
        <v>818</v>
      </c>
      <c r="B39" s="1017" t="s">
        <v>820</v>
      </c>
    </row>
    <row r="40" spans="1:9">
      <c r="A40" s="1017"/>
      <c r="B40" s="1945" t="str">
        <f>项目基本情况!B5</f>
        <v>河北旭嘉房地产开发有限公司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郑燚（注册号：1120070131)、王萌（注册号：1120130048)</v>
      </c>
    </row>
    <row r="47" spans="1:9">
      <c r="A47" s="1017"/>
      <c r="B47" s="1017" t="str">
        <f>项目基本情况!K5</f>
        <v/>
      </c>
    </row>
    <row r="48" spans="1:9">
      <c r="A48" s="1017" t="s">
        <v>818</v>
      </c>
      <c r="B48" s="1017" t="s">
        <v>824</v>
      </c>
    </row>
    <row r="49" spans="2:2">
      <c r="B49" s="1945" t="str">
        <f>"康正预评字"&amp;项目基本情况!B2&amp;"号"</f>
        <v>康正预评字2017-1-1014-P03DYGJ3号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3"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4514</v>
      </c>
      <c r="C2" s="243" t="s">
        <v>2330</v>
      </c>
      <c r="D2" s="2547" t="s">
        <v>70</v>
      </c>
      <c r="E2" s="1443" t="e">
        <f ca="1">SUMIF(INDIRECT("'"&amp;G2&amp;"'"&amp;"!A:A"),"承租人权益价值",INDIRECT("'"&amp;G2&amp;"'"&amp;"!c:c"))</f>
        <v>#REF!</v>
      </c>
      <c r="F2" s="2548" t="s">
        <v>2330</v>
      </c>
      <c r="G2" s="2549"/>
    </row>
    <row r="3" spans="1:8" s="244" customFormat="1" ht="18" customHeight="1" thickBot="1">
      <c r="A3" s="247" t="s">
        <v>2331</v>
      </c>
      <c r="B3" s="248">
        <f ca="1">ROUND(B2*10000/(IF(B1="",'数据-汇总表'!E3,INDIRECT("'数据-取费表'!k"&amp;$G$1))),0)</f>
        <v>3132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0</v>
      </c>
      <c r="D8" s="266"/>
      <c r="E8" s="264"/>
      <c r="F8" s="265"/>
      <c r="G8" s="2550"/>
    </row>
    <row r="9" spans="1:8" s="258" customFormat="1" ht="13.5" customHeight="1">
      <c r="A9" s="953" t="s">
        <v>800</v>
      </c>
      <c r="B9" s="268" t="s">
        <v>2345</v>
      </c>
      <c r="C9" s="269">
        <f ca="1">ROUND(D9*E9,0)</f>
        <v>0</v>
      </c>
      <c r="D9" s="1035">
        <f ca="1">IF(B1="",'数据-汇总表'!E5,IF(INDIRECT("'数据-取费表'!c"&amp;$G$1)="住宅",INDIRECT("'数据-取费表'!k"&amp;$G$1),0))</f>
        <v>11239.412</v>
      </c>
      <c r="E9" s="269">
        <f>'数据-取费表'!B27</f>
        <v>0</v>
      </c>
      <c r="F9" s="265"/>
      <c r="G9" s="270"/>
    </row>
    <row r="10" spans="1:8" s="258" customFormat="1" ht="13.5" customHeight="1">
      <c r="A10" s="953" t="s">
        <v>801</v>
      </c>
      <c r="B10" s="268" t="s">
        <v>2347</v>
      </c>
      <c r="C10" s="269">
        <f ca="1">ROUND(D10*E10,0)</f>
        <v>0</v>
      </c>
      <c r="D10" s="1035">
        <f ca="1">IF(B1="",'数据-汇总表'!E6,IF(INDIRECT("'数据-取费表'!c"&amp;$G$1)="住宅",INDIRECT("'数据-取费表'!s"&amp;$G$1),INDIRECT("'数据-取费表'!k"&amp;$G$1)+INDIRECT("'数据-取费表'!s"&amp;$G$1)))</f>
        <v>3171.3430000000008</v>
      </c>
      <c r="E10" s="269">
        <f>'数据-取费表'!B28</f>
        <v>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2161613</v>
      </c>
      <c r="D19" s="1039">
        <f ca="1">D9+D10</f>
        <v>14410.755000000001</v>
      </c>
      <c r="E19" s="255">
        <f>'数据-取费表'!B31</f>
        <v>150</v>
      </c>
      <c r="F19" s="275"/>
      <c r="G19" s="2550"/>
    </row>
    <row r="20" spans="1:7" s="258" customFormat="1" ht="13.5" customHeight="1">
      <c r="A20" s="299" t="s">
        <v>2441</v>
      </c>
      <c r="B20" s="254" t="s">
        <v>2442</v>
      </c>
      <c r="C20" s="276">
        <f ca="1">ROUND((C5+C19)*F20,0)</f>
        <v>43232</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157361</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155830</v>
      </c>
      <c r="D24" s="282"/>
      <c r="E24" s="282"/>
      <c r="F24" s="283"/>
      <c r="G24" s="284" t="s">
        <v>2453</v>
      </c>
    </row>
    <row r="25" spans="1:7" s="258" customFormat="1" ht="24">
      <c r="A25" s="954" t="s">
        <v>2343</v>
      </c>
      <c r="B25" s="259" t="s">
        <v>2454</v>
      </c>
      <c r="C25" s="1384">
        <f ca="1">ROUND(IF('数据-取费表'!B22&lt;=1,C20*F22*'数据-取费表'!B22/2,C20*(POWER((1+F22),'数据-取费表'!B22/2)-1)),0)</f>
        <v>1531</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727599</v>
      </c>
      <c r="D27" s="279">
        <f ca="1">C29</f>
        <v>6.6E-3</v>
      </c>
      <c r="E27" s="280" t="s">
        <v>2381</v>
      </c>
      <c r="F27" s="290">
        <f ca="1">IF(B1="",'数据-取费表'!Q16,INDIRECT("'数据-取费表'!q"&amp;$G$1))</f>
        <v>0.33</v>
      </c>
      <c r="G27" s="291" t="s">
        <v>2382</v>
      </c>
    </row>
    <row r="28" spans="1:7" s="258" customFormat="1" ht="13.5" customHeight="1">
      <c r="A28" s="954" t="s">
        <v>791</v>
      </c>
      <c r="B28" s="292" t="s">
        <v>2383</v>
      </c>
      <c r="C28" s="293">
        <f ca="1">ROUND((C5+C19+C20)*F27,0)</f>
        <v>727599</v>
      </c>
      <c r="D28" s="279"/>
      <c r="E28" s="280"/>
      <c r="F28" s="290"/>
      <c r="G28" s="291"/>
    </row>
    <row r="29" spans="1:7" s="258" customFormat="1" ht="13.5" customHeight="1">
      <c r="A29" s="954" t="s">
        <v>792</v>
      </c>
      <c r="B29" s="292" t="s">
        <v>2384</v>
      </c>
      <c r="C29" s="282">
        <f ca="1">ROUND(C21*F27,4)</f>
        <v>6.6E-3</v>
      </c>
      <c r="D29" s="279"/>
      <c r="E29" s="280"/>
      <c r="F29" s="290"/>
      <c r="G29" s="291"/>
    </row>
    <row r="30" spans="1:7" s="258" customFormat="1" ht="13.5" customHeight="1">
      <c r="A30" s="299" t="s">
        <v>2385</v>
      </c>
      <c r="B30" s="254" t="s">
        <v>2386</v>
      </c>
      <c r="C30" s="279">
        <f>ROUND(F30/(1+'数据-取费表'!C42),4)</f>
        <v>5.8299999999999998E-2</v>
      </c>
      <c r="D30" s="280" t="s">
        <v>2381</v>
      </c>
      <c r="E30" s="285"/>
      <c r="F30" s="281">
        <f>'数据-取费表'!B41</f>
        <v>6.1600000000000002E-2</v>
      </c>
      <c r="G30" s="278" t="s">
        <v>2387</v>
      </c>
    </row>
    <row r="31" spans="1:7" ht="16.5" customHeight="1">
      <c r="A31" s="253">
        <v>1</v>
      </c>
      <c r="B31" s="254" t="s">
        <v>2388</v>
      </c>
      <c r="C31" s="255">
        <f ca="1">ROUND((C5+C19+C20+C22+C27)/(1-C21-D22-D27-C30),0)</f>
        <v>3379052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27421316</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23311531</v>
      </c>
      <c r="D34" s="261"/>
      <c r="E34" s="264"/>
      <c r="F34" s="301"/>
      <c r="G34" s="263"/>
    </row>
    <row r="35" spans="1:7" ht="13.5" customHeight="1">
      <c r="A35" s="954" t="s">
        <v>796</v>
      </c>
      <c r="B35" s="259" t="s">
        <v>2394</v>
      </c>
      <c r="C35" s="264">
        <f ca="1">ROUND(C34*F35,0)</f>
        <v>699346</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899153</v>
      </c>
      <c r="D36" s="264"/>
      <c r="E36" s="264"/>
      <c r="F36" s="303">
        <f>'数据-取费表'!B34</f>
        <v>0.05</v>
      </c>
      <c r="G36" s="304" t="s">
        <v>2397</v>
      </c>
    </row>
    <row r="37" spans="1:7" s="302" customFormat="1" ht="13.5" customHeight="1">
      <c r="A37" s="954" t="s">
        <v>798</v>
      </c>
      <c r="B37" s="259" t="s">
        <v>2398</v>
      </c>
      <c r="C37" s="293">
        <f ca="1">ROUND(E37*D37,0)</f>
        <v>2161613</v>
      </c>
      <c r="D37" s="261">
        <f ca="1">D19</f>
        <v>14410.755000000001</v>
      </c>
      <c r="E37" s="293">
        <f>'数据-取费表'!B35</f>
        <v>150</v>
      </c>
      <c r="F37" s="303"/>
      <c r="G37" s="305"/>
    </row>
    <row r="38" spans="1:7" ht="13.5" customHeight="1">
      <c r="A38" s="954" t="s">
        <v>799</v>
      </c>
      <c r="B38" s="259" t="s">
        <v>2400</v>
      </c>
      <c r="C38" s="264">
        <f ca="1">ROUND(C34*F38,0)</f>
        <v>349673</v>
      </c>
      <c r="D38" s="264"/>
      <c r="E38" s="264"/>
      <c r="F38" s="303">
        <f>'数据-取费表'!B36</f>
        <v>1.4999999999999999E-2</v>
      </c>
      <c r="G38" s="263" t="s">
        <v>2395</v>
      </c>
    </row>
    <row r="39" spans="1:7" s="258" customFormat="1" ht="13.5" customHeight="1">
      <c r="A39" s="299" t="s">
        <v>2401</v>
      </c>
      <c r="B39" s="254" t="s">
        <v>2402</v>
      </c>
      <c r="C39" s="276">
        <f ca="1">ROUND(C33*F20,0)</f>
        <v>548426</v>
      </c>
      <c r="D39" s="276"/>
      <c r="E39" s="276"/>
      <c r="F39" s="277"/>
      <c r="G39" s="278" t="s">
        <v>2403</v>
      </c>
    </row>
    <row r="40" spans="1:7" s="258" customFormat="1" ht="13.5" customHeight="1">
      <c r="A40" s="299" t="s">
        <v>2404</v>
      </c>
      <c r="B40" s="254" t="s">
        <v>2405</v>
      </c>
      <c r="C40" s="1732">
        <f>F21</f>
        <v>0.02</v>
      </c>
      <c r="D40" s="280" t="s">
        <v>2406</v>
      </c>
      <c r="E40" s="276"/>
      <c r="F40" s="277"/>
      <c r="G40" s="278" t="s">
        <v>2407</v>
      </c>
    </row>
    <row r="41" spans="1:7" s="258" customFormat="1" ht="13.5" customHeight="1">
      <c r="A41" s="299" t="s">
        <v>2408</v>
      </c>
      <c r="B41" s="254" t="s">
        <v>2409</v>
      </c>
      <c r="C41" s="276">
        <f ca="1">ROUND(SUM(C42:C43),0)</f>
        <v>990620</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971196</v>
      </c>
      <c r="D42" s="282"/>
      <c r="E42" s="282"/>
      <c r="F42" s="283"/>
      <c r="G42" s="3189" t="s">
        <v>2458</v>
      </c>
    </row>
    <row r="43" spans="1:7" ht="13.5" customHeight="1">
      <c r="A43" s="954" t="s">
        <v>792</v>
      </c>
      <c r="B43" s="259" t="s">
        <v>2412</v>
      </c>
      <c r="C43" s="282">
        <f ca="1">ROUND(IF('数据-取费表'!B22&lt;=1,C39*F22*'数据-取费表'!B20/2,C39*(POWER((1+F22),'数据-取费表'!B20/2)-1)),0)</f>
        <v>19424</v>
      </c>
      <c r="D43" s="282"/>
      <c r="E43" s="282"/>
      <c r="F43" s="283"/>
      <c r="G43" s="3190"/>
    </row>
    <row r="44" spans="1:7" ht="13.5" customHeight="1">
      <c r="A44" s="954" t="s">
        <v>793</v>
      </c>
      <c r="B44" s="259" t="s">
        <v>2413</v>
      </c>
      <c r="C44" s="282">
        <f ca="1">ROUND(IF('数据-取费表'!B22&lt;=1,C40*F22*'数据-取费表'!B20/2,C40*(POWER((1+F22),'数据-取费表'!B20/2)-1)),4)</f>
        <v>6.9999999999999999E-4</v>
      </c>
      <c r="D44" s="282"/>
      <c r="E44" s="282"/>
      <c r="F44" s="283"/>
      <c r="G44" s="3191"/>
    </row>
    <row r="45" spans="1:7" s="258" customFormat="1" ht="13.5" customHeight="1">
      <c r="A45" s="299" t="s">
        <v>2414</v>
      </c>
      <c r="B45" s="288" t="s">
        <v>2380</v>
      </c>
      <c r="C45" s="289">
        <f ca="1">C46</f>
        <v>9230015</v>
      </c>
      <c r="D45" s="279">
        <f ca="1">C47</f>
        <v>6.6E-3</v>
      </c>
      <c r="E45" s="280" t="s">
        <v>2406</v>
      </c>
      <c r="F45" s="290"/>
      <c r="G45" s="291" t="s">
        <v>2415</v>
      </c>
    </row>
    <row r="46" spans="1:7" s="258" customFormat="1" ht="13.5" customHeight="1">
      <c r="A46" s="954" t="s">
        <v>791</v>
      </c>
      <c r="B46" s="292" t="s">
        <v>2416</v>
      </c>
      <c r="C46" s="293">
        <f ca="1">ROUND((C33+C39)*F27,0)</f>
        <v>9230015</v>
      </c>
      <c r="D46" s="307"/>
      <c r="E46" s="280"/>
      <c r="F46" s="290"/>
      <c r="G46" s="291"/>
    </row>
    <row r="47" spans="1:7" s="258" customFormat="1" ht="13.5" customHeight="1">
      <c r="A47" s="954" t="s">
        <v>792</v>
      </c>
      <c r="B47" s="292" t="s">
        <v>2417</v>
      </c>
      <c r="C47" s="282">
        <f ca="1">ROUND(C40*F27,4)</f>
        <v>6.6E-3</v>
      </c>
      <c r="D47" s="307"/>
      <c r="E47" s="280"/>
      <c r="F47" s="290"/>
      <c r="G47" s="291"/>
    </row>
    <row r="48" spans="1:7" s="258" customFormat="1" ht="13.5" customHeight="1">
      <c r="A48" s="299" t="s">
        <v>2379</v>
      </c>
      <c r="B48" s="254" t="s">
        <v>2418</v>
      </c>
      <c r="C48" s="306">
        <f>ROUND(F30/(1+'数据-取费表'!C42),4)</f>
        <v>5.8299999999999998E-2</v>
      </c>
      <c r="D48" s="280" t="s">
        <v>2406</v>
      </c>
      <c r="E48" s="276"/>
      <c r="F48" s="281"/>
      <c r="G48" s="278" t="s">
        <v>2419</v>
      </c>
    </row>
    <row r="49" spans="1:7" ht="16.5" customHeight="1">
      <c r="A49" s="299" t="s">
        <v>2385</v>
      </c>
      <c r="B49" s="254" t="s">
        <v>2459</v>
      </c>
      <c r="C49" s="276">
        <f ca="1">ROUND((C33+C39+C41+C45)/(1-C40-D41-D45-C48),0)</f>
        <v>41765504</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41765504</v>
      </c>
      <c r="D51" s="276"/>
      <c r="E51" s="276"/>
      <c r="F51" s="308"/>
      <c r="G51" s="278" t="s">
        <v>2427</v>
      </c>
    </row>
    <row r="52" spans="1:7" s="252" customFormat="1" ht="16.5" thickBot="1">
      <c r="A52" s="309" t="s">
        <v>2428</v>
      </c>
      <c r="B52" s="310"/>
      <c r="C52" s="311">
        <f ca="1">C31+C51</f>
        <v>45144556</v>
      </c>
      <c r="D52" s="310"/>
      <c r="E52" s="310"/>
      <c r="F52" s="310"/>
      <c r="G52" s="312"/>
    </row>
    <row r="55" spans="1:7" ht="15">
      <c r="B55" s="314" t="s">
        <v>2429</v>
      </c>
      <c r="C55" s="315"/>
    </row>
    <row r="56" spans="1:7">
      <c r="B56" s="317" t="s">
        <v>1515</v>
      </c>
      <c r="C56" s="319">
        <f ca="1">1-C57</f>
        <v>7.4999999999999956E-2</v>
      </c>
    </row>
    <row r="57" spans="1:7">
      <c r="B57" s="317" t="s">
        <v>1516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C39" sqref="C39"/>
    </sheetView>
  </sheetViews>
  <sheetFormatPr defaultRowHeight="14.25"/>
  <cols>
    <col min="1" max="1" width="14.375" style="403" customWidth="1"/>
    <col min="2" max="2" width="15.75" style="403" customWidth="1"/>
    <col min="3" max="3" width="16.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1327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1010</v>
      </c>
      <c r="C3" s="247" t="s">
        <v>2745</v>
      </c>
      <c r="D3" s="1587">
        <f>'数据-汇总表'!E8</f>
        <v>13139.142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12" t="s">
        <v>2645</v>
      </c>
      <c r="D4" s="3213"/>
      <c r="E4" s="3214" t="s">
        <v>2646</v>
      </c>
      <c r="F4" s="3215"/>
      <c r="G4" s="3212" t="s">
        <v>2647</v>
      </c>
      <c r="H4" s="3213"/>
      <c r="I4" s="3212" t="s">
        <v>2648</v>
      </c>
      <c r="J4" s="3213"/>
      <c r="K4" s="610" t="s">
        <v>2649</v>
      </c>
      <c r="L4" s="1133"/>
      <c r="M4" s="1134"/>
      <c r="N4" s="1134"/>
      <c r="O4" s="1134"/>
      <c r="P4" s="3216" t="s">
        <v>2650</v>
      </c>
      <c r="Q4" s="3217"/>
      <c r="R4" s="3197" t="s">
        <v>2646</v>
      </c>
      <c r="S4" s="3198"/>
      <c r="T4" s="3197" t="s">
        <v>2647</v>
      </c>
      <c r="U4" s="3198"/>
      <c r="V4" s="3224" t="s">
        <v>2648</v>
      </c>
      <c r="W4" s="3224"/>
      <c r="X4" s="1817"/>
      <c r="Y4" s="3197" t="s">
        <v>2650</v>
      </c>
      <c r="Z4" s="3198"/>
      <c r="AA4" s="3192" t="s">
        <v>2646</v>
      </c>
      <c r="AB4" s="3193" t="s">
        <v>2647</v>
      </c>
      <c r="AC4" s="3192" t="s">
        <v>2648</v>
      </c>
    </row>
    <row r="5" spans="1:30" ht="15">
      <c r="A5" s="404"/>
      <c r="B5" s="405"/>
      <c r="C5" s="3203" t="str">
        <f>项目基本情况!F10</f>
        <v>东关村府前街2号桥北侧20#A、20#B住宅、商业用房</v>
      </c>
      <c r="D5" s="3204"/>
      <c r="E5" s="3201" t="s">
        <v>3104</v>
      </c>
      <c r="F5" s="3202"/>
      <c r="G5" s="3207" t="s">
        <v>3115</v>
      </c>
      <c r="H5" s="3204"/>
      <c r="I5" s="3207" t="s">
        <v>3113</v>
      </c>
      <c r="J5" s="3204"/>
      <c r="K5" s="610"/>
      <c r="L5" s="1133"/>
      <c r="M5" s="1134"/>
      <c r="N5" s="1134"/>
      <c r="O5" s="1134"/>
      <c r="P5" s="3218"/>
      <c r="Q5" s="3219"/>
      <c r="R5" s="3199"/>
      <c r="S5" s="3200"/>
      <c r="T5" s="3199"/>
      <c r="U5" s="3200"/>
      <c r="V5" s="3224"/>
      <c r="W5" s="3224"/>
      <c r="X5" s="1817"/>
      <c r="Y5" s="3199"/>
      <c r="Z5" s="3200"/>
      <c r="AA5" s="3193"/>
      <c r="AB5" s="3193"/>
      <c r="AC5" s="3193"/>
    </row>
    <row r="6" spans="1:30" ht="15.75" thickBot="1">
      <c r="A6" s="406"/>
      <c r="B6" s="407"/>
      <c r="C6" s="3205" t="str">
        <f>C5</f>
        <v>东关村府前街2号桥北侧20#A、20#B住宅、商业用房</v>
      </c>
      <c r="D6" s="3206"/>
      <c r="E6" s="3208" t="s">
        <v>3105</v>
      </c>
      <c r="F6" s="3209"/>
      <c r="G6" s="3210" t="s">
        <v>3116</v>
      </c>
      <c r="H6" s="3206"/>
      <c r="I6" s="3210" t="s">
        <v>3114</v>
      </c>
      <c r="J6" s="3206"/>
      <c r="K6" s="610" t="s">
        <v>2546</v>
      </c>
      <c r="L6" s="1133"/>
      <c r="M6" s="1134"/>
      <c r="N6" s="1134"/>
      <c r="O6" s="1134"/>
      <c r="P6" s="3220"/>
      <c r="Q6" s="3221"/>
      <c r="R6" s="3199"/>
      <c r="S6" s="3200"/>
      <c r="T6" s="3222"/>
      <c r="U6" s="3223"/>
      <c r="V6" s="3224"/>
      <c r="W6" s="3224"/>
      <c r="X6" s="1817"/>
      <c r="Y6" s="3222"/>
      <c r="Z6" s="3223"/>
      <c r="AA6" s="3194"/>
      <c r="AB6" s="3194"/>
      <c r="AC6" s="3194"/>
    </row>
    <row r="7" spans="1:30" s="116" customFormat="1" ht="15.75" thickBot="1">
      <c r="A7" s="3359" t="s">
        <v>2547</v>
      </c>
      <c r="B7" s="3360"/>
      <c r="C7" s="410">
        <f>'数据-取费表'!B2</f>
        <v>43049</v>
      </c>
      <c r="D7" s="411">
        <v>100</v>
      </c>
      <c r="E7" s="412">
        <v>42956</v>
      </c>
      <c r="F7" s="413">
        <f>SUMIF(70:70,YEAR(E7)&amp;"-"&amp;INT((MONTH(E7)+2)/3),71:71)</f>
        <v>98.5</v>
      </c>
      <c r="G7" s="2696">
        <v>42863</v>
      </c>
      <c r="H7" s="411">
        <f>SUMIF(70:70,YEAR(G7)&amp;"-"&amp;INT((MONTH(G7)+2)/3),71:71)</f>
        <v>97</v>
      </c>
      <c r="I7" s="2696">
        <v>42863</v>
      </c>
      <c r="J7" s="411">
        <f>SUMIF(70:70,YEAR(I7)&amp;"-"&amp;INT((MONTH(I7)+2)/3),71:71)</f>
        <v>97</v>
      </c>
      <c r="K7" s="611"/>
      <c r="L7" s="1135"/>
      <c r="M7" s="1136"/>
      <c r="N7" s="1136"/>
      <c r="O7" s="1136"/>
      <c r="P7" s="3195" t="s">
        <v>2548</v>
      </c>
      <c r="Q7" s="3225"/>
      <c r="R7" s="770" t="s">
        <v>17</v>
      </c>
      <c r="S7" s="771">
        <f t="shared" ref="S7:S15" si="0">F7</f>
        <v>98.5</v>
      </c>
      <c r="T7" s="770" t="s">
        <v>17</v>
      </c>
      <c r="U7" s="771">
        <f t="shared" ref="U7:U15" si="1">H7</f>
        <v>97</v>
      </c>
      <c r="V7" s="770" t="s">
        <v>17</v>
      </c>
      <c r="W7" s="771">
        <f t="shared" ref="W7:W15" si="2">J7</f>
        <v>97</v>
      </c>
      <c r="X7" s="772"/>
      <c r="Y7" s="3195" t="s">
        <v>2548</v>
      </c>
      <c r="Z7" s="3196"/>
      <c r="AA7" s="773">
        <f>D7/F7</f>
        <v>1.015228426395939</v>
      </c>
      <c r="AB7" s="773">
        <f>D7/H7</f>
        <v>1.0309278350515463</v>
      </c>
      <c r="AC7" s="773">
        <f>D7/J7</f>
        <v>1.0309278350515463</v>
      </c>
    </row>
    <row r="8" spans="1:30" s="116" customFormat="1" ht="15.75" thickBot="1">
      <c r="A8" s="408" t="s">
        <v>2549</v>
      </c>
      <c r="B8" s="409"/>
      <c r="C8" s="414" t="s">
        <v>2550</v>
      </c>
      <c r="D8" s="411">
        <v>100</v>
      </c>
      <c r="E8" s="414" t="s">
        <v>3106</v>
      </c>
      <c r="F8" s="413">
        <f>SUMIF(73:73,E8,74:74)-SUMIF(73:73,C8,74:74)+100</f>
        <v>100</v>
      </c>
      <c r="G8" s="414" t="s">
        <v>3106</v>
      </c>
      <c r="H8" s="411">
        <f>SUMIF(73:73,G8,74:74)-SUMIF(73:73,C8,74:74)+100</f>
        <v>100</v>
      </c>
      <c r="I8" s="414" t="s">
        <v>3106</v>
      </c>
      <c r="J8" s="411">
        <f>SUMIF(73:73,I8,74:74)-SUMIF(73:73,C8,74:74)+100</f>
        <v>100</v>
      </c>
      <c r="K8" s="611"/>
      <c r="L8" s="1135"/>
      <c r="M8" s="1136"/>
      <c r="N8" s="1136"/>
      <c r="O8" s="1136"/>
      <c r="P8" s="3195" t="s">
        <v>2551</v>
      </c>
      <c r="Q8" s="3196"/>
      <c r="R8" s="770" t="s">
        <v>17</v>
      </c>
      <c r="S8" s="771">
        <f t="shared" si="0"/>
        <v>100</v>
      </c>
      <c r="T8" s="770" t="s">
        <v>17</v>
      </c>
      <c r="U8" s="771">
        <f t="shared" si="1"/>
        <v>100</v>
      </c>
      <c r="V8" s="770" t="s">
        <v>17</v>
      </c>
      <c r="W8" s="771">
        <f t="shared" si="2"/>
        <v>100</v>
      </c>
      <c r="X8" s="772"/>
      <c r="Y8" s="3195" t="s">
        <v>2551</v>
      </c>
      <c r="Z8" s="3196"/>
      <c r="AA8" s="773">
        <f t="shared" ref="AA8:AA45" si="3">D8/F8</f>
        <v>1</v>
      </c>
      <c r="AB8" s="773">
        <f t="shared" ref="AB8:AB45" si="4">D8/H8</f>
        <v>1</v>
      </c>
      <c r="AC8" s="773">
        <f t="shared" ref="AC8:AC45" si="5">D8/J8</f>
        <v>1</v>
      </c>
    </row>
    <row r="9" spans="1:30" s="116" customFormat="1" ht="28.5">
      <c r="A9" s="415" t="s">
        <v>2552</v>
      </c>
      <c r="B9" s="71" t="s">
        <v>2553</v>
      </c>
      <c r="C9" s="2699" t="s">
        <v>3074</v>
      </c>
      <c r="D9" s="134">
        <v>100</v>
      </c>
      <c r="E9" s="2699" t="s">
        <v>3074</v>
      </c>
      <c r="F9" s="134">
        <f>SUMIF(75:75,E9,76:76)-SUMIF(75:75,C9,76:76)+100</f>
        <v>100</v>
      </c>
      <c r="G9" s="2699" t="s">
        <v>3074</v>
      </c>
      <c r="H9" s="134">
        <f>SUMIF(75:75,G9,76:76)-SUMIF(75:75,C9,76:76)+100</f>
        <v>100</v>
      </c>
      <c r="I9" s="2699" t="s">
        <v>3074</v>
      </c>
      <c r="J9" s="134">
        <f>SUMIF(75:75,I9,76:76)-SUMIF(75:75,C9,76:76)+100</f>
        <v>100</v>
      </c>
      <c r="K9" s="611"/>
      <c r="L9" s="1135"/>
      <c r="M9" s="1136"/>
      <c r="N9" s="1136"/>
      <c r="O9" s="1137"/>
      <c r="P9" s="3211" t="s">
        <v>2554</v>
      </c>
      <c r="Q9" s="1799"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30" s="427" customFormat="1" ht="28.5">
      <c r="A10" s="421"/>
      <c r="B10" s="422" t="s">
        <v>2556</v>
      </c>
      <c r="C10" s="432" t="str">
        <f>项目基本情况!F16</f>
        <v>住宅66.1年,商业36.1年</v>
      </c>
      <c r="D10" s="135">
        <v>100</v>
      </c>
      <c r="E10" s="465" t="s">
        <v>3103</v>
      </c>
      <c r="F10" s="135">
        <f>ROUND(100/'数据-取费表'!G16,0)</f>
        <v>102</v>
      </c>
      <c r="G10" s="463" t="s">
        <v>3103</v>
      </c>
      <c r="H10" s="135">
        <f>ROUND(100/'数据-取费表'!G16,0)</f>
        <v>102</v>
      </c>
      <c r="I10" s="463" t="s">
        <v>3103</v>
      </c>
      <c r="J10" s="135">
        <f>ROUND(100/'数据-取费表'!G16,0)</f>
        <v>102</v>
      </c>
      <c r="K10" s="672"/>
      <c r="L10" s="1138"/>
      <c r="M10" s="1139"/>
      <c r="N10" s="1139"/>
      <c r="O10" s="1140"/>
      <c r="P10" s="3211"/>
      <c r="Q10" s="1799" t="str">
        <f t="shared" si="6"/>
        <v>土地使用年限（年）</v>
      </c>
      <c r="R10" s="770" t="s">
        <v>17</v>
      </c>
      <c r="S10" s="771">
        <f t="shared" si="0"/>
        <v>102</v>
      </c>
      <c r="T10" s="770" t="s">
        <v>17</v>
      </c>
      <c r="U10" s="771">
        <f t="shared" si="1"/>
        <v>102</v>
      </c>
      <c r="V10" s="770" t="s">
        <v>17</v>
      </c>
      <c r="W10" s="771">
        <f t="shared" si="2"/>
        <v>102</v>
      </c>
      <c r="X10" s="772"/>
      <c r="Y10" s="3069"/>
      <c r="Z10" s="55" t="str">
        <f t="shared" si="7"/>
        <v>土地使用年限（年）</v>
      </c>
      <c r="AA10" s="773">
        <f t="shared" si="3"/>
        <v>0.98039215686274506</v>
      </c>
      <c r="AB10" s="773">
        <f t="shared" si="4"/>
        <v>0.98039215686274506</v>
      </c>
      <c r="AC10" s="773">
        <f t="shared" si="5"/>
        <v>0.98039215686274506</v>
      </c>
    </row>
    <row r="11" spans="1:30" ht="15.75" thickBot="1">
      <c r="A11" s="428"/>
      <c r="B11" s="422" t="s">
        <v>2557</v>
      </c>
      <c r="C11" s="429">
        <f>'数据-汇总表'!I4</f>
        <v>2.34</v>
      </c>
      <c r="D11" s="135">
        <v>100</v>
      </c>
      <c r="E11" s="429">
        <v>2</v>
      </c>
      <c r="F11" s="135">
        <f>LOOKUP(E11,80:80,81:81)-LOOKUP(C11,80:80,81:81)+100</f>
        <v>100</v>
      </c>
      <c r="G11" s="430">
        <v>2</v>
      </c>
      <c r="H11" s="135">
        <f>LOOKUP(G11,80:80,81:81)-LOOKUP(C11,80:80,81:81)+100</f>
        <v>100</v>
      </c>
      <c r="I11" s="429">
        <v>2</v>
      </c>
      <c r="J11" s="135">
        <f>LOOKUP(I11,80:80,81:81)-LOOKUP(C11,80:80,81:81)+100</f>
        <v>100</v>
      </c>
      <c r="K11" s="673">
        <v>1</v>
      </c>
      <c r="L11" s="1141"/>
      <c r="M11" s="1134"/>
      <c r="N11" s="1134"/>
      <c r="O11" s="1142"/>
      <c r="P11" s="3211"/>
      <c r="Q11" s="1799" t="str">
        <f t="shared" si="6"/>
        <v>容积率</v>
      </c>
      <c r="R11" s="770" t="s">
        <v>17</v>
      </c>
      <c r="S11" s="771">
        <f t="shared" si="0"/>
        <v>100</v>
      </c>
      <c r="T11" s="770" t="s">
        <v>17</v>
      </c>
      <c r="U11" s="771">
        <f t="shared" si="1"/>
        <v>100</v>
      </c>
      <c r="V11" s="770" t="s">
        <v>17</v>
      </c>
      <c r="W11" s="771">
        <f t="shared" si="2"/>
        <v>100</v>
      </c>
      <c r="X11" s="772"/>
      <c r="Y11" s="3069"/>
      <c r="Z11" s="55" t="str">
        <f t="shared" si="7"/>
        <v>容积率</v>
      </c>
      <c r="AA11" s="773">
        <f t="shared" si="3"/>
        <v>1</v>
      </c>
      <c r="AB11" s="773">
        <f t="shared" si="4"/>
        <v>1</v>
      </c>
      <c r="AC11" s="773">
        <f t="shared" si="5"/>
        <v>1</v>
      </c>
    </row>
    <row r="12" spans="1:30" s="116" customFormat="1" ht="15" hidden="1">
      <c r="A12" s="431"/>
      <c r="B12" s="2600" t="s">
        <v>2746</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11"/>
      <c r="Q12" s="1799" t="str">
        <f t="shared" si="6"/>
        <v>配建</v>
      </c>
      <c r="R12" s="770" t="s">
        <v>17</v>
      </c>
      <c r="S12" s="771">
        <f t="shared" si="0"/>
        <v>100</v>
      </c>
      <c r="T12" s="770" t="s">
        <v>17</v>
      </c>
      <c r="U12" s="771">
        <f t="shared" si="1"/>
        <v>100</v>
      </c>
      <c r="V12" s="770" t="s">
        <v>17</v>
      </c>
      <c r="W12" s="771">
        <f t="shared" si="2"/>
        <v>100</v>
      </c>
      <c r="X12" s="772"/>
      <c r="Y12" s="3069"/>
      <c r="Z12" s="55" t="str">
        <f t="shared" si="7"/>
        <v>配建</v>
      </c>
      <c r="AA12" s="773">
        <f>D12/F12</f>
        <v>1</v>
      </c>
      <c r="AB12" s="773">
        <f>D12/H12</f>
        <v>1</v>
      </c>
      <c r="AC12" s="773">
        <f>D12/J12</f>
        <v>1</v>
      </c>
    </row>
    <row r="13" spans="1:30" ht="15" hidden="1">
      <c r="A13" s="428"/>
      <c r="B13" s="2600">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11"/>
      <c r="Q13" s="1799">
        <f t="shared" si="6"/>
        <v>111</v>
      </c>
      <c r="R13" s="770" t="s">
        <v>17</v>
      </c>
      <c r="S13" s="771">
        <f t="shared" si="0"/>
        <v>100</v>
      </c>
      <c r="T13" s="770" t="s">
        <v>17</v>
      </c>
      <c r="U13" s="771">
        <f t="shared" si="1"/>
        <v>100</v>
      </c>
      <c r="V13" s="770" t="s">
        <v>17</v>
      </c>
      <c r="W13" s="771">
        <f t="shared" si="2"/>
        <v>100</v>
      </c>
      <c r="X13" s="772"/>
      <c r="Y13" s="3069"/>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9">
        <f t="shared" si="6"/>
        <v>111</v>
      </c>
      <c r="R14" s="770" t="s">
        <v>17</v>
      </c>
      <c r="S14" s="771">
        <f t="shared" si="0"/>
        <v>100</v>
      </c>
      <c r="T14" s="770" t="s">
        <v>17</v>
      </c>
      <c r="U14" s="771">
        <f t="shared" si="1"/>
        <v>100</v>
      </c>
      <c r="V14" s="770" t="s">
        <v>17</v>
      </c>
      <c r="W14" s="771">
        <f t="shared" si="2"/>
        <v>100</v>
      </c>
      <c r="X14" s="772"/>
      <c r="Y14" s="3069"/>
      <c r="Z14" s="55">
        <f t="shared" si="7"/>
        <v>111</v>
      </c>
      <c r="AA14" s="773">
        <f>D14/F14</f>
        <v>1</v>
      </c>
      <c r="AB14" s="773">
        <f>D14/H14</f>
        <v>1</v>
      </c>
      <c r="AC14" s="773">
        <f>D14/J14</f>
        <v>1</v>
      </c>
    </row>
    <row r="15" spans="1:30" ht="85.5">
      <c r="A15" s="440" t="s">
        <v>2558</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6" t="s">
        <v>2559</v>
      </c>
      <c r="Q15" s="1814" t="str">
        <f t="shared" si="6"/>
        <v>居住社区成熟度</v>
      </c>
      <c r="R15" s="774" t="s">
        <v>17</v>
      </c>
      <c r="S15" s="775">
        <f t="shared" si="0"/>
        <v>100</v>
      </c>
      <c r="T15" s="774" t="s">
        <v>17</v>
      </c>
      <c r="U15" s="775">
        <f t="shared" si="1"/>
        <v>100</v>
      </c>
      <c r="V15" s="774" t="s">
        <v>17</v>
      </c>
      <c r="W15" s="775">
        <f t="shared" si="2"/>
        <v>100</v>
      </c>
      <c r="X15" s="1817"/>
      <c r="Y15" s="3226" t="s">
        <v>2559</v>
      </c>
      <c r="Z15" s="1818" t="str">
        <f t="shared" si="7"/>
        <v>居住社区成熟度</v>
      </c>
      <c r="AA15" s="1815">
        <f t="shared" si="3"/>
        <v>1</v>
      </c>
      <c r="AB15" s="1815">
        <f t="shared" si="4"/>
        <v>1</v>
      </c>
      <c r="AC15" s="1815">
        <f t="shared" si="5"/>
        <v>1</v>
      </c>
    </row>
    <row r="16" spans="1:30" ht="15">
      <c r="A16" s="428"/>
      <c r="B16" s="446"/>
      <c r="C16" s="447" t="s">
        <v>3089</v>
      </c>
      <c r="D16" s="448"/>
      <c r="E16" s="2605" t="s">
        <v>3089</v>
      </c>
      <c r="F16" s="448"/>
      <c r="G16" s="2605" t="s">
        <v>3089</v>
      </c>
      <c r="H16" s="450"/>
      <c r="I16" s="2604" t="s">
        <v>3089</v>
      </c>
      <c r="J16" s="448"/>
      <c r="K16" s="672"/>
      <c r="L16" s="1143"/>
      <c r="M16" s="1134"/>
      <c r="N16" s="1134"/>
      <c r="O16" s="1142"/>
      <c r="P16" s="3227"/>
      <c r="Q16" s="1814"/>
      <c r="R16" s="774"/>
      <c r="S16" s="775"/>
      <c r="T16" s="774"/>
      <c r="U16" s="775"/>
      <c r="V16" s="774"/>
      <c r="W16" s="775"/>
      <c r="X16" s="1817"/>
      <c r="Y16" s="3227"/>
      <c r="Z16" s="1818"/>
      <c r="AA16" s="1815">
        <v>1</v>
      </c>
      <c r="AB16" s="1815">
        <v>1</v>
      </c>
      <c r="AC16" s="1815">
        <v>1</v>
      </c>
    </row>
    <row r="17" spans="1:29" ht="57">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7"/>
      <c r="Q17" s="1814" t="str">
        <f>B17</f>
        <v>商业繁华度</v>
      </c>
      <c r="R17" s="774" t="s">
        <v>17</v>
      </c>
      <c r="S17" s="775">
        <f>F17</f>
        <v>100</v>
      </c>
      <c r="T17" s="774" t="s">
        <v>17</v>
      </c>
      <c r="U17" s="775">
        <f>H17</f>
        <v>100</v>
      </c>
      <c r="V17" s="774" t="s">
        <v>17</v>
      </c>
      <c r="W17" s="775">
        <f>J17</f>
        <v>100</v>
      </c>
      <c r="X17" s="1817"/>
      <c r="Y17" s="3227"/>
      <c r="Z17" s="1818" t="str">
        <f>Q17</f>
        <v>商业繁华度</v>
      </c>
      <c r="AA17" s="1815">
        <f t="shared" si="3"/>
        <v>1</v>
      </c>
      <c r="AB17" s="1815">
        <f t="shared" si="4"/>
        <v>1</v>
      </c>
      <c r="AC17" s="1815">
        <f t="shared" si="5"/>
        <v>1</v>
      </c>
    </row>
    <row r="18" spans="1:29" ht="15">
      <c r="A18" s="428"/>
      <c r="B18" s="456"/>
      <c r="C18" s="2608" t="s">
        <v>3091</v>
      </c>
      <c r="D18" s="450"/>
      <c r="E18" s="2610" t="s">
        <v>3091</v>
      </c>
      <c r="F18" s="450"/>
      <c r="G18" s="2610" t="s">
        <v>3091</v>
      </c>
      <c r="H18" s="448"/>
      <c r="I18" s="2609" t="s">
        <v>3091</v>
      </c>
      <c r="J18" s="448"/>
      <c r="K18" s="672"/>
      <c r="L18" s="1143"/>
      <c r="M18" s="1134"/>
      <c r="N18" s="1134"/>
      <c r="O18" s="1142"/>
      <c r="P18" s="3227"/>
      <c r="Q18" s="1814"/>
      <c r="R18" s="774"/>
      <c r="S18" s="775"/>
      <c r="T18" s="774"/>
      <c r="U18" s="775"/>
      <c r="V18" s="774"/>
      <c r="W18" s="775"/>
      <c r="X18" s="1817"/>
      <c r="Y18" s="3227"/>
      <c r="Z18" s="1818"/>
      <c r="AA18" s="1815">
        <v>1</v>
      </c>
      <c r="AB18" s="1815">
        <v>1</v>
      </c>
      <c r="AC18" s="1815">
        <v>1</v>
      </c>
    </row>
    <row r="19" spans="1:29" ht="71.25" hidden="1">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7"/>
      <c r="Q19" s="1814" t="str">
        <f>B19</f>
        <v>办公集聚程度</v>
      </c>
      <c r="R19" s="774" t="s">
        <v>17</v>
      </c>
      <c r="S19" s="775">
        <f>F19</f>
        <v>100</v>
      </c>
      <c r="T19" s="774" t="s">
        <v>17</v>
      </c>
      <c r="U19" s="775">
        <f>H19</f>
        <v>100</v>
      </c>
      <c r="V19" s="774" t="s">
        <v>17</v>
      </c>
      <c r="W19" s="775">
        <f>J19</f>
        <v>100</v>
      </c>
      <c r="X19" s="1817"/>
      <c r="Y19" s="3227"/>
      <c r="Z19" s="1818" t="str">
        <f>Q19</f>
        <v>办公集聚程度</v>
      </c>
      <c r="AA19" s="1815">
        <f t="shared" si="3"/>
        <v>1</v>
      </c>
      <c r="AB19" s="1815">
        <f t="shared" si="4"/>
        <v>1</v>
      </c>
      <c r="AC19" s="1815">
        <f t="shared" si="5"/>
        <v>1</v>
      </c>
    </row>
    <row r="20" spans="1:29" ht="15" hidden="1">
      <c r="A20" s="428"/>
      <c r="B20" s="456"/>
      <c r="C20" s="447"/>
      <c r="D20" s="448"/>
      <c r="E20" s="2605"/>
      <c r="F20" s="448"/>
      <c r="G20" s="2605"/>
      <c r="H20" s="448"/>
      <c r="I20" s="2604"/>
      <c r="J20" s="448"/>
      <c r="K20" s="672"/>
      <c r="L20" s="1143"/>
      <c r="M20" s="1134"/>
      <c r="N20" s="1134"/>
      <c r="O20" s="1142"/>
      <c r="P20" s="3227"/>
      <c r="Q20" s="1814"/>
      <c r="R20" s="774"/>
      <c r="S20" s="775"/>
      <c r="T20" s="774"/>
      <c r="U20" s="775"/>
      <c r="V20" s="774"/>
      <c r="W20" s="775"/>
      <c r="X20" s="1817"/>
      <c r="Y20" s="3227"/>
      <c r="Z20" s="1818"/>
      <c r="AA20" s="1815">
        <v>1</v>
      </c>
      <c r="AB20" s="1815">
        <v>1</v>
      </c>
      <c r="AC20" s="1815">
        <v>1</v>
      </c>
    </row>
    <row r="21" spans="1:29" ht="71.25">
      <c r="A21" s="428"/>
      <c r="B21" s="451" t="s">
        <v>2708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7"/>
      <c r="Q21" s="1814" t="str">
        <f>B21</f>
        <v>交通便捷度</v>
      </c>
      <c r="R21" s="774" t="s">
        <v>17</v>
      </c>
      <c r="S21" s="775">
        <f>F21</f>
        <v>100</v>
      </c>
      <c r="T21" s="774" t="s">
        <v>17</v>
      </c>
      <c r="U21" s="775">
        <f>H21</f>
        <v>100</v>
      </c>
      <c r="V21" s="774" t="s">
        <v>17</v>
      </c>
      <c r="W21" s="775">
        <f>J21</f>
        <v>100</v>
      </c>
      <c r="X21" s="1817"/>
      <c r="Y21" s="3227"/>
      <c r="Z21" s="1818" t="str">
        <f>Q21</f>
        <v>交通便捷度</v>
      </c>
      <c r="AA21" s="1815">
        <f t="shared" si="3"/>
        <v>1</v>
      </c>
      <c r="AB21" s="1815">
        <f t="shared" si="4"/>
        <v>1</v>
      </c>
      <c r="AC21" s="1815">
        <f t="shared" si="5"/>
        <v>1</v>
      </c>
    </row>
    <row r="22" spans="1:29" ht="15">
      <c r="A22" s="428"/>
      <c r="B22" s="1387"/>
      <c r="C22" s="447" t="s">
        <v>3089</v>
      </c>
      <c r="D22" s="450"/>
      <c r="E22" s="2605" t="s">
        <v>3089</v>
      </c>
      <c r="F22" s="448"/>
      <c r="G22" s="2605" t="s">
        <v>3089</v>
      </c>
      <c r="H22" s="448"/>
      <c r="I22" s="2604" t="s">
        <v>3089</v>
      </c>
      <c r="J22" s="448"/>
      <c r="K22" s="672"/>
      <c r="L22" s="1143"/>
      <c r="M22" s="1134"/>
      <c r="N22" s="1134"/>
      <c r="O22" s="1142"/>
      <c r="P22" s="3227"/>
      <c r="Q22" s="1814"/>
      <c r="R22" s="774"/>
      <c r="S22" s="775"/>
      <c r="T22" s="774"/>
      <c r="U22" s="775"/>
      <c r="V22" s="774"/>
      <c r="W22" s="775"/>
      <c r="X22" s="1817"/>
      <c r="Y22" s="3227"/>
      <c r="Z22" s="1818"/>
      <c r="AA22" s="1815">
        <v>1</v>
      </c>
      <c r="AB22" s="1815">
        <v>1</v>
      </c>
      <c r="AC22" s="1815">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7"/>
      <c r="Q23" s="1814" t="str">
        <f t="shared" ref="Q23:Q37" si="8">B23</f>
        <v>区域土地利用方向</v>
      </c>
      <c r="R23" s="774" t="s">
        <v>17</v>
      </c>
      <c r="S23" s="775">
        <f>F23</f>
        <v>100</v>
      </c>
      <c r="T23" s="774" t="s">
        <v>17</v>
      </c>
      <c r="U23" s="775">
        <f>H23</f>
        <v>100</v>
      </c>
      <c r="V23" s="774" t="s">
        <v>17</v>
      </c>
      <c r="W23" s="775">
        <f>J23</f>
        <v>100</v>
      </c>
      <c r="X23" s="1817"/>
      <c r="Y23" s="3227"/>
      <c r="Z23" s="1818" t="str">
        <f>Q23</f>
        <v>区域土地利用方向</v>
      </c>
      <c r="AA23" s="1815">
        <f t="shared" si="3"/>
        <v>1</v>
      </c>
      <c r="AB23" s="1815">
        <f t="shared" si="4"/>
        <v>1</v>
      </c>
      <c r="AC23" s="1815">
        <f t="shared" si="5"/>
        <v>1</v>
      </c>
    </row>
    <row r="24" spans="1:29" ht="15">
      <c r="A24" s="404"/>
      <c r="B24" s="456"/>
      <c r="C24" s="616" t="s">
        <v>3089</v>
      </c>
      <c r="D24" s="448"/>
      <c r="E24" s="2605" t="s">
        <v>3089</v>
      </c>
      <c r="F24" s="448"/>
      <c r="G24" s="2604" t="s">
        <v>3089</v>
      </c>
      <c r="H24" s="448"/>
      <c r="I24" s="2604" t="s">
        <v>3089</v>
      </c>
      <c r="J24" s="448"/>
      <c r="K24" s="812"/>
      <c r="L24" s="1143"/>
      <c r="M24" s="1134"/>
      <c r="N24" s="1134"/>
      <c r="O24" s="1142"/>
      <c r="P24" s="3227"/>
      <c r="Q24" s="1814"/>
      <c r="R24" s="774"/>
      <c r="S24" s="775"/>
      <c r="T24" s="774"/>
      <c r="U24" s="775"/>
      <c r="V24" s="774"/>
      <c r="W24" s="775"/>
      <c r="X24" s="1817"/>
      <c r="Y24" s="3227"/>
      <c r="Z24" s="1818"/>
      <c r="AA24" s="1815"/>
      <c r="AB24" s="1815"/>
      <c r="AC24" s="1815"/>
    </row>
    <row r="25" spans="1:29" ht="42.75">
      <c r="A25" s="404"/>
      <c r="B25" s="1387"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7"/>
      <c r="Q25" s="1814" t="str">
        <f t="shared" si="8"/>
        <v>自然及人文环境状况</v>
      </c>
      <c r="R25" s="774" t="s">
        <v>17</v>
      </c>
      <c r="S25" s="775">
        <f>F25</f>
        <v>100</v>
      </c>
      <c r="T25" s="774" t="s">
        <v>17</v>
      </c>
      <c r="U25" s="775">
        <f>H25</f>
        <v>100</v>
      </c>
      <c r="V25" s="774" t="s">
        <v>17</v>
      </c>
      <c r="W25" s="775">
        <f>J25</f>
        <v>100</v>
      </c>
      <c r="X25" s="1817"/>
      <c r="Y25" s="3227"/>
      <c r="Z25" s="1818" t="str">
        <f>Q25</f>
        <v>自然及人文环境状况</v>
      </c>
      <c r="AA25" s="1815">
        <f t="shared" si="3"/>
        <v>1</v>
      </c>
      <c r="AB25" s="1815">
        <f t="shared" si="4"/>
        <v>1</v>
      </c>
      <c r="AC25" s="1815">
        <f t="shared" si="5"/>
        <v>1</v>
      </c>
    </row>
    <row r="26" spans="1:29" ht="15">
      <c r="A26" s="404"/>
      <c r="B26" s="456"/>
      <c r="C26" s="447" t="s">
        <v>3091</v>
      </c>
      <c r="D26" s="448"/>
      <c r="E26" s="2611" t="s">
        <v>3091</v>
      </c>
      <c r="F26" s="448"/>
      <c r="G26" s="2611" t="s">
        <v>3091</v>
      </c>
      <c r="H26" s="448"/>
      <c r="I26" s="447" t="s">
        <v>3091</v>
      </c>
      <c r="J26" s="448"/>
      <c r="K26" s="672"/>
      <c r="L26" s="1143"/>
      <c r="M26" s="1134"/>
      <c r="N26" s="1134"/>
      <c r="O26" s="1142"/>
      <c r="P26" s="3227"/>
      <c r="Q26" s="1814"/>
      <c r="R26" s="774"/>
      <c r="S26" s="775"/>
      <c r="T26" s="774"/>
      <c r="U26" s="775"/>
      <c r="V26" s="774"/>
      <c r="W26" s="775"/>
      <c r="X26" s="1817"/>
      <c r="Y26" s="3227"/>
      <c r="Z26" s="1818"/>
      <c r="AA26" s="1815">
        <v>1</v>
      </c>
      <c r="AB26" s="1815">
        <v>1</v>
      </c>
      <c r="AC26" s="1815">
        <v>1</v>
      </c>
    </row>
    <row r="27" spans="1:29" s="116" customFormat="1" ht="42.75">
      <c r="A27" s="649"/>
      <c r="B27" s="1387" t="s">
        <v>2653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98</v>
      </c>
      <c r="I27" s="454"/>
      <c r="J27" s="450">
        <f>SUMIF(100:100,I28,101:101)-SUMIF(100:100,C28,101:101)+100</f>
        <v>100</v>
      </c>
      <c r="K27" s="673">
        <v>2</v>
      </c>
      <c r="L27" s="1135"/>
      <c r="M27" s="1136"/>
      <c r="N27" s="1136"/>
      <c r="O27" s="1137"/>
      <c r="P27" s="3227"/>
      <c r="Q27" s="1799" t="str">
        <f t="shared" si="8"/>
        <v>公共配套设施</v>
      </c>
      <c r="R27" s="770" t="s">
        <v>17</v>
      </c>
      <c r="S27" s="771">
        <f>F27</f>
        <v>100</v>
      </c>
      <c r="T27" s="770" t="s">
        <v>17</v>
      </c>
      <c r="U27" s="771">
        <f>H27</f>
        <v>98</v>
      </c>
      <c r="V27" s="770" t="s">
        <v>17</v>
      </c>
      <c r="W27" s="771">
        <f>J27</f>
        <v>100</v>
      </c>
      <c r="X27" s="772"/>
      <c r="Y27" s="3227"/>
      <c r="Z27" s="55" t="str">
        <f>Q27</f>
        <v>公共配套设施</v>
      </c>
      <c r="AA27" s="1815">
        <f>D27/F27</f>
        <v>1</v>
      </c>
      <c r="AB27" s="1815">
        <f>D27/H27</f>
        <v>1.0204081632653061</v>
      </c>
      <c r="AC27" s="1815">
        <f>D27/J27</f>
        <v>1</v>
      </c>
    </row>
    <row r="28" spans="1:29" s="116" customFormat="1" ht="15">
      <c r="A28" s="649"/>
      <c r="B28" s="456"/>
      <c r="C28" s="2700" t="s">
        <v>3089</v>
      </c>
      <c r="D28" s="448"/>
      <c r="E28" s="2611" t="s">
        <v>3089</v>
      </c>
      <c r="F28" s="448"/>
      <c r="G28" s="2611" t="s">
        <v>3091</v>
      </c>
      <c r="H28" s="448"/>
      <c r="I28" s="447" t="s">
        <v>3089</v>
      </c>
      <c r="J28" s="448"/>
      <c r="K28" s="672"/>
      <c r="L28" s="1135"/>
      <c r="M28" s="1136"/>
      <c r="N28" s="1136"/>
      <c r="O28" s="1137"/>
      <c r="P28" s="3227"/>
      <c r="Q28" s="1799"/>
      <c r="R28" s="770"/>
      <c r="S28" s="771"/>
      <c r="T28" s="770"/>
      <c r="U28" s="771"/>
      <c r="V28" s="770"/>
      <c r="W28" s="771"/>
      <c r="X28" s="772"/>
      <c r="Y28" s="3227"/>
      <c r="Z28" s="55"/>
      <c r="AA28" s="1815">
        <v>1</v>
      </c>
      <c r="AB28" s="1815">
        <v>1</v>
      </c>
      <c r="AC28" s="1815">
        <v>1</v>
      </c>
    </row>
    <row r="29" spans="1:29" s="116" customFormat="1" ht="28.5">
      <c r="A29" s="649"/>
      <c r="B29" s="1387" t="s">
        <v>2654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7"/>
      <c r="Q29" s="1799" t="str">
        <f t="shared" ref="Q29" si="9">B29</f>
        <v>基础设施水平</v>
      </c>
      <c r="R29" s="770" t="s">
        <v>17</v>
      </c>
      <c r="S29" s="771">
        <f>F29</f>
        <v>100</v>
      </c>
      <c r="T29" s="770" t="s">
        <v>17</v>
      </c>
      <c r="U29" s="771">
        <f>H29</f>
        <v>100</v>
      </c>
      <c r="V29" s="770" t="s">
        <v>17</v>
      </c>
      <c r="W29" s="771">
        <f>J29</f>
        <v>100</v>
      </c>
      <c r="X29" s="772"/>
      <c r="Y29" s="3227"/>
      <c r="Z29" s="55" t="str">
        <f>Q29</f>
        <v>基础设施水平</v>
      </c>
      <c r="AA29" s="1815">
        <f>D29/F29</f>
        <v>1</v>
      </c>
      <c r="AB29" s="1815">
        <f>D29/H29</f>
        <v>1</v>
      </c>
      <c r="AC29" s="1815">
        <f>D29/J29</f>
        <v>1</v>
      </c>
    </row>
    <row r="30" spans="1:29" s="116" customFormat="1" ht="15">
      <c r="A30" s="649"/>
      <c r="B30" s="456"/>
      <c r="C30" s="2700" t="s">
        <v>3097</v>
      </c>
      <c r="D30" s="448"/>
      <c r="E30" s="2701" t="s">
        <v>3097</v>
      </c>
      <c r="F30" s="448"/>
      <c r="G30" s="2701" t="s">
        <v>3097</v>
      </c>
      <c r="H30" s="448"/>
      <c r="I30" s="2701" t="s">
        <v>3097</v>
      </c>
      <c r="J30" s="448"/>
      <c r="K30" s="672"/>
      <c r="L30" s="1135"/>
      <c r="M30" s="1136"/>
      <c r="N30" s="1136"/>
      <c r="O30" s="1137"/>
      <c r="P30" s="3227"/>
      <c r="Q30" s="1799"/>
      <c r="R30" s="770"/>
      <c r="S30" s="771"/>
      <c r="T30" s="770"/>
      <c r="U30" s="771"/>
      <c r="V30" s="770"/>
      <c r="W30" s="771"/>
      <c r="X30" s="772"/>
      <c r="Y30" s="3227"/>
      <c r="Z30" s="55"/>
      <c r="AA30" s="1815">
        <v>1</v>
      </c>
      <c r="AB30" s="1815">
        <v>1</v>
      </c>
      <c r="AC30" s="1815">
        <v>1</v>
      </c>
    </row>
    <row r="31" spans="1:29" ht="15">
      <c r="A31" s="428"/>
      <c r="B31" s="3361" t="s">
        <v>2655</v>
      </c>
      <c r="C31" s="3362" t="s">
        <v>3197</v>
      </c>
      <c r="D31" s="435">
        <v>100</v>
      </c>
      <c r="E31" s="634" t="s">
        <v>3107</v>
      </c>
      <c r="F31" s="435">
        <f>SUMIF(104:104,E31,105:105)-SUMIF(104:104,C31,105:105)+100</f>
        <v>100</v>
      </c>
      <c r="G31" s="634" t="s">
        <v>3107</v>
      </c>
      <c r="H31" s="435">
        <f>SUMIF(104:104,G31,105:105)-SUMIF(104:104,C31,105:105)+100</f>
        <v>100</v>
      </c>
      <c r="I31" s="634" t="s">
        <v>3107</v>
      </c>
      <c r="J31" s="435">
        <f>SUMIF(104:104,I31,105:105)-SUMIF(104:104,C31,105:105)+100</f>
        <v>100</v>
      </c>
      <c r="K31" s="3363"/>
      <c r="L31" s="1143"/>
      <c r="M31" s="1134"/>
      <c r="N31" s="1134"/>
      <c r="O31" s="1142"/>
      <c r="P31" s="322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27"/>
      <c r="Z31" s="1818" t="str">
        <f t="shared" ref="Z31:Z45" si="13">Q31</f>
        <v>临街状况</v>
      </c>
      <c r="AA31" s="1815">
        <f t="shared" si="3"/>
        <v>1</v>
      </c>
      <c r="AB31" s="1815">
        <f t="shared" si="4"/>
        <v>1</v>
      </c>
      <c r="AC31" s="1815">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99</v>
      </c>
      <c r="K32" s="673">
        <v>1</v>
      </c>
      <c r="L32" s="1143"/>
      <c r="M32" s="1134"/>
      <c r="N32" s="1134"/>
      <c r="O32" s="1142"/>
      <c r="P32" s="3227"/>
      <c r="Q32" s="1814" t="str">
        <f t="shared" si="8"/>
        <v>毗邻道路的类型与等级</v>
      </c>
      <c r="R32" s="774" t="s">
        <v>17</v>
      </c>
      <c r="S32" s="775">
        <f t="shared" si="10"/>
        <v>100</v>
      </c>
      <c r="T32" s="774" t="s">
        <v>17</v>
      </c>
      <c r="U32" s="775">
        <f t="shared" si="11"/>
        <v>100</v>
      </c>
      <c r="V32" s="774" t="s">
        <v>17</v>
      </c>
      <c r="W32" s="775">
        <f t="shared" si="12"/>
        <v>99</v>
      </c>
      <c r="X32" s="1817"/>
      <c r="Y32" s="3227"/>
      <c r="Z32" s="1818" t="str">
        <f t="shared" si="13"/>
        <v>毗邻道路的类型与等级</v>
      </c>
      <c r="AA32" s="1815">
        <f t="shared" si="3"/>
        <v>1</v>
      </c>
      <c r="AB32" s="1815">
        <f t="shared" si="4"/>
        <v>1</v>
      </c>
      <c r="AC32" s="1815">
        <f t="shared" si="5"/>
        <v>1.0101010101010102</v>
      </c>
    </row>
    <row r="33" spans="1:29" ht="15.75" thickBot="1">
      <c r="A33" s="428"/>
      <c r="B33" s="456"/>
      <c r="C33" s="447" t="s">
        <v>3078</v>
      </c>
      <c r="D33" s="448"/>
      <c r="E33" s="2611" t="s">
        <v>3078</v>
      </c>
      <c r="F33" s="448"/>
      <c r="G33" s="2611" t="s">
        <v>3078</v>
      </c>
      <c r="H33" s="448"/>
      <c r="I33" s="447" t="s">
        <v>3080</v>
      </c>
      <c r="J33" s="448"/>
      <c r="K33" s="613"/>
      <c r="L33" s="1143"/>
      <c r="M33" s="1134"/>
      <c r="N33" s="1134"/>
      <c r="O33" s="1142"/>
      <c r="P33" s="3227"/>
      <c r="Q33" s="1814"/>
      <c r="R33" s="774"/>
      <c r="S33" s="775"/>
      <c r="T33" s="774"/>
      <c r="U33" s="775"/>
      <c r="V33" s="774"/>
      <c r="W33" s="775"/>
      <c r="X33" s="1817"/>
      <c r="Y33" s="3227"/>
      <c r="Z33" s="1818"/>
      <c r="AA33" s="1815">
        <v>1</v>
      </c>
      <c r="AB33" s="1815">
        <v>1</v>
      </c>
      <c r="AC33" s="1815">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7"/>
      <c r="Q34" s="1814" t="str">
        <f t="shared" si="8"/>
        <v>土地级别</v>
      </c>
      <c r="R34" s="774" t="s">
        <v>17</v>
      </c>
      <c r="S34" s="775">
        <f t="shared" si="10"/>
        <v>100</v>
      </c>
      <c r="T34" s="774" t="s">
        <v>17</v>
      </c>
      <c r="U34" s="775">
        <f t="shared" si="11"/>
        <v>100</v>
      </c>
      <c r="V34" s="774" t="s">
        <v>17</v>
      </c>
      <c r="W34" s="775">
        <f t="shared" si="12"/>
        <v>100</v>
      </c>
      <c r="X34" s="1817"/>
      <c r="Y34" s="3227"/>
      <c r="Z34" s="1818" t="str">
        <f t="shared" si="13"/>
        <v>土地级别</v>
      </c>
      <c r="AA34" s="1815">
        <f t="shared" si="3"/>
        <v>1</v>
      </c>
      <c r="AB34" s="1815">
        <f t="shared" si="4"/>
        <v>1</v>
      </c>
      <c r="AC34" s="1815">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7"/>
      <c r="Q35" s="1814">
        <f t="shared" si="8"/>
        <v>111</v>
      </c>
      <c r="R35" s="774" t="s">
        <v>17</v>
      </c>
      <c r="S35" s="775">
        <f t="shared" si="10"/>
        <v>100</v>
      </c>
      <c r="T35" s="774" t="s">
        <v>17</v>
      </c>
      <c r="U35" s="775">
        <f t="shared" si="11"/>
        <v>100</v>
      </c>
      <c r="V35" s="774" t="s">
        <v>17</v>
      </c>
      <c r="W35" s="775">
        <f t="shared" si="12"/>
        <v>100</v>
      </c>
      <c r="X35" s="1817"/>
      <c r="Y35" s="3227"/>
      <c r="Z35" s="1818">
        <f t="shared" si="13"/>
        <v>111</v>
      </c>
      <c r="AA35" s="1815">
        <f t="shared" si="3"/>
        <v>1</v>
      </c>
      <c r="AB35" s="1815">
        <f t="shared" si="4"/>
        <v>1</v>
      </c>
      <c r="AC35" s="1815">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8" t="s">
        <v>2564</v>
      </c>
      <c r="Q36" s="1814">
        <f t="shared" si="8"/>
        <v>111</v>
      </c>
      <c r="R36" s="774" t="s">
        <v>17</v>
      </c>
      <c r="S36" s="775">
        <f t="shared" si="10"/>
        <v>100</v>
      </c>
      <c r="T36" s="774" t="s">
        <v>17</v>
      </c>
      <c r="U36" s="775">
        <f t="shared" si="11"/>
        <v>100</v>
      </c>
      <c r="V36" s="774" t="s">
        <v>17</v>
      </c>
      <c r="W36" s="775">
        <f t="shared" si="12"/>
        <v>100</v>
      </c>
      <c r="X36" s="1817"/>
      <c r="Y36" s="3229" t="s">
        <v>2564</v>
      </c>
      <c r="Z36" s="1818">
        <f t="shared" si="13"/>
        <v>111</v>
      </c>
      <c r="AA36" s="1815">
        <f t="shared" si="3"/>
        <v>1</v>
      </c>
      <c r="AB36" s="1815">
        <f t="shared" si="4"/>
        <v>1</v>
      </c>
      <c r="AC36" s="1815">
        <f t="shared" si="5"/>
        <v>1</v>
      </c>
    </row>
    <row r="37" spans="1:29" s="471" customFormat="1" ht="15.75" hidden="1"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4">
        <f t="shared" si="8"/>
        <v>111</v>
      </c>
      <c r="R37" s="777" t="s">
        <v>17</v>
      </c>
      <c r="S37" s="778">
        <f t="shared" si="10"/>
        <v>100</v>
      </c>
      <c r="T37" s="777" t="s">
        <v>17</v>
      </c>
      <c r="U37" s="778">
        <f t="shared" si="11"/>
        <v>100</v>
      </c>
      <c r="V37" s="777" t="s">
        <v>17</v>
      </c>
      <c r="W37" s="778">
        <f t="shared" si="12"/>
        <v>100</v>
      </c>
      <c r="X37" s="779"/>
      <c r="Y37" s="3229"/>
      <c r="Z37" s="780">
        <f t="shared" si="13"/>
        <v>111</v>
      </c>
      <c r="AA37" s="1815">
        <f t="shared" si="3"/>
        <v>1</v>
      </c>
      <c r="AB37" s="1815">
        <f t="shared" si="4"/>
        <v>1</v>
      </c>
      <c r="AC37" s="1815">
        <f t="shared" si="5"/>
        <v>1</v>
      </c>
    </row>
    <row r="38" spans="1:29" ht="15">
      <c r="A38" s="472" t="s">
        <v>2562</v>
      </c>
      <c r="B38" s="456" t="s">
        <v>2750</v>
      </c>
      <c r="C38" s="679">
        <f>'数据-基础表'!A3</f>
        <v>7085.5</v>
      </c>
      <c r="D38" s="467">
        <v>100</v>
      </c>
      <c r="E38" s="679">
        <v>59639.1</v>
      </c>
      <c r="F38" s="467">
        <f>LOOKUP(E38,117:117,118:118)-LOOKUP(C38,117:117,118:118)+100</f>
        <v>101</v>
      </c>
      <c r="G38" s="679">
        <v>6664.6</v>
      </c>
      <c r="H38" s="467">
        <f>LOOKUP(G38,117:117,118:118)-LOOKUP(C38,117:117,118:118)+100</f>
        <v>100</v>
      </c>
      <c r="I38" s="530">
        <v>20626.3</v>
      </c>
      <c r="J38" s="467">
        <f>LOOKUP(I38,117:117,118:118)-LOOKUP(C38,117:117,118:118)+100</f>
        <v>100</v>
      </c>
      <c r="K38" s="613"/>
      <c r="L38" s="1143"/>
      <c r="M38" s="1134"/>
      <c r="N38" s="1134"/>
      <c r="O38" s="1142"/>
      <c r="P38" s="3229"/>
      <c r="Q38" s="1814" t="str">
        <f>B38</f>
        <v>宗地面积</v>
      </c>
      <c r="R38" s="774" t="s">
        <v>17</v>
      </c>
      <c r="S38" s="775">
        <f t="shared" si="10"/>
        <v>101</v>
      </c>
      <c r="T38" s="774" t="s">
        <v>17</v>
      </c>
      <c r="U38" s="775">
        <f t="shared" si="11"/>
        <v>100</v>
      </c>
      <c r="V38" s="774" t="s">
        <v>17</v>
      </c>
      <c r="W38" s="775">
        <f t="shared" si="12"/>
        <v>100</v>
      </c>
      <c r="X38" s="1817"/>
      <c r="Y38" s="3229"/>
      <c r="Z38" s="1818" t="str">
        <f t="shared" si="13"/>
        <v>宗地面积</v>
      </c>
      <c r="AA38" s="1815">
        <f t="shared" si="3"/>
        <v>0.99009900990099009</v>
      </c>
      <c r="AB38" s="1815">
        <f t="shared" si="4"/>
        <v>1</v>
      </c>
      <c r="AC38" s="1815">
        <f t="shared" si="5"/>
        <v>1</v>
      </c>
    </row>
    <row r="39" spans="1:29" ht="15">
      <c r="A39" s="472"/>
      <c r="B39" s="422" t="s">
        <v>2751</v>
      </c>
      <c r="C39" s="2613" t="s">
        <v>3084</v>
      </c>
      <c r="D39" s="435">
        <v>100</v>
      </c>
      <c r="E39" s="2613" t="s">
        <v>3084</v>
      </c>
      <c r="F39" s="435">
        <f>SUMIF(119:119,E39,120:120)-SUMIF(119:119,C39,120:120)+100</f>
        <v>100</v>
      </c>
      <c r="G39" s="2613" t="s">
        <v>3084</v>
      </c>
      <c r="H39" s="435">
        <f>SUMIF(119:119,G39,120:120)-SUMIF(119:119,C39,120:120)+100</f>
        <v>100</v>
      </c>
      <c r="I39" s="2613" t="s">
        <v>3084</v>
      </c>
      <c r="J39" s="435">
        <f>SUMIF(119:119,I39,120:120)-SUMIF(119:119,C39,120:120)+100</f>
        <v>100</v>
      </c>
      <c r="K39" s="612"/>
      <c r="L39" s="1143"/>
      <c r="M39" s="1134"/>
      <c r="N39" s="1134"/>
      <c r="O39" s="1142"/>
      <c r="P39" s="3229"/>
      <c r="Q39" s="1814" t="str">
        <f t="shared" ref="Q39:Q45" si="14">B39</f>
        <v>宗地形状</v>
      </c>
      <c r="R39" s="774" t="s">
        <v>17</v>
      </c>
      <c r="S39" s="775">
        <f t="shared" si="10"/>
        <v>100</v>
      </c>
      <c r="T39" s="774" t="s">
        <v>17</v>
      </c>
      <c r="U39" s="775">
        <f t="shared" si="11"/>
        <v>100</v>
      </c>
      <c r="V39" s="774" t="s">
        <v>17</v>
      </c>
      <c r="W39" s="775">
        <f t="shared" si="12"/>
        <v>100</v>
      </c>
      <c r="X39" s="1817"/>
      <c r="Y39" s="3229"/>
      <c r="Z39" s="1818" t="str">
        <f t="shared" si="13"/>
        <v>宗地形状</v>
      </c>
      <c r="AA39" s="1815">
        <f t="shared" si="3"/>
        <v>1</v>
      </c>
      <c r="AB39" s="1815">
        <f t="shared" si="4"/>
        <v>1</v>
      </c>
      <c r="AC39" s="1815">
        <f t="shared" si="5"/>
        <v>1</v>
      </c>
    </row>
    <row r="40" spans="1:29" ht="15">
      <c r="A40" s="472"/>
      <c r="B40" s="422" t="s">
        <v>2752</v>
      </c>
      <c r="C40" s="2613" t="s">
        <v>3089</v>
      </c>
      <c r="D40" s="435">
        <v>100</v>
      </c>
      <c r="E40" s="2613" t="s">
        <v>3089</v>
      </c>
      <c r="F40" s="435">
        <f>SUMIF(121:121,E40,122:122)-SUMIF(121:121,C40,122:122)+100</f>
        <v>100</v>
      </c>
      <c r="G40" s="2613" t="s">
        <v>3089</v>
      </c>
      <c r="H40" s="435">
        <f>SUMIF(121:121,G40,122:122)-SUMIF(121:121,C40,122:122)+100</f>
        <v>100</v>
      </c>
      <c r="I40" s="2613" t="s">
        <v>3089</v>
      </c>
      <c r="J40" s="435">
        <f>SUMIF(121:121,I40,122:122)-SUMIF(121:121,C40,122:122)+100</f>
        <v>100</v>
      </c>
      <c r="K40" s="612"/>
      <c r="L40" s="1143"/>
      <c r="M40" s="1134"/>
      <c r="N40" s="1134"/>
      <c r="O40" s="1142"/>
      <c r="P40" s="3229"/>
      <c r="Q40" s="1814" t="str">
        <f t="shared" si="14"/>
        <v>临街宽度及深度</v>
      </c>
      <c r="R40" s="774" t="s">
        <v>17</v>
      </c>
      <c r="S40" s="775">
        <f t="shared" si="10"/>
        <v>100</v>
      </c>
      <c r="T40" s="774" t="s">
        <v>17</v>
      </c>
      <c r="U40" s="775">
        <f t="shared" si="11"/>
        <v>100</v>
      </c>
      <c r="V40" s="774" t="s">
        <v>17</v>
      </c>
      <c r="W40" s="775">
        <f t="shared" si="12"/>
        <v>100</v>
      </c>
      <c r="X40" s="1817"/>
      <c r="Y40" s="3229"/>
      <c r="Z40" s="1818" t="str">
        <f t="shared" si="13"/>
        <v>临街宽度及深度</v>
      </c>
      <c r="AA40" s="1815">
        <f t="shared" si="3"/>
        <v>1</v>
      </c>
      <c r="AB40" s="1815">
        <f t="shared" si="4"/>
        <v>1</v>
      </c>
      <c r="AC40" s="1815">
        <f t="shared" si="5"/>
        <v>1</v>
      </c>
    </row>
    <row r="41" spans="1:29" s="116" customFormat="1" ht="15">
      <c r="A41" s="473"/>
      <c r="B41" s="422" t="s">
        <v>2753</v>
      </c>
      <c r="C41" s="2702" t="s">
        <v>3097</v>
      </c>
      <c r="D41" s="135">
        <v>100</v>
      </c>
      <c r="E41" s="2702" t="s">
        <v>3097</v>
      </c>
      <c r="F41" s="435">
        <f>SUMIF(123:123,E41,124:124)-SUMIF(123:123,C41,124:124)+100</f>
        <v>100</v>
      </c>
      <c r="G41" s="2702" t="s">
        <v>3097</v>
      </c>
      <c r="H41" s="435">
        <f>SUMIF(123:123,G41,124:124)-SUMIF(123:123,C41,124:124)+100</f>
        <v>100</v>
      </c>
      <c r="I41" s="2702" t="s">
        <v>3097</v>
      </c>
      <c r="J41" s="435">
        <f>SUMIF(123:123,I41,124:124)-SUMIF(123:123,C41,124:124)+100</f>
        <v>100</v>
      </c>
      <c r="K41" s="612"/>
      <c r="L41" s="1135"/>
      <c r="M41" s="1136"/>
      <c r="N41" s="1136"/>
      <c r="O41" s="1137"/>
      <c r="P41" s="3229"/>
      <c r="Q41" s="1814"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75" thickBot="1">
      <c r="A42" s="472"/>
      <c r="B42" s="422" t="s">
        <v>2754</v>
      </c>
      <c r="C42" s="2613" t="s">
        <v>3089</v>
      </c>
      <c r="D42" s="435">
        <v>100</v>
      </c>
      <c r="E42" s="2613" t="s">
        <v>3089</v>
      </c>
      <c r="F42" s="435">
        <f>SUMIF(125:125,E42,126:126)-SUMIF(125:125,C42,126:126)+100</f>
        <v>100</v>
      </c>
      <c r="G42" s="2613" t="s">
        <v>3089</v>
      </c>
      <c r="H42" s="435">
        <f>SUMIF(125:125,G42,126:126)-SUMIF(125:125,C42,126:126)+100</f>
        <v>100</v>
      </c>
      <c r="I42" s="2613" t="s">
        <v>3089</v>
      </c>
      <c r="J42" s="435">
        <f>SUMIF(125:125,I42,126:126)-SUMIF(125:125,C42,126:126)+100</f>
        <v>100</v>
      </c>
      <c r="K42" s="612"/>
      <c r="L42" s="1143"/>
      <c r="M42" s="1134"/>
      <c r="N42" s="1134"/>
      <c r="O42" s="1142"/>
      <c r="P42" s="3229" t="s">
        <v>2564</v>
      </c>
      <c r="Q42" s="1814" t="str">
        <f t="shared" si="14"/>
        <v>工程地质条件</v>
      </c>
      <c r="R42" s="774" t="s">
        <v>17</v>
      </c>
      <c r="S42" s="775">
        <f t="shared" si="10"/>
        <v>100</v>
      </c>
      <c r="T42" s="774" t="s">
        <v>17</v>
      </c>
      <c r="U42" s="775">
        <f t="shared" si="11"/>
        <v>100</v>
      </c>
      <c r="V42" s="774" t="s">
        <v>17</v>
      </c>
      <c r="W42" s="775">
        <f t="shared" si="12"/>
        <v>100</v>
      </c>
      <c r="X42" s="1817"/>
      <c r="Y42" s="3229" t="s">
        <v>2564</v>
      </c>
      <c r="Z42" s="1818" t="str">
        <f t="shared" si="13"/>
        <v>工程地质条件</v>
      </c>
      <c r="AA42" s="1815">
        <f t="shared" si="3"/>
        <v>1</v>
      </c>
      <c r="AB42" s="1815">
        <f t="shared" si="4"/>
        <v>1</v>
      </c>
      <c r="AC42" s="1815">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4">
        <f t="shared" si="14"/>
        <v>111</v>
      </c>
      <c r="R43" s="774" t="s">
        <v>17</v>
      </c>
      <c r="S43" s="775">
        <f t="shared" si="10"/>
        <v>100</v>
      </c>
      <c r="T43" s="774" t="s">
        <v>17</v>
      </c>
      <c r="U43" s="775">
        <f t="shared" si="11"/>
        <v>100</v>
      </c>
      <c r="V43" s="774" t="s">
        <v>17</v>
      </c>
      <c r="W43" s="775">
        <f t="shared" si="12"/>
        <v>100</v>
      </c>
      <c r="X43" s="1817"/>
      <c r="Y43" s="3229"/>
      <c r="Z43" s="1818">
        <f t="shared" si="13"/>
        <v>111</v>
      </c>
      <c r="AA43" s="1815">
        <f t="shared" si="3"/>
        <v>1</v>
      </c>
      <c r="AB43" s="1815">
        <f t="shared" si="4"/>
        <v>1</v>
      </c>
      <c r="AC43" s="1815">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4">
        <f t="shared" si="14"/>
        <v>111</v>
      </c>
      <c r="R44" s="774" t="s">
        <v>17</v>
      </c>
      <c r="S44" s="775">
        <f t="shared" si="10"/>
        <v>100</v>
      </c>
      <c r="T44" s="774" t="s">
        <v>17</v>
      </c>
      <c r="U44" s="775">
        <f t="shared" si="11"/>
        <v>100</v>
      </c>
      <c r="V44" s="774" t="s">
        <v>17</v>
      </c>
      <c r="W44" s="775">
        <f t="shared" si="12"/>
        <v>100</v>
      </c>
      <c r="X44" s="1817"/>
      <c r="Y44" s="3229"/>
      <c r="Z44" s="1818">
        <f t="shared" si="13"/>
        <v>111</v>
      </c>
      <c r="AA44" s="1815">
        <f t="shared" si="3"/>
        <v>1</v>
      </c>
      <c r="AB44" s="1815">
        <f t="shared" si="4"/>
        <v>1</v>
      </c>
      <c r="AC44" s="1815">
        <f t="shared" si="5"/>
        <v>1</v>
      </c>
    </row>
    <row r="45" spans="1:29" s="471" customFormat="1" ht="15.75" hidden="1"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4">
        <f t="shared" si="14"/>
        <v>111</v>
      </c>
      <c r="R45" s="777" t="s">
        <v>17</v>
      </c>
      <c r="S45" s="778">
        <f t="shared" si="10"/>
        <v>100</v>
      </c>
      <c r="T45" s="777" t="s">
        <v>17</v>
      </c>
      <c r="U45" s="778">
        <f t="shared" si="11"/>
        <v>100</v>
      </c>
      <c r="V45" s="777" t="s">
        <v>17</v>
      </c>
      <c r="W45" s="778">
        <f t="shared" si="12"/>
        <v>100</v>
      </c>
      <c r="X45" s="779"/>
      <c r="Y45" s="3229"/>
      <c r="Z45" s="780">
        <f t="shared" si="13"/>
        <v>111</v>
      </c>
      <c r="AA45" s="1815">
        <f t="shared" si="3"/>
        <v>1</v>
      </c>
      <c r="AB45" s="1815">
        <f t="shared" si="4"/>
        <v>1</v>
      </c>
      <c r="AC45" s="1815">
        <f t="shared" si="5"/>
        <v>1</v>
      </c>
    </row>
    <row r="46" spans="1:29" ht="15">
      <c r="A46" s="479" t="s">
        <v>2719</v>
      </c>
      <c r="B46" s="2704" t="s">
        <v>2755</v>
      </c>
      <c r="C46" s="682" t="s">
        <v>1</v>
      </c>
      <c r="D46" s="481"/>
      <c r="E46" s="482">
        <v>964</v>
      </c>
      <c r="F46" s="483"/>
      <c r="G46" s="484">
        <v>918</v>
      </c>
      <c r="H46" s="485"/>
      <c r="I46" s="482">
        <v>1111</v>
      </c>
      <c r="J46" s="485"/>
      <c r="K46" s="783"/>
      <c r="L46" s="1146"/>
      <c r="M46" s="1147"/>
      <c r="N46" s="1134"/>
      <c r="O46" s="1147"/>
      <c r="P46" s="3211" t="str">
        <f>A46</f>
        <v>成交单价</v>
      </c>
      <c r="Q46" s="3211"/>
      <c r="R46" s="3224">
        <f>E46</f>
        <v>964</v>
      </c>
      <c r="S46" s="3224"/>
      <c r="T46" s="3224">
        <f>G46</f>
        <v>918</v>
      </c>
      <c r="U46" s="3224"/>
      <c r="V46" s="3224">
        <f>I46</f>
        <v>1111</v>
      </c>
      <c r="W46" s="3224"/>
      <c r="X46" s="759"/>
      <c r="Y46" s="781"/>
      <c r="Z46" s="759"/>
      <c r="AA46" s="759"/>
      <c r="AB46" s="759"/>
      <c r="AC46" s="759"/>
    </row>
    <row r="47" spans="1:29" ht="15.75" thickBot="1">
      <c r="A47" s="486" t="s">
        <v>2668</v>
      </c>
      <c r="B47" s="683"/>
      <c r="C47" s="490">
        <f>R48</f>
        <v>1010</v>
      </c>
      <c r="D47" s="489"/>
      <c r="E47" s="490">
        <f>R47</f>
        <v>950</v>
      </c>
      <c r="F47" s="491"/>
      <c r="G47" s="488">
        <f>T47</f>
        <v>947</v>
      </c>
      <c r="H47" s="489"/>
      <c r="I47" s="490">
        <f>V47</f>
        <v>1134</v>
      </c>
      <c r="J47" s="489"/>
      <c r="K47" s="784"/>
      <c r="L47" s="1146"/>
      <c r="M47" s="1147"/>
      <c r="N47" s="1147"/>
      <c r="O47" s="1147"/>
      <c r="P47" s="3211" t="str">
        <f>A47</f>
        <v>比较价值（元/平方米）</v>
      </c>
      <c r="Q47" s="3211"/>
      <c r="R47" s="3230">
        <f>ROUND(PRODUCT(R46,AA7:AA45),0)</f>
        <v>950</v>
      </c>
      <c r="S47" s="3230"/>
      <c r="T47" s="3230">
        <f>ROUND(PRODUCT(T46,AB7:AB45),0)</f>
        <v>947</v>
      </c>
      <c r="U47" s="3230"/>
      <c r="V47" s="3230">
        <f>ROUND(PRODUCT(V46,AC7:AC45),0)</f>
        <v>1134</v>
      </c>
      <c r="W47" s="3230"/>
      <c r="X47" s="759"/>
      <c r="Y47" s="759"/>
      <c r="Z47" s="759"/>
      <c r="AA47" s="759"/>
      <c r="AB47" s="759"/>
      <c r="AC47" s="759"/>
    </row>
    <row r="48" spans="1:29" ht="15.75" thickBot="1">
      <c r="A48" s="492" t="s">
        <v>2756</v>
      </c>
      <c r="B48" s="493"/>
      <c r="C48" s="494">
        <f>R48</f>
        <v>1010</v>
      </c>
      <c r="D48" s="494"/>
      <c r="E48" s="494"/>
      <c r="F48" s="494"/>
      <c r="G48" s="494"/>
      <c r="H48" s="494"/>
      <c r="I48" s="494"/>
      <c r="J48" s="494"/>
      <c r="K48" s="785"/>
      <c r="L48" s="1146"/>
      <c r="M48" s="1147"/>
      <c r="N48" s="1147"/>
      <c r="O48" s="1147"/>
      <c r="P48" s="3231" t="str">
        <f>A48</f>
        <v>估价对象XX用房的比较价值（楼面单价，元/平方米）</v>
      </c>
      <c r="Q48" s="3232"/>
      <c r="R48" s="3233">
        <f>ROUND(AVERAGE(R47:V47),0)</f>
        <v>1010</v>
      </c>
      <c r="S48" s="3233"/>
      <c r="T48" s="3233"/>
      <c r="U48" s="3233"/>
      <c r="V48" s="3233"/>
      <c r="W48" s="323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1.4736842105263159E-2</v>
      </c>
      <c r="F51" s="500" t="str">
        <f>IF(OR(E51&gt;=0.3,E51&lt;=-0.3),"超过30%","")</f>
        <v/>
      </c>
      <c r="G51" s="499">
        <f>IF(G46&lt;G47,G47/G46-1,G46/G47-1)</f>
        <v>3.1590413943355156E-2</v>
      </c>
      <c r="H51" s="500" t="str">
        <f>IF(OR(G51&gt;=0.3,G51&lt;=-0.3),"超过30%","")</f>
        <v/>
      </c>
      <c r="I51" s="499">
        <f>IF(I46&lt;I47,I47/I46-1,I46/I47-1)</f>
        <v>2.070207020702064E-2</v>
      </c>
      <c r="J51" s="500" t="str">
        <f>IF(OR(I51&gt;=0.3,I51&lt;=-0.3),"超过30%","")</f>
        <v/>
      </c>
      <c r="K51" s="1108"/>
      <c r="L51" s="1109"/>
      <c r="M51" s="1147"/>
      <c r="N51" s="1147"/>
      <c r="O51" s="1147"/>
    </row>
    <row r="52" spans="1:15" ht="13.5" customHeight="1">
      <c r="A52" s="1147"/>
      <c r="B52" s="1147"/>
      <c r="C52" s="497" t="s">
        <v>2671</v>
      </c>
      <c r="D52" s="501"/>
      <c r="E52" s="499">
        <f>IF(E47&lt;G47,G47/E47-1,E47/G47-1)</f>
        <v>3.1678986272438703E-3</v>
      </c>
      <c r="F52" s="500" t="str">
        <f>IF(OR(E52&gt;=0.2,E52&lt;=-0.2),"超过20%","")</f>
        <v/>
      </c>
      <c r="G52" s="499">
        <f>IF(G47&lt;I47,I47/G47-1,G47/I47-1)</f>
        <v>0.19746568109820495</v>
      </c>
      <c r="H52" s="500" t="str">
        <f>IF(OR(G52&gt;=0.2,G52&lt;=-0.2),"超过20%","")</f>
        <v/>
      </c>
      <c r="I52" s="499">
        <f>IF(I47&lt;E47,E47/I47-1,I47/E47-1)</f>
        <v>0.19368421052631568</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5.0108932461873534E-2</v>
      </c>
      <c r="F53" s="500" t="str">
        <f>IF(OR(E53&gt;=0.3,E53&lt;=-0.3),"超过30%","")</f>
        <v/>
      </c>
      <c r="G53" s="499">
        <f>IF(G46&lt;I46,I46/G46-1,G46/I46-1)</f>
        <v>0.210239651416122</v>
      </c>
      <c r="H53" s="500" t="str">
        <f>IF(OR(G53&gt;=0.3,G53&lt;=-0.3),"超过30%","")</f>
        <v/>
      </c>
      <c r="I53" s="499">
        <f>IF(I46&lt;E46,E46/I46-1,I46/E46-1)</f>
        <v>0.1524896265560165</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5" t="s">
        <v>2759</v>
      </c>
      <c r="D55" s="2706" t="s">
        <v>2760</v>
      </c>
      <c r="E55" s="686" t="s">
        <v>2761</v>
      </c>
      <c r="F55" s="1110" t="s">
        <v>2762</v>
      </c>
      <c r="G55" s="3212" t="s">
        <v>2763</v>
      </c>
      <c r="H55" s="3234"/>
      <c r="I55" s="143" t="s">
        <v>2764</v>
      </c>
      <c r="J55" s="2707" t="str">
        <f>项目基本情况!F35</f>
        <v>河北省保定市涞水县涞水镇</v>
      </c>
      <c r="K55" s="2708" t="s">
        <v>2765</v>
      </c>
      <c r="L55" s="1109"/>
      <c r="M55" s="1147"/>
      <c r="N55" s="1147"/>
      <c r="O55" s="1147"/>
    </row>
    <row r="56" spans="1:15" s="692" customFormat="1">
      <c r="A56" s="688" t="s">
        <v>2766</v>
      </c>
      <c r="B56" s="689">
        <f>C48</f>
        <v>1010</v>
      </c>
      <c r="C56" s="690">
        <v>1</v>
      </c>
      <c r="D56" s="1166">
        <v>1</v>
      </c>
      <c r="E56" s="690">
        <f>'数据-汇总表'!E8+'数据-汇总表'!E9</f>
        <v>13139.142</v>
      </c>
      <c r="F56" s="1106">
        <f t="shared" ref="F56:F65" si="15">ROUND(B56*E56/10000,0)</f>
        <v>1327</v>
      </c>
      <c r="G56" s="3235"/>
      <c r="H56" s="3211"/>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236"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36"/>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36"/>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36"/>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9"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9"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0"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13139.142</v>
      </c>
      <c r="F66" s="697">
        <f>IF(B46="楼面地价",SUM(F56:F65),ROUND(C48*E66/10000,0))</f>
        <v>1327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1" t="s">
        <v>2781</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2" t="s">
        <v>2782</v>
      </c>
      <c r="B71" s="332" t="str">
        <f>"北京市平均增长率"&amp;TEXT(SUMIF(基准地价修正!N21:N25,A71,基准地价修正!P21:P25),"0.00%")</f>
        <v>北京市平均增长率2.78%</v>
      </c>
      <c r="C71" s="603">
        <v>100</v>
      </c>
      <c r="D71" s="595">
        <v>98.5</v>
      </c>
      <c r="E71" s="595">
        <v>97</v>
      </c>
      <c r="F71" s="595">
        <v>95.5</v>
      </c>
      <c r="G71" s="595">
        <v>94</v>
      </c>
      <c r="H71" s="595">
        <v>92.5</v>
      </c>
      <c r="I71" s="595">
        <v>91</v>
      </c>
      <c r="J71" s="595"/>
      <c r="K71" s="595"/>
      <c r="L71" s="595"/>
      <c r="M71" s="1571"/>
      <c r="N71" s="595"/>
      <c r="O71" s="1572"/>
      <c r="P71" s="504"/>
    </row>
    <row r="72" spans="1:17" s="116" customFormat="1" ht="15.75" thickBot="1">
      <c r="A72" s="515" t="s">
        <v>2584</v>
      </c>
      <c r="B72" s="516"/>
      <c r="C72" s="517"/>
      <c r="D72" s="518"/>
      <c r="E72" s="518"/>
      <c r="F72" s="518"/>
      <c r="G72" s="518"/>
      <c r="H72" s="518"/>
      <c r="I72" s="518"/>
      <c r="J72" s="518"/>
      <c r="K72" s="518"/>
      <c r="L72" s="518"/>
      <c r="M72" s="519"/>
      <c r="N72" s="518"/>
      <c r="O72" s="1165"/>
      <c r="P72" s="504"/>
      <c r="Q72" s="504"/>
    </row>
    <row r="73" spans="1:17" s="116" customFormat="1" ht="15">
      <c r="A73" s="521" t="s">
        <v>2549</v>
      </c>
      <c r="B73" s="510"/>
      <c r="C73" s="522" t="s">
        <v>2651</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ht="27">
      <c r="A75" s="527" t="s">
        <v>2587</v>
      </c>
      <c r="B75" s="528" t="s">
        <v>2553</v>
      </c>
      <c r="C75" s="2933" t="s">
        <v>3075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0（含）-2</v>
      </c>
      <c r="D79" s="547" t="str">
        <f t="shared" ref="D79:L79" si="20">D80&amp;"（含）"&amp;"-"&amp;E80</f>
        <v>2（含）-4</v>
      </c>
      <c r="E79" s="547" t="str">
        <f t="shared" si="20"/>
        <v>4（含）-6</v>
      </c>
      <c r="F79" s="547" t="str">
        <f t="shared" si="20"/>
        <v>6（含）-8</v>
      </c>
      <c r="G79" s="547" t="str">
        <f t="shared" si="20"/>
        <v>8（含）-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hidden="1"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111</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111</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6"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6"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34" t="s">
        <v>3076</v>
      </c>
      <c r="D106" s="2934" t="s">
        <v>3077</v>
      </c>
      <c r="E106" s="2934" t="s">
        <v>3079</v>
      </c>
      <c r="F106" s="2934" t="s">
        <v>3081</v>
      </c>
      <c r="G106" s="2934" t="s">
        <v>3082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hidden="1" thickTop="1">
      <c r="A108" s="534"/>
      <c r="B108" s="538" t="s">
        <v>2749</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2562</v>
      </c>
      <c r="B116" s="528" t="s">
        <v>2790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2791</v>
      </c>
      <c r="C119" s="2935" t="s">
        <v>3083</v>
      </c>
      <c r="D119" s="2935" t="s">
        <v>3085</v>
      </c>
      <c r="E119" s="2935" t="s">
        <v>3086</v>
      </c>
      <c r="F119" s="2935" t="s">
        <v>3087</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2934" t="s">
        <v>3088</v>
      </c>
      <c r="D121" s="2934" t="s">
        <v>3090</v>
      </c>
      <c r="E121" s="2934" t="s">
        <v>3092</v>
      </c>
      <c r="F121" s="2935" t="s">
        <v>3094</v>
      </c>
      <c r="G121" s="2935" t="s">
        <v>3096</v>
      </c>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2934" t="s">
        <v>3098</v>
      </c>
      <c r="D123" s="2934" t="s">
        <v>3099</v>
      </c>
      <c r="E123" s="2934" t="s">
        <v>3100</v>
      </c>
      <c r="F123" s="2935" t="s">
        <v>3101</v>
      </c>
      <c r="G123" s="2935" t="s">
        <v>3102</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2934" t="s">
        <v>3088</v>
      </c>
      <c r="D125" s="2934" t="s">
        <v>3090</v>
      </c>
      <c r="E125" s="2934" t="s">
        <v>3092</v>
      </c>
      <c r="F125" s="2935" t="s">
        <v>3094</v>
      </c>
      <c r="G125" s="2935" t="s">
        <v>3096</v>
      </c>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hidden="1" thickTop="1">
      <c r="A127" s="599"/>
      <c r="B127" s="538">
        <f>B43</f>
        <v>111</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111</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34" sqref="L33:L3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5"/>
      <c r="C1" s="1586"/>
      <c r="D1" s="1584"/>
      <c r="E1" s="320"/>
      <c r="F1" s="320"/>
      <c r="G1" s="1585"/>
      <c r="H1" s="320"/>
      <c r="I1" s="320"/>
      <c r="J1" s="320"/>
      <c r="K1" s="320">
        <f>MATCH(C1,'数据-取费表'!A6:A16,0)+5</f>
        <v>8</v>
      </c>
    </row>
    <row r="2" spans="1:33" ht="18" customHeight="1">
      <c r="A2" s="245" t="s">
        <v>2329</v>
      </c>
      <c r="B2" s="248">
        <f ca="1">C32</f>
        <v>6468</v>
      </c>
      <c r="C2" s="320" t="s">
        <v>2462</v>
      </c>
      <c r="D2" s="320"/>
      <c r="E2" s="320"/>
      <c r="F2" s="320"/>
      <c r="G2" s="320"/>
      <c r="H2" s="320"/>
      <c r="I2" s="320"/>
      <c r="J2" s="320"/>
      <c r="K2" s="320"/>
    </row>
    <row r="3" spans="1:33" ht="18" customHeight="1" thickBot="1">
      <c r="A3" s="247" t="s">
        <v>2331</v>
      </c>
      <c r="B3" s="248">
        <f ca="1">ROUND(B2*10000/IF(C1="",'数据-汇总表'!E3,INDIRECT("'数据-取费表'!K"&amp;$K$1)),0)</f>
        <v>4488</v>
      </c>
      <c r="C3" s="320" t="s">
        <v>2463</v>
      </c>
      <c r="D3" s="320"/>
      <c r="E3" s="320"/>
      <c r="F3" s="320"/>
      <c r="G3" s="320"/>
      <c r="H3" s="320"/>
      <c r="I3" s="320"/>
      <c r="J3" s="320"/>
      <c r="K3" s="320"/>
    </row>
    <row r="4" spans="1:33" s="959" customFormat="1" ht="16.5" customHeight="1">
      <c r="A4" s="956" t="s">
        <v>2464</v>
      </c>
      <c r="B4" s="957"/>
      <c r="C4" s="999">
        <f ca="1">SUM(C8:K8)</f>
        <v>13743</v>
      </c>
      <c r="D4" s="957"/>
      <c r="E4" s="957"/>
      <c r="F4" s="957"/>
      <c r="G4" s="957"/>
      <c r="H4" s="957"/>
      <c r="I4" s="957"/>
      <c r="J4" s="957"/>
      <c r="K4" s="958"/>
    </row>
    <row r="5" spans="1:33" s="963" customFormat="1" ht="15">
      <c r="A5" s="960" t="s">
        <v>2465</v>
      </c>
      <c r="B5" s="961" t="s">
        <v>2466</v>
      </c>
      <c r="C5" s="2554" t="s">
        <v>3051</v>
      </c>
      <c r="D5" s="2554" t="s">
        <v>1378</v>
      </c>
      <c r="E5" s="2554"/>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2467</v>
      </c>
      <c r="C6" s="965">
        <f>'比较法-住宅'!B3</f>
        <v>9424</v>
      </c>
      <c r="D6" s="965">
        <f ca="1">收益法!B3</f>
        <v>16587</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39" t="s">
        <v>2469</v>
      </c>
      <c r="C7" s="321">
        <f>SUMIF('数据-汇总表'!$C19:$C33,假设开发法!C5,'数据-汇总表'!$E19:$E33)</f>
        <v>11239.412</v>
      </c>
      <c r="D7" s="321">
        <f>SUMIF('数据-汇总表'!$C19:$C33,假设开发法!D5,'数据-汇总表'!$E19:$E33)</f>
        <v>1899.73</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2470</v>
      </c>
      <c r="B8" s="177" t="s">
        <v>2471</v>
      </c>
      <c r="C8" s="1000">
        <f>'比较法-住宅'!B2</f>
        <v>10592</v>
      </c>
      <c r="D8" s="1000">
        <f ca="1">收益法!B2</f>
        <v>3151</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1335</v>
      </c>
      <c r="B11" s="975" t="s">
        <v>2479</v>
      </c>
      <c r="C11" s="323">
        <f ca="1">IF(C1="",'数据-取费表'!P16,INDIRECT("'数据-取费表'!p"&amp;$K$1)+INDIRECT("'数据-取费表'!ar"&amp;$K$1))</f>
        <v>2215</v>
      </c>
      <c r="D11" s="976"/>
      <c r="E11" s="375"/>
      <c r="F11" s="977">
        <f ca="1">1-IF('数据-取费表'!B24=0,1,IF(C1="",'数据-取费表'!N16,INDIRECT("'数据-取费表'!n"&amp;$K$1)))</f>
        <v>0.95</v>
      </c>
      <c r="G11" s="8"/>
      <c r="H11" s="971"/>
      <c r="I11" s="971"/>
      <c r="J11" s="971"/>
      <c r="K11" s="972"/>
    </row>
    <row r="12" spans="1:33" s="978" customFormat="1" ht="13.5" customHeight="1">
      <c r="A12" s="974" t="s">
        <v>1336</v>
      </c>
      <c r="B12" s="975" t="s">
        <v>2480</v>
      </c>
      <c r="C12" s="24">
        <f ca="1">ROUND(C11*F12,0)</f>
        <v>66</v>
      </c>
      <c r="D12" s="976"/>
      <c r="E12" s="375"/>
      <c r="F12" s="979">
        <f>'数据-取费表'!B33</f>
        <v>0.03</v>
      </c>
      <c r="G12" s="8" t="s">
        <v>2481</v>
      </c>
      <c r="H12" s="971"/>
      <c r="I12" s="971"/>
      <c r="J12" s="971"/>
      <c r="K12" s="972"/>
    </row>
    <row r="13" spans="1:33" s="978" customFormat="1" ht="13.5" customHeight="1">
      <c r="A13" s="974" t="s">
        <v>1337</v>
      </c>
      <c r="B13" s="975" t="s">
        <v>2482</v>
      </c>
      <c r="C13" s="24">
        <f ca="1">ROUND(IF(C1="",SUMIF('数据-取费表'!C:C,"住宅",'数据-取费表'!P:P)*F13,IF(INDIRECT("'数据-取费表'!c"&amp;$K$1)="住宅",INDIRECT("'数据-取费表'!P"&amp;$K$1)*F13,0)),0)</f>
        <v>85</v>
      </c>
      <c r="D13" s="1036"/>
      <c r="E13" s="375"/>
      <c r="F13" s="979">
        <f>'数据-取费表'!B34</f>
        <v>0.05</v>
      </c>
      <c r="G13" s="8" t="s">
        <v>2483</v>
      </c>
      <c r="H13" s="971"/>
      <c r="I13" s="971"/>
      <c r="J13" s="971"/>
      <c r="K13" s="972"/>
    </row>
    <row r="14" spans="1:33" s="980" customFormat="1" ht="13.5" customHeight="1">
      <c r="A14" s="974" t="s">
        <v>1338</v>
      </c>
      <c r="B14" s="975" t="s">
        <v>2484</v>
      </c>
      <c r="C14" s="24">
        <f ca="1">ROUND(D14*E14*F11/10000,0)</f>
        <v>205</v>
      </c>
      <c r="D14" s="1036">
        <f ca="1">IF(C1="",'数据-汇总表'!E3,INDIRECT("'数据-取费表'!K"&amp;$K$1)+INDIRECT("'数据-取费表'!S"&amp;$K$1))</f>
        <v>14410.755000000001</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2486</v>
      </c>
      <c r="C15" s="986">
        <f ca="1">ROUND(C11*F15,0)</f>
        <v>33</v>
      </c>
      <c r="D15" s="981"/>
      <c r="E15" s="986"/>
      <c r="F15" s="987">
        <f>'数据-取费表'!B36</f>
        <v>1.4999999999999999E-2</v>
      </c>
      <c r="G15" s="139"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2604</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14410.755000000001</v>
      </c>
      <c r="E17" s="24">
        <f>'数据-取费表'!B32</f>
        <v>0</v>
      </c>
      <c r="F17" s="981"/>
      <c r="G17" s="139" t="s">
        <v>2490</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2491</v>
      </c>
      <c r="C18" s="24">
        <f ca="1">C19+C20-IF(C1="",'数据-取费表'!B29,IF(G18="已全部缴纳",C19+C20,H18))</f>
        <v>0</v>
      </c>
      <c r="D18" s="1036"/>
      <c r="E18" s="24"/>
      <c r="F18" s="979"/>
      <c r="G18" s="2556"/>
      <c r="H18" s="1581"/>
      <c r="I18" s="2557"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11239.412</v>
      </c>
      <c r="E19" s="24">
        <f>'数据-取费表'!B27</f>
        <v>0</v>
      </c>
      <c r="F19" s="979"/>
      <c r="G19" s="15"/>
      <c r="H19" s="1583"/>
      <c r="I19" s="984"/>
      <c r="J19" s="984"/>
      <c r="K19" s="985"/>
    </row>
    <row r="20" spans="1:33" s="978" customFormat="1" ht="13.5" customHeight="1">
      <c r="A20" s="974" t="s">
        <v>806</v>
      </c>
      <c r="B20" s="975" t="s">
        <v>2494</v>
      </c>
      <c r="C20" s="24">
        <f ca="1">ROUND(D20*E20/10000,0)</f>
        <v>0</v>
      </c>
      <c r="D20" s="1036">
        <f ca="1">IF(C1="",'数据-汇总表'!E6,IF(INDIRECT("'数据-取费表'!c"&amp;$K$1)="住宅",INDIRECT("'数据-取费表'!s"&amp;$K$1),INDIRECT("'数据-取费表'!k"&amp;$K$1)+INDIRECT("'数据-取费表'!s"&amp;$K$1)))</f>
        <v>3171.3430000000008</v>
      </c>
      <c r="E20" s="24">
        <f>'数据-取费表'!B28</f>
        <v>0</v>
      </c>
      <c r="F20" s="979"/>
      <c r="G20" s="15"/>
      <c r="H20" s="984"/>
      <c r="I20" s="984"/>
      <c r="J20" s="984"/>
      <c r="K20" s="985"/>
    </row>
    <row r="21" spans="1:33" s="978" customFormat="1" ht="13.5" customHeight="1">
      <c r="A21" s="964" t="s">
        <v>802</v>
      </c>
      <c r="B21" s="988" t="s">
        <v>2495</v>
      </c>
      <c r="C21" s="989">
        <f ca="1">C16+C17+C18</f>
        <v>2604</v>
      </c>
      <c r="D21" s="990"/>
      <c r="E21" s="325"/>
      <c r="F21" s="325"/>
      <c r="G21" s="139" t="s">
        <v>2496</v>
      </c>
      <c r="H21" s="982"/>
      <c r="I21" s="982"/>
      <c r="J21" s="982"/>
      <c r="K21" s="983"/>
    </row>
    <row r="22" spans="1:33" s="978" customFormat="1" ht="13.5" customHeight="1">
      <c r="A22" s="964" t="s">
        <v>2468</v>
      </c>
      <c r="B22" s="988" t="s">
        <v>2497</v>
      </c>
      <c r="C22" s="989">
        <f ca="1">ROUND(C21*F22,0)</f>
        <v>52</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261</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2.8899999999999999E-2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89</v>
      </c>
      <c r="D25" s="324">
        <f ca="1">C26</f>
        <v>6.4000000000000001E-2</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6.4000000000000001E-2</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89</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2508</v>
      </c>
      <c r="B28" s="2559" t="s">
        <v>2509</v>
      </c>
      <c r="C28" s="331">
        <f ca="1">C30</f>
        <v>963</v>
      </c>
      <c r="D28" s="324">
        <f ca="1">C29</f>
        <v>0.29430000000000001</v>
      </c>
      <c r="E28" s="326" t="s">
        <v>15</v>
      </c>
      <c r="F28" s="332">
        <f ca="1">IF(C1="",'数据-取费表'!Q16,INDIRECT("'数据-取费表'!q"&amp;$K$1))</f>
        <v>0.33</v>
      </c>
      <c r="G28" s="992"/>
      <c r="H28" s="993"/>
      <c r="I28" s="993"/>
      <c r="J28" s="993"/>
      <c r="K28" s="994"/>
    </row>
    <row r="29" spans="1:33" s="335" customFormat="1" ht="13.5" customHeight="1">
      <c r="A29" s="974" t="s">
        <v>803</v>
      </c>
      <c r="B29" s="997" t="s">
        <v>2510</v>
      </c>
      <c r="C29" s="328">
        <f ca="1">ROUND((1+C24)*F28*'数据-取费表'!B24/'数据-取费表'!B20,4)</f>
        <v>0.29430000000000001</v>
      </c>
      <c r="D29" s="328"/>
      <c r="E29" s="329"/>
      <c r="F29" s="334"/>
      <c r="G29" s="139" t="s">
        <v>2511</v>
      </c>
      <c r="H29" s="982"/>
      <c r="I29" s="982"/>
      <c r="J29" s="982"/>
      <c r="K29" s="983"/>
    </row>
    <row r="30" spans="1:33" s="335" customFormat="1" ht="13.5" customHeight="1">
      <c r="A30" s="974" t="s">
        <v>804</v>
      </c>
      <c r="B30" s="997" t="s">
        <v>2512</v>
      </c>
      <c r="C30" s="336">
        <f ca="1">ROUND((C21+C22+C23)*F28,0)</f>
        <v>963</v>
      </c>
      <c r="D30" s="328"/>
      <c r="E30" s="329"/>
      <c r="F30" s="334"/>
      <c r="G30" s="139"/>
      <c r="H30" s="982"/>
      <c r="I30" s="982"/>
      <c r="J30" s="982"/>
      <c r="K30" s="983"/>
    </row>
    <row r="31" spans="1:33" s="978" customFormat="1" ht="13.5" customHeight="1" thickBot="1">
      <c r="A31" s="2560" t="s">
        <v>2513</v>
      </c>
      <c r="B31" s="1008" t="s">
        <v>2514</v>
      </c>
      <c r="C31" s="1009">
        <f ca="1">ROUND(C4*F31/(1+'数据-取费表'!C42),0)</f>
        <v>802</v>
      </c>
      <c r="D31" s="1010"/>
      <c r="E31" s="1011"/>
      <c r="F31" s="1012">
        <f>'数据-取费表'!B41</f>
        <v>6.1600000000000002E-2</v>
      </c>
      <c r="G31" s="1013" t="s">
        <v>2515</v>
      </c>
      <c r="H31" s="1014"/>
      <c r="I31" s="1014"/>
      <c r="J31" s="1014"/>
      <c r="K31" s="1015"/>
    </row>
    <row r="32" spans="1:33" s="973" customFormat="1" ht="13.5" customHeight="1" thickBot="1">
      <c r="A32" s="1003" t="s">
        <v>2516</v>
      </c>
      <c r="B32" s="1004"/>
      <c r="C32" s="1005">
        <f ca="1">ROUND((C4-C21-C22-C23-C25-C28-C31)/(1+C24+D25+D28),0)</f>
        <v>6468</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B32" sqref="B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2" t="s">
        <v>2528</v>
      </c>
      <c r="C1" s="1638" t="s">
        <v>2529</v>
      </c>
      <c r="D1" s="1625" t="s">
        <v>3051</v>
      </c>
      <c r="E1" s="2583"/>
      <c r="F1" s="2584" t="s">
        <v>2530</v>
      </c>
      <c r="G1" s="1635" t="s">
        <v>2531</v>
      </c>
      <c r="H1" s="1634"/>
      <c r="I1" s="1634"/>
      <c r="J1" s="1634"/>
      <c r="K1" s="1636"/>
      <c r="L1" s="1637"/>
      <c r="M1" s="1638"/>
      <c r="N1" s="1638"/>
      <c r="O1" s="1638"/>
      <c r="P1" s="2585"/>
      <c r="Q1" s="1624"/>
      <c r="R1" s="1624"/>
      <c r="S1" s="1624"/>
      <c r="T1" s="1624"/>
      <c r="U1" s="1624"/>
      <c r="V1" s="1624"/>
      <c r="W1" s="1624"/>
      <c r="X1" s="1624"/>
      <c r="Y1" s="1624"/>
      <c r="Z1" s="1624"/>
      <c r="AA1" s="1624"/>
      <c r="AB1" s="1624"/>
      <c r="AC1" s="1632"/>
    </row>
    <row r="2" spans="1:29" s="393" customFormat="1" ht="28.5" customHeight="1" thickTop="1">
      <c r="A2" s="1621" t="s">
        <v>1395</v>
      </c>
      <c r="B2" s="1421">
        <f>IF(C2="——",ROUND(C49*D3/10000,0),ROUND(C49*D3/10000,0)-D2)</f>
        <v>10592</v>
      </c>
      <c r="C2" s="2586" t="s">
        <v>70</v>
      </c>
      <c r="D2" s="1368" t="e">
        <f ca="1">SUMIF(INDIRECT("'"&amp;F2&amp;"'"&amp;"!A:A"),"承租人权益价值",INDIRECT("'"&amp;F2&amp;"'"&amp;"!c:c"))</f>
        <v>#REF!</v>
      </c>
      <c r="E2" s="2587" t="s">
        <v>2532</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1396</v>
      </c>
      <c r="B3" s="399">
        <f>IF(C2="——",C49,ROUND(B2*10000/D3,0))</f>
        <v>9424</v>
      </c>
      <c r="C3" s="400" t="s">
        <v>2533</v>
      </c>
      <c r="D3" s="399">
        <f>IF(D1="",'数据-汇总表'!E3,SUMIF('数据-汇总表'!$C19:$C33,D1,'数据-汇总表'!$E19:$E33))</f>
        <v>11239.412</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2534</v>
      </c>
      <c r="B4" s="402"/>
      <c r="C4" s="3212" t="s">
        <v>2535</v>
      </c>
      <c r="D4" s="3213"/>
      <c r="E4" s="3214" t="s">
        <v>2536</v>
      </c>
      <c r="F4" s="3215"/>
      <c r="G4" s="3212" t="s">
        <v>2537</v>
      </c>
      <c r="H4" s="3213"/>
      <c r="I4" s="3212" t="s">
        <v>2538</v>
      </c>
      <c r="J4" s="3213"/>
      <c r="K4" s="2596" t="s">
        <v>2539</v>
      </c>
      <c r="L4" s="1133"/>
      <c r="M4" s="1134"/>
      <c r="N4" s="1134"/>
      <c r="O4" s="1134"/>
      <c r="P4" s="3216" t="s">
        <v>2540</v>
      </c>
      <c r="Q4" s="3217"/>
      <c r="R4" s="3197" t="s">
        <v>2536</v>
      </c>
      <c r="S4" s="3198"/>
      <c r="T4" s="3197" t="s">
        <v>2537</v>
      </c>
      <c r="U4" s="3198"/>
      <c r="V4" s="3224" t="s">
        <v>2538</v>
      </c>
      <c r="W4" s="3224"/>
      <c r="X4" s="1817"/>
      <c r="Y4" s="3197" t="s">
        <v>2540</v>
      </c>
      <c r="Z4" s="3198"/>
      <c r="AA4" s="3192" t="s">
        <v>2536</v>
      </c>
      <c r="AB4" s="3192" t="s">
        <v>2537</v>
      </c>
      <c r="AC4" s="3192" t="s">
        <v>2538</v>
      </c>
    </row>
    <row r="5" spans="1:29" ht="15">
      <c r="A5" s="404"/>
      <c r="B5" s="405"/>
      <c r="C5" s="3207" t="s">
        <v>3143</v>
      </c>
      <c r="D5" s="3204"/>
      <c r="E5" s="3201" t="s">
        <v>3144</v>
      </c>
      <c r="F5" s="3202"/>
      <c r="G5" s="3207" t="s">
        <v>3158</v>
      </c>
      <c r="H5" s="3204"/>
      <c r="I5" s="3207" t="s">
        <v>3159</v>
      </c>
      <c r="J5" s="3204"/>
      <c r="K5" s="2597"/>
      <c r="L5" s="1133"/>
      <c r="M5" s="1134"/>
      <c r="N5" s="1134"/>
      <c r="O5" s="1134"/>
      <c r="P5" s="3218"/>
      <c r="Q5" s="3219"/>
      <c r="R5" s="3199"/>
      <c r="S5" s="3200"/>
      <c r="T5" s="3199"/>
      <c r="U5" s="3200"/>
      <c r="V5" s="3224"/>
      <c r="W5" s="3224"/>
      <c r="X5" s="1817"/>
      <c r="Y5" s="3199"/>
      <c r="Z5" s="3200"/>
      <c r="AA5" s="3193"/>
      <c r="AB5" s="3193"/>
      <c r="AC5" s="3193"/>
    </row>
    <row r="6" spans="1:29" ht="15.75" thickBot="1">
      <c r="A6" s="406"/>
      <c r="B6" s="407"/>
      <c r="C6" s="3237" t="s">
        <v>2545</v>
      </c>
      <c r="D6" s="3206"/>
      <c r="E6" s="3208" t="s">
        <v>3162</v>
      </c>
      <c r="F6" s="3209"/>
      <c r="G6" s="3210" t="s">
        <v>3161</v>
      </c>
      <c r="H6" s="3206"/>
      <c r="I6" s="3210" t="s">
        <v>3160</v>
      </c>
      <c r="J6" s="3206"/>
      <c r="K6" s="2597" t="s">
        <v>2546</v>
      </c>
      <c r="L6" s="1133"/>
      <c r="M6" s="1134"/>
      <c r="N6" s="1134"/>
      <c r="O6" s="1134"/>
      <c r="P6" s="3220"/>
      <c r="Q6" s="3221"/>
      <c r="R6" s="3199"/>
      <c r="S6" s="3200"/>
      <c r="T6" s="3222"/>
      <c r="U6" s="3223"/>
      <c r="V6" s="3224"/>
      <c r="W6" s="3224"/>
      <c r="X6" s="1817"/>
      <c r="Y6" s="3222"/>
      <c r="Z6" s="3223"/>
      <c r="AA6" s="3194"/>
      <c r="AB6" s="3194"/>
      <c r="AC6" s="3194"/>
    </row>
    <row r="7" spans="1:29" s="116" customFormat="1" ht="15.75" thickBot="1">
      <c r="A7" s="408" t="s">
        <v>2547</v>
      </c>
      <c r="B7" s="409"/>
      <c r="C7" s="410">
        <f>'数据-取费表'!B2</f>
        <v>43049</v>
      </c>
      <c r="D7" s="411">
        <v>100</v>
      </c>
      <c r="E7" s="412">
        <f>C7</f>
        <v>43049</v>
      </c>
      <c r="F7" s="413">
        <f>SUMIF(58:58,YEAR(E7)&amp;"-"&amp;MONTH(E7),59:59)</f>
        <v>100</v>
      </c>
      <c r="G7" s="412">
        <f>C7</f>
        <v>43049</v>
      </c>
      <c r="H7" s="411">
        <f>SUMIF(58:58,YEAR(G7)&amp;"-"&amp;MONTH(G7),59:59)</f>
        <v>100</v>
      </c>
      <c r="I7" s="412">
        <f>C7</f>
        <v>43049</v>
      </c>
      <c r="J7" s="411">
        <f>SUMIF(58:58,YEAR(I7)&amp;"-"&amp;MONTH(I7),59:59)</f>
        <v>100</v>
      </c>
      <c r="K7" s="2598"/>
      <c r="L7" s="1135"/>
      <c r="M7" s="1136"/>
      <c r="N7" s="1136"/>
      <c r="O7" s="1136"/>
      <c r="P7" s="3195" t="s">
        <v>2548</v>
      </c>
      <c r="Q7" s="3225"/>
      <c r="R7" s="770" t="s">
        <v>23</v>
      </c>
      <c r="S7" s="771">
        <f t="shared" ref="S7:S15" si="0">F7</f>
        <v>100</v>
      </c>
      <c r="T7" s="770" t="s">
        <v>23</v>
      </c>
      <c r="U7" s="771">
        <f t="shared" ref="U7:U15" si="1">H7</f>
        <v>100</v>
      </c>
      <c r="V7" s="770" t="s">
        <v>23</v>
      </c>
      <c r="W7" s="771">
        <f t="shared" ref="W7:W15" si="2">J7</f>
        <v>100</v>
      </c>
      <c r="X7" s="772"/>
      <c r="Y7" s="3195" t="s">
        <v>2548</v>
      </c>
      <c r="Z7" s="3196"/>
      <c r="AA7" s="773">
        <f>D7/F7</f>
        <v>1</v>
      </c>
      <c r="AB7" s="773">
        <f>D7/H7</f>
        <v>1</v>
      </c>
      <c r="AC7" s="773">
        <f>D7/J7</f>
        <v>1</v>
      </c>
    </row>
    <row r="8" spans="1:29" s="116" customFormat="1" ht="15.75" thickBot="1">
      <c r="A8" s="408" t="s">
        <v>2549</v>
      </c>
      <c r="B8" s="409"/>
      <c r="C8" s="414" t="s">
        <v>2550</v>
      </c>
      <c r="D8" s="411">
        <v>100</v>
      </c>
      <c r="E8" s="2599" t="s">
        <v>3106</v>
      </c>
      <c r="F8" s="413">
        <f>SUMIF(61:61,E8,62:62)-SUMIF(61:61,C8,62:62)+100</f>
        <v>100</v>
      </c>
      <c r="G8" s="414" t="s">
        <v>3106</v>
      </c>
      <c r="H8" s="411">
        <f>SUMIF(61:61,G8,62:62)-SUMIF(61:61,C8,62:62)+100</f>
        <v>100</v>
      </c>
      <c r="I8" s="2599" t="s">
        <v>3106</v>
      </c>
      <c r="J8" s="411">
        <f>SUMIF(61:61,I8,62:62)-SUMIF(61:61,C8,62:62)+100</f>
        <v>100</v>
      </c>
      <c r="K8" s="2598"/>
      <c r="L8" s="1135"/>
      <c r="M8" s="1136"/>
      <c r="N8" s="1136"/>
      <c r="O8" s="1136"/>
      <c r="P8" s="3195" t="s">
        <v>2551</v>
      </c>
      <c r="Q8" s="3196"/>
      <c r="R8" s="770" t="s">
        <v>23</v>
      </c>
      <c r="S8" s="771">
        <f t="shared" si="0"/>
        <v>100</v>
      </c>
      <c r="T8" s="770" t="s">
        <v>23</v>
      </c>
      <c r="U8" s="771">
        <f t="shared" si="1"/>
        <v>100</v>
      </c>
      <c r="V8" s="770" t="s">
        <v>23</v>
      </c>
      <c r="W8" s="771">
        <f t="shared" si="2"/>
        <v>100</v>
      </c>
      <c r="X8" s="772"/>
      <c r="Y8" s="3195" t="s">
        <v>2551</v>
      </c>
      <c r="Z8" s="3196"/>
      <c r="AA8" s="773">
        <f t="shared" ref="AA8:AA19" si="3">D8/F8</f>
        <v>1</v>
      </c>
      <c r="AB8" s="773">
        <f t="shared" ref="AB8:AB19" si="4">D8/H8</f>
        <v>1</v>
      </c>
      <c r="AC8" s="773">
        <f t="shared" ref="AC8:AC19" si="5">D8/J8</f>
        <v>1</v>
      </c>
    </row>
    <row r="9" spans="1:29" s="116" customFormat="1">
      <c r="A9" s="415" t="s">
        <v>2552</v>
      </c>
      <c r="B9" s="71" t="s">
        <v>2553</v>
      </c>
      <c r="C9" s="2947" t="s">
        <v>3145</v>
      </c>
      <c r="D9" s="134">
        <v>100</v>
      </c>
      <c r="E9" s="417" t="s">
        <v>3051</v>
      </c>
      <c r="F9" s="418">
        <f>SUMIF(63:63,E9,64:64)-SUMIF(63:63,C9,64:64)+100</f>
        <v>100</v>
      </c>
      <c r="G9" s="419" t="s">
        <v>3051</v>
      </c>
      <c r="H9" s="134">
        <f>SUMIF(63:63,G9,64:64)-SUMIF(63:63,C9,64:64)+100</f>
        <v>100</v>
      </c>
      <c r="I9" s="419" t="s">
        <v>3051</v>
      </c>
      <c r="J9" s="134">
        <f>SUMIF(63:63,I9,64:64)-SUMIF(63:63,C9,64:64)+100</f>
        <v>100</v>
      </c>
      <c r="K9" s="2598"/>
      <c r="L9" s="1135"/>
      <c r="M9" s="1136"/>
      <c r="N9" s="1136"/>
      <c r="O9" s="1136"/>
      <c r="P9" s="3235" t="s">
        <v>2554</v>
      </c>
      <c r="Q9" s="1799"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23" t="s">
        <v>3146</v>
      </c>
      <c r="D10" s="135">
        <v>100</v>
      </c>
      <c r="E10" s="424" t="s">
        <v>3146</v>
      </c>
      <c r="F10" s="425">
        <f>SUMIF(65:65,E10,66:66)-SUMIF(65:65,C10,66:66)+100</f>
        <v>100</v>
      </c>
      <c r="G10" s="423" t="s">
        <v>3146</v>
      </c>
      <c r="H10" s="135">
        <f>SUMIF(65:65,G10,66:66)-SUMIF(65:65,C10,66:66)+100</f>
        <v>100</v>
      </c>
      <c r="I10" s="423" t="s">
        <v>3146</v>
      </c>
      <c r="J10" s="135">
        <f>SUMIF(65:65,I10,66:66)-SUMIF(65:65,C10,66:66)+100</f>
        <v>100</v>
      </c>
      <c r="K10" s="426"/>
      <c r="L10" s="1138"/>
      <c r="M10" s="1139"/>
      <c r="N10" s="1139"/>
      <c r="O10" s="1139"/>
      <c r="P10" s="3235"/>
      <c r="Q10" s="1799"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75" thickBot="1">
      <c r="A11" s="428"/>
      <c r="B11" s="422" t="s">
        <v>2557</v>
      </c>
      <c r="C11" s="429">
        <f>'数据-汇总表'!I6</f>
        <v>2.2999999999999998</v>
      </c>
      <c r="D11" s="135">
        <v>100</v>
      </c>
      <c r="E11" s="430">
        <v>1.1000000000000001</v>
      </c>
      <c r="F11" s="425">
        <f>LOOKUP(E11,68:68,69:69)-LOOKUP(C11,68:68,69:69)+100</f>
        <v>101</v>
      </c>
      <c r="G11" s="429">
        <v>2.5</v>
      </c>
      <c r="H11" s="135">
        <f>LOOKUP(G11,68:68,69:69)-LOOKUP(C11,68:68,69:69)+100</f>
        <v>100</v>
      </c>
      <c r="I11" s="429">
        <v>2.5</v>
      </c>
      <c r="J11" s="135">
        <f>LOOKUP(I11,68:68,69:69)-LOOKUP(C11,68:68,69:69)+100</f>
        <v>100</v>
      </c>
      <c r="K11" s="426">
        <v>1</v>
      </c>
      <c r="L11" s="1141"/>
      <c r="M11" s="1134"/>
      <c r="N11" s="1134"/>
      <c r="O11" s="1134"/>
      <c r="P11" s="3235"/>
      <c r="Q11" s="1799" t="str">
        <f t="shared" si="6"/>
        <v>容积率</v>
      </c>
      <c r="R11" s="770" t="s">
        <v>21</v>
      </c>
      <c r="S11" s="771">
        <f t="shared" si="0"/>
        <v>101</v>
      </c>
      <c r="T11" s="770" t="s">
        <v>21</v>
      </c>
      <c r="U11" s="771">
        <f t="shared" si="1"/>
        <v>100</v>
      </c>
      <c r="V11" s="770" t="s">
        <v>21</v>
      </c>
      <c r="W11" s="771">
        <f t="shared" si="2"/>
        <v>100</v>
      </c>
      <c r="X11" s="772"/>
      <c r="Y11" s="3069"/>
      <c r="Z11" s="55" t="str">
        <f t="shared" si="7"/>
        <v>容积率</v>
      </c>
      <c r="AA11" s="773">
        <f t="shared" si="3"/>
        <v>0.99009900990099009</v>
      </c>
      <c r="AB11" s="773">
        <f t="shared" si="4"/>
        <v>1</v>
      </c>
      <c r="AC11" s="773">
        <f t="shared" si="5"/>
        <v>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5"/>
      <c r="M12" s="1136"/>
      <c r="N12" s="1136"/>
      <c r="O12" s="1136"/>
      <c r="P12" s="3235"/>
      <c r="Q12" s="1799">
        <f t="shared" si="6"/>
        <v>111</v>
      </c>
      <c r="R12" s="770" t="s">
        <v>21</v>
      </c>
      <c r="S12" s="771">
        <f t="shared" si="0"/>
        <v>100</v>
      </c>
      <c r="T12" s="770" t="s">
        <v>21</v>
      </c>
      <c r="U12" s="771">
        <f t="shared" si="1"/>
        <v>100</v>
      </c>
      <c r="V12" s="770" t="s">
        <v>21</v>
      </c>
      <c r="W12" s="771">
        <f t="shared" si="2"/>
        <v>100</v>
      </c>
      <c r="X12" s="772"/>
      <c r="Y12" s="3069"/>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35"/>
      <c r="Q13" s="1799">
        <f t="shared" si="6"/>
        <v>111</v>
      </c>
      <c r="R13" s="770" t="s">
        <v>21</v>
      </c>
      <c r="S13" s="771">
        <f t="shared" si="0"/>
        <v>100</v>
      </c>
      <c r="T13" s="770" t="s">
        <v>21</v>
      </c>
      <c r="U13" s="771">
        <f t="shared" si="1"/>
        <v>100</v>
      </c>
      <c r="V13" s="770" t="s">
        <v>21</v>
      </c>
      <c r="W13" s="771">
        <f t="shared" si="2"/>
        <v>100</v>
      </c>
      <c r="X13" s="772"/>
      <c r="Y13" s="3069"/>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35"/>
      <c r="Q14" s="1799">
        <f t="shared" si="6"/>
        <v>111</v>
      </c>
      <c r="R14" s="770" t="s">
        <v>21</v>
      </c>
      <c r="S14" s="771">
        <f t="shared" si="0"/>
        <v>100</v>
      </c>
      <c r="T14" s="770" t="s">
        <v>21</v>
      </c>
      <c r="U14" s="771">
        <f t="shared" si="1"/>
        <v>100</v>
      </c>
      <c r="V14" s="770" t="s">
        <v>21</v>
      </c>
      <c r="W14" s="771">
        <f t="shared" si="2"/>
        <v>100</v>
      </c>
      <c r="X14" s="772"/>
      <c r="Y14" s="3069"/>
      <c r="Z14" s="55">
        <f t="shared" si="7"/>
        <v>111</v>
      </c>
      <c r="AA14" s="773">
        <f t="shared" si="3"/>
        <v>1</v>
      </c>
      <c r="AB14" s="773">
        <f t="shared" si="4"/>
        <v>1</v>
      </c>
      <c r="AC14" s="773">
        <f t="shared" si="5"/>
        <v>1</v>
      </c>
    </row>
    <row r="15" spans="1:29" ht="99.75">
      <c r="A15" s="440" t="s">
        <v>2558</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98</v>
      </c>
      <c r="G15" s="442"/>
      <c r="H15" s="441">
        <f>SUMIF(76:76,G16,77:77)-SUMIF(76:76,C16,77:77)+100</f>
        <v>99</v>
      </c>
      <c r="I15" s="442"/>
      <c r="J15" s="441">
        <f>SUMIF(76:76,I16,77:77)-SUMIF(76:76,C16,77:77)+100</f>
        <v>100</v>
      </c>
      <c r="K15" s="445">
        <v>1</v>
      </c>
      <c r="L15" s="1143"/>
      <c r="M15" s="1134"/>
      <c r="N15" s="1134"/>
      <c r="O15" s="1134"/>
      <c r="P15" s="3244" t="s">
        <v>2559</v>
      </c>
      <c r="Q15" s="1814" t="str">
        <f t="shared" si="6"/>
        <v>居住社区成熟度</v>
      </c>
      <c r="R15" s="774" t="s">
        <v>21</v>
      </c>
      <c r="S15" s="775">
        <f t="shared" si="0"/>
        <v>98</v>
      </c>
      <c r="T15" s="774" t="s">
        <v>21</v>
      </c>
      <c r="U15" s="775">
        <f t="shared" si="1"/>
        <v>99</v>
      </c>
      <c r="V15" s="774" t="s">
        <v>21</v>
      </c>
      <c r="W15" s="775">
        <f t="shared" si="2"/>
        <v>100</v>
      </c>
      <c r="X15" s="1817"/>
      <c r="Y15" s="3226" t="s">
        <v>2559</v>
      </c>
      <c r="Z15" s="1818" t="str">
        <f t="shared" si="7"/>
        <v>居住社区成熟度</v>
      </c>
      <c r="AA15" s="1815">
        <f t="shared" si="3"/>
        <v>1.0204081632653061</v>
      </c>
      <c r="AB15" s="1815">
        <f t="shared" si="4"/>
        <v>1.0101010101010102</v>
      </c>
      <c r="AC15" s="1815">
        <f t="shared" si="5"/>
        <v>1</v>
      </c>
    </row>
    <row r="16" spans="1:29" ht="15">
      <c r="A16" s="428"/>
      <c r="B16" s="446"/>
      <c r="C16" s="447" t="s">
        <v>3089</v>
      </c>
      <c r="D16" s="448"/>
      <c r="E16" s="2604" t="s">
        <v>3093</v>
      </c>
      <c r="F16" s="448"/>
      <c r="G16" s="2605" t="s">
        <v>3091</v>
      </c>
      <c r="H16" s="450"/>
      <c r="I16" s="2605" t="s">
        <v>3089</v>
      </c>
      <c r="J16" s="448"/>
      <c r="K16" s="2606"/>
      <c r="L16" s="1143"/>
      <c r="M16" s="1134"/>
      <c r="N16" s="1134"/>
      <c r="O16" s="1134"/>
      <c r="P16" s="3245"/>
      <c r="Q16" s="1814"/>
      <c r="R16" s="774"/>
      <c r="S16" s="775"/>
      <c r="T16" s="774"/>
      <c r="U16" s="775"/>
      <c r="V16" s="774"/>
      <c r="W16" s="775"/>
      <c r="X16" s="1817"/>
      <c r="Y16" s="3227"/>
      <c r="Z16" s="1818"/>
      <c r="AA16" s="1815">
        <v>1</v>
      </c>
      <c r="AB16" s="1815">
        <v>1</v>
      </c>
      <c r="AC16" s="1815">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45"/>
      <c r="Q17" s="1814" t="str">
        <f>B17</f>
        <v>交通便捷度</v>
      </c>
      <c r="R17" s="774" t="s">
        <v>21</v>
      </c>
      <c r="S17" s="775">
        <f>F17</f>
        <v>100</v>
      </c>
      <c r="T17" s="774" t="s">
        <v>21</v>
      </c>
      <c r="U17" s="775">
        <f>H17</f>
        <v>100</v>
      </c>
      <c r="V17" s="774" t="s">
        <v>21</v>
      </c>
      <c r="W17" s="775">
        <f>J17</f>
        <v>100</v>
      </c>
      <c r="X17" s="1817"/>
      <c r="Y17" s="3227"/>
      <c r="Z17" s="1818" t="str">
        <f>Q17</f>
        <v>交通便捷度</v>
      </c>
      <c r="AA17" s="1815">
        <f t="shared" si="3"/>
        <v>1</v>
      </c>
      <c r="AB17" s="1815">
        <f t="shared" si="4"/>
        <v>1</v>
      </c>
      <c r="AC17" s="1815">
        <f t="shared" si="5"/>
        <v>1</v>
      </c>
    </row>
    <row r="18" spans="1:29" ht="15">
      <c r="A18" s="428"/>
      <c r="B18" s="456"/>
      <c r="C18" s="2608" t="s">
        <v>3089</v>
      </c>
      <c r="D18" s="450"/>
      <c r="E18" s="2609" t="s">
        <v>3089</v>
      </c>
      <c r="F18" s="450"/>
      <c r="G18" s="2610" t="s">
        <v>3089</v>
      </c>
      <c r="H18" s="448"/>
      <c r="I18" s="2610" t="s">
        <v>3089</v>
      </c>
      <c r="J18" s="448"/>
      <c r="K18" s="2606"/>
      <c r="L18" s="1143"/>
      <c r="M18" s="1134"/>
      <c r="N18" s="1134"/>
      <c r="O18" s="1134"/>
      <c r="P18" s="3245"/>
      <c r="Q18" s="1814"/>
      <c r="R18" s="774"/>
      <c r="S18" s="775"/>
      <c r="T18" s="774"/>
      <c r="U18" s="775"/>
      <c r="V18" s="774"/>
      <c r="W18" s="775"/>
      <c r="X18" s="1817"/>
      <c r="Y18" s="3227"/>
      <c r="Z18" s="1818"/>
      <c r="AA18" s="1815">
        <v>1</v>
      </c>
      <c r="AB18" s="1815">
        <v>1</v>
      </c>
      <c r="AC18" s="1815">
        <v>1</v>
      </c>
    </row>
    <row r="19" spans="1:29" ht="42.75">
      <c r="A19" s="428"/>
      <c r="B19" s="451" t="s">
        <v>2095</v>
      </c>
      <c r="C19" s="2607" t="str">
        <f>估价对象房地状况!C7</f>
        <v>估价对象所在区域公共配套设施齐备情况</v>
      </c>
      <c r="D19" s="455">
        <v>100</v>
      </c>
      <c r="E19" s="459"/>
      <c r="F19" s="455">
        <f>SUMIF(80:80,E20,81:81)-SUMIF(80:80,C20,81:81)+100</f>
        <v>97</v>
      </c>
      <c r="G19" s="457"/>
      <c r="H19" s="450">
        <f>SUMIF(80:80,G20,81:81)-SUMIF(80:80,C20,81:81)+100</f>
        <v>100</v>
      </c>
      <c r="I19" s="457"/>
      <c r="J19" s="450">
        <f>SUMIF(80:80,I20,81:81)-SUMIF(80:80,C20,81:81)+100</f>
        <v>100</v>
      </c>
      <c r="K19" s="445">
        <v>1</v>
      </c>
      <c r="L19" s="1143"/>
      <c r="M19" s="1134"/>
      <c r="N19" s="1134"/>
      <c r="O19" s="1134"/>
      <c r="P19" s="3245"/>
      <c r="Q19" s="1814" t="str">
        <f>B19</f>
        <v>公共配套设施</v>
      </c>
      <c r="R19" s="774" t="s">
        <v>21</v>
      </c>
      <c r="S19" s="775">
        <f>F19</f>
        <v>97</v>
      </c>
      <c r="T19" s="774" t="s">
        <v>21</v>
      </c>
      <c r="U19" s="775">
        <f>H19</f>
        <v>100</v>
      </c>
      <c r="V19" s="774" t="s">
        <v>21</v>
      </c>
      <c r="W19" s="775">
        <f>J19</f>
        <v>100</v>
      </c>
      <c r="X19" s="1817"/>
      <c r="Y19" s="3227"/>
      <c r="Z19" s="1818" t="str">
        <f>Q19</f>
        <v>公共配套设施</v>
      </c>
      <c r="AA19" s="1815">
        <f t="shared" si="3"/>
        <v>1.0309278350515463</v>
      </c>
      <c r="AB19" s="1815">
        <f t="shared" si="4"/>
        <v>1</v>
      </c>
      <c r="AC19" s="1815">
        <f t="shared" si="5"/>
        <v>1</v>
      </c>
    </row>
    <row r="20" spans="1:29" ht="15">
      <c r="A20" s="428"/>
      <c r="B20" s="456"/>
      <c r="C20" s="447" t="s">
        <v>3089</v>
      </c>
      <c r="D20" s="448"/>
      <c r="E20" s="2604" t="s">
        <v>3095</v>
      </c>
      <c r="F20" s="448"/>
      <c r="G20" s="2605" t="s">
        <v>3089</v>
      </c>
      <c r="H20" s="448"/>
      <c r="I20" s="2605" t="s">
        <v>3089</v>
      </c>
      <c r="J20" s="448"/>
      <c r="K20" s="2606"/>
      <c r="L20" s="1143"/>
      <c r="M20" s="1134"/>
      <c r="N20" s="1134"/>
      <c r="O20" s="1134"/>
      <c r="P20" s="3245"/>
      <c r="Q20" s="1814"/>
      <c r="R20" s="774"/>
      <c r="S20" s="775"/>
      <c r="T20" s="774"/>
      <c r="U20" s="775"/>
      <c r="V20" s="774"/>
      <c r="W20" s="775"/>
      <c r="X20" s="1817"/>
      <c r="Y20" s="3227"/>
      <c r="Z20" s="1818"/>
      <c r="AA20" s="1815">
        <v>1</v>
      </c>
      <c r="AB20" s="1815">
        <v>1</v>
      </c>
      <c r="AC20" s="1815">
        <v>1</v>
      </c>
    </row>
    <row r="21" spans="1:29" ht="28.5">
      <c r="A21" s="428"/>
      <c r="B21" s="1387" t="s">
        <v>2098</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27"/>
      <c r="Z21" s="1818" t="str">
        <f>Q21</f>
        <v>基础设施水平</v>
      </c>
      <c r="AA21" s="1815">
        <f t="shared" ref="AA21" si="8">D21/F21</f>
        <v>1</v>
      </c>
      <c r="AB21" s="1815">
        <f t="shared" ref="AB21" si="9">D21/H21</f>
        <v>1</v>
      </c>
      <c r="AC21" s="1815">
        <f t="shared" ref="AC21" si="10">D21/J21</f>
        <v>1</v>
      </c>
    </row>
    <row r="22" spans="1:29" ht="15">
      <c r="A22" s="428"/>
      <c r="B22" s="1387"/>
      <c r="C22" s="2608" t="s">
        <v>3097</v>
      </c>
      <c r="D22" s="448"/>
      <c r="E22" s="447" t="s">
        <v>3097</v>
      </c>
      <c r="F22" s="448"/>
      <c r="G22" s="2611" t="s">
        <v>3097</v>
      </c>
      <c r="H22" s="448"/>
      <c r="I22" s="447" t="s">
        <v>3097</v>
      </c>
      <c r="J22" s="448"/>
      <c r="K22" s="2612"/>
      <c r="L22" s="1143"/>
      <c r="M22" s="1134"/>
      <c r="N22" s="1134"/>
      <c r="O22" s="1134"/>
      <c r="P22" s="3245"/>
      <c r="Q22" s="1814"/>
      <c r="R22" s="774"/>
      <c r="S22" s="775"/>
      <c r="T22" s="774"/>
      <c r="U22" s="775"/>
      <c r="V22" s="774"/>
      <c r="W22" s="775"/>
      <c r="X22" s="1817"/>
      <c r="Y22" s="3227"/>
      <c r="Z22" s="1818"/>
      <c r="AA22" s="1815">
        <v>1</v>
      </c>
      <c r="AB22" s="1815">
        <v>1</v>
      </c>
      <c r="AC22" s="1815">
        <v>1</v>
      </c>
    </row>
    <row r="23" spans="1:29" ht="57">
      <c r="A23" s="428"/>
      <c r="B23" s="451" t="s">
        <v>2102</v>
      </c>
      <c r="C23" s="2607" t="str">
        <f>估价对象房地状况!C9</f>
        <v>区域自然环境：；人文环境；综合评价环境状况一般</v>
      </c>
      <c r="D23" s="450">
        <v>100</v>
      </c>
      <c r="E23" s="454"/>
      <c r="F23" s="450">
        <f>SUMIF(84:84,E24,85:85)-SUMIF(84:84,C24,85:85)+100</f>
        <v>102</v>
      </c>
      <c r="G23" s="452"/>
      <c r="H23" s="450">
        <f>SUMIF(84:84,G24,85:85)-SUMIF(84:84,C24,85:85)+100</f>
        <v>100</v>
      </c>
      <c r="I23" s="452"/>
      <c r="J23" s="450">
        <f>SUMIF(84:84,I24,85:85)-SUMIF(84:84,C24,85:85)+100</f>
        <v>100</v>
      </c>
      <c r="K23" s="445">
        <v>2</v>
      </c>
      <c r="L23" s="1143"/>
      <c r="M23" s="1134"/>
      <c r="N23" s="1134"/>
      <c r="O23" s="1134"/>
      <c r="P23" s="3245"/>
      <c r="Q23" s="1814" t="str">
        <f>B23</f>
        <v>自然及人文环境</v>
      </c>
      <c r="R23" s="774" t="s">
        <v>21</v>
      </c>
      <c r="S23" s="775">
        <f>F23</f>
        <v>102</v>
      </c>
      <c r="T23" s="774" t="s">
        <v>21</v>
      </c>
      <c r="U23" s="775">
        <f>H23</f>
        <v>100</v>
      </c>
      <c r="V23" s="774" t="s">
        <v>21</v>
      </c>
      <c r="W23" s="775">
        <f>J23</f>
        <v>100</v>
      </c>
      <c r="X23" s="1817"/>
      <c r="Y23" s="3227"/>
      <c r="Z23" s="1818" t="str">
        <f>Q23</f>
        <v>自然及人文环境</v>
      </c>
      <c r="AA23" s="1815">
        <f>D23/F23</f>
        <v>0.98039215686274506</v>
      </c>
      <c r="AB23" s="1815">
        <f>D23/H23</f>
        <v>1</v>
      </c>
      <c r="AC23" s="1815">
        <f>D23/J23</f>
        <v>1</v>
      </c>
    </row>
    <row r="24" spans="1:29" ht="15.75" thickBot="1">
      <c r="A24" s="428"/>
      <c r="B24" s="456"/>
      <c r="C24" s="447" t="s">
        <v>3091</v>
      </c>
      <c r="D24" s="448"/>
      <c r="E24" s="2604" t="s">
        <v>3089</v>
      </c>
      <c r="F24" s="448"/>
      <c r="G24" s="2605" t="s">
        <v>3091</v>
      </c>
      <c r="H24" s="448"/>
      <c r="I24" s="2605" t="s">
        <v>3091</v>
      </c>
      <c r="J24" s="448"/>
      <c r="K24" s="2606"/>
      <c r="L24" s="1143"/>
      <c r="M24" s="1134"/>
      <c r="N24" s="1134"/>
      <c r="O24" s="1134"/>
      <c r="P24" s="3245"/>
      <c r="Q24" s="1814"/>
      <c r="R24" s="774"/>
      <c r="S24" s="775"/>
      <c r="T24" s="774"/>
      <c r="U24" s="775"/>
      <c r="V24" s="774"/>
      <c r="W24" s="775"/>
      <c r="X24" s="1817"/>
      <c r="Y24" s="3227"/>
      <c r="Z24" s="1818"/>
      <c r="AA24" s="1815">
        <v>1</v>
      </c>
      <c r="AB24" s="1815">
        <v>1</v>
      </c>
      <c r="AC24" s="1815">
        <v>1</v>
      </c>
    </row>
    <row r="25" spans="1:29" ht="15" hidden="1">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45"/>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27"/>
      <c r="Z25" s="1818" t="str">
        <f>Q25</f>
        <v>楼层-1</v>
      </c>
      <c r="AA25" s="1815">
        <f t="shared" ref="AA25:AA46" si="15">D25/F25</f>
        <v>1</v>
      </c>
      <c r="AB25" s="1815">
        <f t="shared" ref="AB25:AB46" si="16">D25/H25</f>
        <v>1</v>
      </c>
      <c r="AC25" s="1815">
        <f t="shared" ref="AC25:AC46" si="17">D25/J25</f>
        <v>1</v>
      </c>
    </row>
    <row r="26" spans="1:29" ht="15" hidden="1">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45"/>
      <c r="Q26" s="1814" t="str">
        <f t="shared" si="11"/>
        <v>朝向</v>
      </c>
      <c r="R26" s="774" t="s">
        <v>21</v>
      </c>
      <c r="S26" s="775">
        <f t="shared" si="12"/>
        <v>100</v>
      </c>
      <c r="T26" s="774" t="s">
        <v>21</v>
      </c>
      <c r="U26" s="775">
        <f t="shared" si="13"/>
        <v>100</v>
      </c>
      <c r="V26" s="774" t="s">
        <v>21</v>
      </c>
      <c r="W26" s="775">
        <f t="shared" si="14"/>
        <v>100</v>
      </c>
      <c r="X26" s="1817"/>
      <c r="Y26" s="3227"/>
      <c r="Z26" s="1818" t="str">
        <f>Q26</f>
        <v>朝向</v>
      </c>
      <c r="AA26" s="1815">
        <f t="shared" si="15"/>
        <v>1</v>
      </c>
      <c r="AB26" s="1815">
        <f t="shared" si="16"/>
        <v>1</v>
      </c>
      <c r="AC26" s="1815">
        <f t="shared" si="17"/>
        <v>1</v>
      </c>
    </row>
    <row r="27" spans="1:29" s="116"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45"/>
      <c r="Q27" s="1799">
        <f t="shared" si="11"/>
        <v>111</v>
      </c>
      <c r="R27" s="770" t="s">
        <v>21</v>
      </c>
      <c r="S27" s="771">
        <f t="shared" si="12"/>
        <v>100</v>
      </c>
      <c r="T27" s="770" t="s">
        <v>21</v>
      </c>
      <c r="U27" s="771">
        <f t="shared" si="13"/>
        <v>100</v>
      </c>
      <c r="V27" s="770" t="s">
        <v>21</v>
      </c>
      <c r="W27" s="771">
        <f t="shared" si="14"/>
        <v>100</v>
      </c>
      <c r="X27" s="772"/>
      <c r="Y27" s="3227"/>
      <c r="Z27" s="55">
        <f>Q27</f>
        <v>111</v>
      </c>
      <c r="AA27" s="1815">
        <f t="shared" si="15"/>
        <v>1</v>
      </c>
      <c r="AB27" s="1815">
        <f t="shared" si="16"/>
        <v>1</v>
      </c>
      <c r="AC27" s="1815">
        <f t="shared" si="17"/>
        <v>1</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45"/>
      <c r="Q28" s="1814">
        <f t="shared" si="11"/>
        <v>111</v>
      </c>
      <c r="R28" s="774" t="s">
        <v>21</v>
      </c>
      <c r="S28" s="775">
        <f t="shared" si="12"/>
        <v>100</v>
      </c>
      <c r="T28" s="774" t="s">
        <v>21</v>
      </c>
      <c r="U28" s="775">
        <f t="shared" si="13"/>
        <v>100</v>
      </c>
      <c r="V28" s="774" t="s">
        <v>21</v>
      </c>
      <c r="W28" s="775">
        <f t="shared" si="14"/>
        <v>100</v>
      </c>
      <c r="X28" s="1817"/>
      <c r="Y28" s="3227"/>
      <c r="Z28" s="1818">
        <f t="shared" ref="Z28:Z46" si="18">Q28</f>
        <v>111</v>
      </c>
      <c r="AA28" s="1815">
        <f t="shared" si="15"/>
        <v>1</v>
      </c>
      <c r="AB28" s="1815">
        <f t="shared" si="16"/>
        <v>1</v>
      </c>
      <c r="AC28" s="1815">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45"/>
      <c r="Q29" s="1814">
        <f t="shared" si="11"/>
        <v>111</v>
      </c>
      <c r="R29" s="774" t="s">
        <v>21</v>
      </c>
      <c r="S29" s="775">
        <f t="shared" si="12"/>
        <v>100</v>
      </c>
      <c r="T29" s="774" t="s">
        <v>21</v>
      </c>
      <c r="U29" s="775">
        <f t="shared" si="13"/>
        <v>100</v>
      </c>
      <c r="V29" s="774" t="s">
        <v>21</v>
      </c>
      <c r="W29" s="775">
        <f t="shared" si="14"/>
        <v>100</v>
      </c>
      <c r="X29" s="1817"/>
      <c r="Y29" s="3227"/>
      <c r="Z29" s="1818">
        <f t="shared" si="18"/>
        <v>111</v>
      </c>
      <c r="AA29" s="1815">
        <f t="shared" si="15"/>
        <v>1</v>
      </c>
      <c r="AB29" s="1815">
        <f t="shared" si="16"/>
        <v>1</v>
      </c>
      <c r="AC29" s="1815">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45"/>
      <c r="Q30" s="1814">
        <f t="shared" si="11"/>
        <v>111</v>
      </c>
      <c r="R30" s="774" t="s">
        <v>21</v>
      </c>
      <c r="S30" s="775">
        <f t="shared" si="12"/>
        <v>100</v>
      </c>
      <c r="T30" s="774" t="s">
        <v>21</v>
      </c>
      <c r="U30" s="775">
        <f t="shared" si="13"/>
        <v>100</v>
      </c>
      <c r="V30" s="774" t="s">
        <v>21</v>
      </c>
      <c r="W30" s="775">
        <f t="shared" si="14"/>
        <v>100</v>
      </c>
      <c r="X30" s="1817"/>
      <c r="Y30" s="3227"/>
      <c r="Z30" s="1818">
        <f t="shared" si="18"/>
        <v>111</v>
      </c>
      <c r="AA30" s="1815">
        <f t="shared" si="15"/>
        <v>1</v>
      </c>
      <c r="AB30" s="1815">
        <f t="shared" si="16"/>
        <v>1</v>
      </c>
      <c r="AC30" s="1815">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45"/>
      <c r="Q31" s="1814">
        <f t="shared" si="11"/>
        <v>111</v>
      </c>
      <c r="R31" s="774" t="s">
        <v>21</v>
      </c>
      <c r="S31" s="775">
        <f t="shared" si="12"/>
        <v>100</v>
      </c>
      <c r="T31" s="774" t="s">
        <v>21</v>
      </c>
      <c r="U31" s="775">
        <f t="shared" si="13"/>
        <v>100</v>
      </c>
      <c r="V31" s="774" t="s">
        <v>21</v>
      </c>
      <c r="W31" s="775">
        <f t="shared" si="14"/>
        <v>100</v>
      </c>
      <c r="X31" s="1817"/>
      <c r="Y31" s="3227"/>
      <c r="Z31" s="1818">
        <f t="shared" si="18"/>
        <v>111</v>
      </c>
      <c r="AA31" s="1815">
        <f t="shared" si="15"/>
        <v>1</v>
      </c>
      <c r="AB31" s="1815">
        <f t="shared" si="16"/>
        <v>1</v>
      </c>
      <c r="AC31" s="1815">
        <f t="shared" si="17"/>
        <v>1</v>
      </c>
    </row>
    <row r="32" spans="1:29" ht="15">
      <c r="A32" s="440" t="s">
        <v>2562</v>
      </c>
      <c r="B32" s="71" t="s">
        <v>2563</v>
      </c>
      <c r="C32" s="2617" t="s">
        <v>3154</v>
      </c>
      <c r="D32" s="467">
        <v>100</v>
      </c>
      <c r="E32" s="2618" t="s">
        <v>3154</v>
      </c>
      <c r="F32" s="461">
        <f>SUMIF(100:100,E32,101:101)-SUMIF(100:100,C32,101:101)+100</f>
        <v>100</v>
      </c>
      <c r="G32" s="2617" t="s">
        <v>3154</v>
      </c>
      <c r="H32" s="467">
        <f>SUMIF(100:100,G32,101:101)-SUMIF(100:100,C32,101:101)+100</f>
        <v>100</v>
      </c>
      <c r="I32" s="2618" t="s">
        <v>3154</v>
      </c>
      <c r="J32" s="435">
        <f>SUMIF(100:100,I32,101:101)-SUMIF(100:100,C32,101:101)+100</f>
        <v>100</v>
      </c>
      <c r="K32" s="426">
        <v>5</v>
      </c>
      <c r="L32" s="1143"/>
      <c r="M32" s="1134"/>
      <c r="N32" s="1134"/>
      <c r="O32" s="1134"/>
      <c r="P32" s="3240" t="s">
        <v>2564</v>
      </c>
      <c r="Q32" s="1814" t="str">
        <f t="shared" si="11"/>
        <v>建筑类型</v>
      </c>
      <c r="R32" s="774" t="s">
        <v>21</v>
      </c>
      <c r="S32" s="775">
        <f t="shared" si="12"/>
        <v>100</v>
      </c>
      <c r="T32" s="774" t="s">
        <v>21</v>
      </c>
      <c r="U32" s="775">
        <f t="shared" si="13"/>
        <v>100</v>
      </c>
      <c r="V32" s="774" t="s">
        <v>21</v>
      </c>
      <c r="W32" s="775">
        <f t="shared" si="14"/>
        <v>100</v>
      </c>
      <c r="X32" s="1817"/>
      <c r="Y32" s="3229" t="s">
        <v>2564</v>
      </c>
      <c r="Z32" s="1818" t="str">
        <f t="shared" si="18"/>
        <v>建筑类型</v>
      </c>
      <c r="AA32" s="1815">
        <f t="shared" si="15"/>
        <v>1</v>
      </c>
      <c r="AB32" s="1815">
        <f t="shared" si="16"/>
        <v>1</v>
      </c>
      <c r="AC32" s="1815">
        <f t="shared" si="17"/>
        <v>1</v>
      </c>
    </row>
    <row r="33" spans="1:29" s="471" customFormat="1" ht="15">
      <c r="A33" s="468"/>
      <c r="B33" s="422" t="s">
        <v>2565</v>
      </c>
      <c r="C33" s="469">
        <v>2000000</v>
      </c>
      <c r="D33" s="135">
        <v>100</v>
      </c>
      <c r="E33" s="430">
        <v>394644</v>
      </c>
      <c r="F33" s="425">
        <f>LOOKUP(E33,103:103,104:104)-LOOKUP(C33,103:103,104:104)+100</f>
        <v>98</v>
      </c>
      <c r="G33" s="429">
        <v>200000</v>
      </c>
      <c r="H33" s="135">
        <f>LOOKUP(G33,103:103,104:104)-LOOKUP(C33,103:103,104:104)+100</f>
        <v>97</v>
      </c>
      <c r="I33" s="430">
        <v>211419.15</v>
      </c>
      <c r="J33" s="135">
        <f>LOOKUP(I33,103:103,104:104)-LOOKUP(C33,103:103,104:104)+100</f>
        <v>97</v>
      </c>
      <c r="K33" s="2601"/>
      <c r="L33" s="1141"/>
      <c r="M33" s="1144"/>
      <c r="N33" s="1144"/>
      <c r="O33" s="1144"/>
      <c r="P33" s="3241"/>
      <c r="Q33" s="776" t="str">
        <f t="shared" si="11"/>
        <v>项目建筑规模</v>
      </c>
      <c r="R33" s="777" t="s">
        <v>21</v>
      </c>
      <c r="S33" s="778">
        <f t="shared" si="12"/>
        <v>98</v>
      </c>
      <c r="T33" s="777" t="s">
        <v>21</v>
      </c>
      <c r="U33" s="778">
        <f t="shared" si="13"/>
        <v>97</v>
      </c>
      <c r="V33" s="777" t="s">
        <v>21</v>
      </c>
      <c r="W33" s="778">
        <f t="shared" si="14"/>
        <v>97</v>
      </c>
      <c r="X33" s="779"/>
      <c r="Y33" s="3229"/>
      <c r="Z33" s="780" t="str">
        <f t="shared" si="18"/>
        <v>项目建筑规模</v>
      </c>
      <c r="AA33" s="1815">
        <f t="shared" si="15"/>
        <v>1.0204081632653061</v>
      </c>
      <c r="AB33" s="1815">
        <f t="shared" si="16"/>
        <v>1.0309278350515463</v>
      </c>
      <c r="AC33" s="1815">
        <f t="shared" si="17"/>
        <v>1.0309278350515463</v>
      </c>
    </row>
    <row r="34" spans="1:29" ht="15">
      <c r="A34" s="472"/>
      <c r="B34" s="422" t="s">
        <v>2566</v>
      </c>
      <c r="C34" s="2619" t="s">
        <v>3121</v>
      </c>
      <c r="D34" s="435">
        <v>100</v>
      </c>
      <c r="E34" s="2620" t="s">
        <v>3121</v>
      </c>
      <c r="F34" s="461">
        <f>SUMIF(105:105,E34,106:106)-SUMIF(105:105,C34,106:106)+100</f>
        <v>100</v>
      </c>
      <c r="G34" s="2619" t="s">
        <v>3121</v>
      </c>
      <c r="H34" s="435">
        <f>SUMIF(105:105,G34,106:106)-SUMIF(105:105,C34,106:106)+100</f>
        <v>100</v>
      </c>
      <c r="I34" s="2620" t="s">
        <v>3121</v>
      </c>
      <c r="J34" s="435">
        <f>SUMIF(105:105,I34,106:106)-SUMIF(105:105,C34,106:106)+100</f>
        <v>100</v>
      </c>
      <c r="K34" s="426">
        <v>3</v>
      </c>
      <c r="L34" s="1143"/>
      <c r="M34" s="1134"/>
      <c r="N34" s="1134"/>
      <c r="O34" s="1134"/>
      <c r="P34" s="3241"/>
      <c r="Q34" s="1814" t="str">
        <f t="shared" si="11"/>
        <v>建筑结构</v>
      </c>
      <c r="R34" s="774" t="s">
        <v>21</v>
      </c>
      <c r="S34" s="775">
        <f t="shared" si="12"/>
        <v>100</v>
      </c>
      <c r="T34" s="774" t="s">
        <v>21</v>
      </c>
      <c r="U34" s="775">
        <f t="shared" si="13"/>
        <v>100</v>
      </c>
      <c r="V34" s="774" t="s">
        <v>21</v>
      </c>
      <c r="W34" s="775">
        <f t="shared" si="14"/>
        <v>100</v>
      </c>
      <c r="X34" s="1817"/>
      <c r="Y34" s="3229"/>
      <c r="Z34" s="1818" t="str">
        <f t="shared" si="18"/>
        <v>建筑结构</v>
      </c>
      <c r="AA34" s="1815">
        <f t="shared" si="15"/>
        <v>1</v>
      </c>
      <c r="AB34" s="1815">
        <f t="shared" si="16"/>
        <v>1</v>
      </c>
      <c r="AC34" s="1815">
        <f t="shared" si="17"/>
        <v>1</v>
      </c>
    </row>
    <row r="35" spans="1:29" ht="15">
      <c r="A35" s="472"/>
      <c r="B35" s="422" t="s">
        <v>2567</v>
      </c>
      <c r="C35" s="2613" t="s">
        <v>3131</v>
      </c>
      <c r="D35" s="435">
        <v>100</v>
      </c>
      <c r="E35" s="2614" t="s">
        <v>3129</v>
      </c>
      <c r="F35" s="461">
        <f>SUMIF(107:107,E35,108:108)-SUMIF(107:107,C35,108:108)+100</f>
        <v>103</v>
      </c>
      <c r="G35" s="2613" t="s">
        <v>3131</v>
      </c>
      <c r="H35" s="435">
        <f>SUMIF(107:107,G35,108:108)-SUMIF(107:107,C35,108:108)+100</f>
        <v>100</v>
      </c>
      <c r="I35" s="2614" t="s">
        <v>3131</v>
      </c>
      <c r="J35" s="435">
        <f>SUMIF(107:107,I35,108:108)-SUMIF(107:107,C35,108:108)+100</f>
        <v>100</v>
      </c>
      <c r="K35" s="426">
        <v>3</v>
      </c>
      <c r="L35" s="1143"/>
      <c r="M35" s="1134"/>
      <c r="N35" s="1134"/>
      <c r="O35" s="1134"/>
      <c r="P35" s="3241"/>
      <c r="Q35" s="1814" t="str">
        <f t="shared" si="11"/>
        <v>建筑品质</v>
      </c>
      <c r="R35" s="774" t="s">
        <v>21</v>
      </c>
      <c r="S35" s="775">
        <f t="shared" si="12"/>
        <v>103</v>
      </c>
      <c r="T35" s="774" t="s">
        <v>21</v>
      </c>
      <c r="U35" s="775">
        <f t="shared" si="13"/>
        <v>100</v>
      </c>
      <c r="V35" s="774" t="s">
        <v>21</v>
      </c>
      <c r="W35" s="775">
        <f t="shared" si="14"/>
        <v>100</v>
      </c>
      <c r="X35" s="1817"/>
      <c r="Y35" s="3229"/>
      <c r="Z35" s="1818" t="str">
        <f t="shared" si="18"/>
        <v>建筑品质</v>
      </c>
      <c r="AA35" s="1815">
        <f t="shared" si="15"/>
        <v>0.970873786407767</v>
      </c>
      <c r="AB35" s="1815">
        <f t="shared" si="16"/>
        <v>1</v>
      </c>
      <c r="AC35" s="1815">
        <f t="shared" si="17"/>
        <v>1</v>
      </c>
    </row>
    <row r="36" spans="1:29" ht="15">
      <c r="A36" s="472"/>
      <c r="B36" s="422" t="s">
        <v>2568</v>
      </c>
      <c r="C36" s="2613" t="s">
        <v>3136</v>
      </c>
      <c r="D36" s="435">
        <v>100</v>
      </c>
      <c r="E36" s="2614" t="s">
        <v>3134</v>
      </c>
      <c r="F36" s="461">
        <f>SUMIF(109:109,E36,110:110)-SUMIF(109:109,C36,110:110)+100</f>
        <v>103</v>
      </c>
      <c r="G36" s="2613" t="s">
        <v>3136</v>
      </c>
      <c r="H36" s="435">
        <f>SUMIF(109:109,G36,110:110)-SUMIF(109:109,C36,110:110)+100</f>
        <v>100</v>
      </c>
      <c r="I36" s="2614" t="s">
        <v>3136</v>
      </c>
      <c r="J36" s="435">
        <f>SUMIF(109:109,I36,110:110)-SUMIF(109:109,C36,110:110)+100</f>
        <v>100</v>
      </c>
      <c r="K36" s="426">
        <v>3</v>
      </c>
      <c r="L36" s="1143"/>
      <c r="M36" s="1134"/>
      <c r="N36" s="1134"/>
      <c r="O36" s="1134"/>
      <c r="P36" s="3241"/>
      <c r="Q36" s="1814" t="str">
        <f t="shared" si="11"/>
        <v>公共部分装修</v>
      </c>
      <c r="R36" s="774" t="s">
        <v>21</v>
      </c>
      <c r="S36" s="775">
        <f t="shared" si="12"/>
        <v>103</v>
      </c>
      <c r="T36" s="774" t="s">
        <v>21</v>
      </c>
      <c r="U36" s="775">
        <f t="shared" si="13"/>
        <v>100</v>
      </c>
      <c r="V36" s="774" t="s">
        <v>21</v>
      </c>
      <c r="W36" s="775">
        <f t="shared" si="14"/>
        <v>100</v>
      </c>
      <c r="X36" s="1817"/>
      <c r="Y36" s="3229"/>
      <c r="Z36" s="1818" t="str">
        <f t="shared" si="18"/>
        <v>公共部分装修</v>
      </c>
      <c r="AA36" s="1815">
        <f t="shared" si="15"/>
        <v>0.970873786407767</v>
      </c>
      <c r="AB36" s="1815">
        <f t="shared" si="16"/>
        <v>1</v>
      </c>
      <c r="AC36" s="1815">
        <f t="shared" si="17"/>
        <v>1</v>
      </c>
    </row>
    <row r="37" spans="1:29" s="116" customFormat="1" ht="15">
      <c r="A37" s="473"/>
      <c r="B37" s="422" t="s">
        <v>2569</v>
      </c>
      <c r="C37" s="474">
        <v>1</v>
      </c>
      <c r="D37" s="135">
        <v>100</v>
      </c>
      <c r="E37" s="474">
        <v>1</v>
      </c>
      <c r="F37" s="425">
        <f>LOOKUP(E37,112:112,113:113)-LOOKUP(C37,112:112,113:113)+100</f>
        <v>100</v>
      </c>
      <c r="G37" s="476">
        <v>1</v>
      </c>
      <c r="H37" s="135">
        <f>LOOKUP(G37,112:112,113:113)-LOOKUP(C37,112:112,113:113)+100</f>
        <v>100</v>
      </c>
      <c r="I37" s="475">
        <v>1</v>
      </c>
      <c r="J37" s="135">
        <f>LOOKUP(I37,112:112,113:113)-LOOKUP(C37,112:112,113:113)+100</f>
        <v>100</v>
      </c>
      <c r="K37" s="426"/>
      <c r="L37" s="1135"/>
      <c r="M37" s="1136"/>
      <c r="N37" s="1136"/>
      <c r="O37" s="1136"/>
      <c r="P37" s="3241"/>
      <c r="Q37" s="1799" t="str">
        <f t="shared" si="11"/>
        <v>成新度</v>
      </c>
      <c r="R37" s="770" t="s">
        <v>21</v>
      </c>
      <c r="S37" s="771">
        <f t="shared" si="12"/>
        <v>100</v>
      </c>
      <c r="T37" s="770" t="s">
        <v>21</v>
      </c>
      <c r="U37" s="771">
        <f t="shared" si="13"/>
        <v>100</v>
      </c>
      <c r="V37" s="770" t="s">
        <v>21</v>
      </c>
      <c r="W37" s="771">
        <f t="shared" si="14"/>
        <v>100</v>
      </c>
      <c r="X37" s="772"/>
      <c r="Y37" s="3229"/>
      <c r="Z37" s="55" t="str">
        <f t="shared" si="18"/>
        <v>成新度</v>
      </c>
      <c r="AA37" s="773">
        <f t="shared" si="15"/>
        <v>1</v>
      </c>
      <c r="AB37" s="773">
        <f t="shared" si="16"/>
        <v>1</v>
      </c>
      <c r="AC37" s="773">
        <f t="shared" si="17"/>
        <v>1</v>
      </c>
    </row>
    <row r="38" spans="1:29" ht="15">
      <c r="A38" s="472"/>
      <c r="B38" s="422" t="s">
        <v>2570</v>
      </c>
      <c r="C38" s="2613" t="s">
        <v>3140</v>
      </c>
      <c r="D38" s="435">
        <v>100</v>
      </c>
      <c r="E38" s="2614" t="s">
        <v>3140</v>
      </c>
      <c r="F38" s="461">
        <f>SUMIF(114:114,E38,115:115)-SUMIF(114:114,C38,115:115)+100</f>
        <v>100</v>
      </c>
      <c r="G38" s="2613" t="s">
        <v>3140</v>
      </c>
      <c r="H38" s="435">
        <f>SUMIF(114:114,G38,115:115)-SUMIF(114:114,C38,115:115)+100</f>
        <v>100</v>
      </c>
      <c r="I38" s="2614" t="s">
        <v>3140</v>
      </c>
      <c r="J38" s="435">
        <f>SUMIF(114:114,I38,115:115)-SUMIF(114:114,C38,115:115)+100</f>
        <v>100</v>
      </c>
      <c r="K38" s="426"/>
      <c r="L38" s="1143"/>
      <c r="M38" s="1134"/>
      <c r="N38" s="1134"/>
      <c r="O38" s="1134"/>
      <c r="P38" s="3241" t="s">
        <v>2564</v>
      </c>
      <c r="Q38" s="1814" t="str">
        <f t="shared" si="11"/>
        <v>物业管理</v>
      </c>
      <c r="R38" s="774" t="s">
        <v>21</v>
      </c>
      <c r="S38" s="775">
        <f t="shared" si="12"/>
        <v>100</v>
      </c>
      <c r="T38" s="774" t="s">
        <v>21</v>
      </c>
      <c r="U38" s="775">
        <f t="shared" si="13"/>
        <v>100</v>
      </c>
      <c r="V38" s="774" t="s">
        <v>21</v>
      </c>
      <c r="W38" s="775">
        <f t="shared" si="14"/>
        <v>100</v>
      </c>
      <c r="X38" s="1817"/>
      <c r="Y38" s="3229" t="s">
        <v>2564</v>
      </c>
      <c r="Z38" s="1818" t="str">
        <f t="shared" si="18"/>
        <v>物业管理</v>
      </c>
      <c r="AA38" s="1815">
        <f t="shared" si="15"/>
        <v>1</v>
      </c>
      <c r="AB38" s="1815">
        <f t="shared" si="16"/>
        <v>1</v>
      </c>
      <c r="AC38" s="1815">
        <f t="shared" si="17"/>
        <v>1</v>
      </c>
    </row>
    <row r="39" spans="1:29" ht="15">
      <c r="A39" s="472"/>
      <c r="B39" s="422" t="s">
        <v>2571</v>
      </c>
      <c r="C39" s="2613" t="s">
        <v>3097</v>
      </c>
      <c r="D39" s="435">
        <v>100</v>
      </c>
      <c r="E39" s="2614" t="s">
        <v>3097</v>
      </c>
      <c r="F39" s="461">
        <f>SUMIF(116:116,E39,117:117)-SUMIF(116:116,C39,117:117)+100</f>
        <v>100</v>
      </c>
      <c r="G39" s="2613" t="s">
        <v>3097</v>
      </c>
      <c r="H39" s="435">
        <f>SUMIF(116:116,G39,117:117)-SUMIF(116:116,C39,117:117)+100</f>
        <v>100</v>
      </c>
      <c r="I39" s="2614" t="s">
        <v>3097</v>
      </c>
      <c r="J39" s="435">
        <f>SUMIF(116:116,I39,117:117)-SUMIF(116:116,C39,117:117)+100</f>
        <v>100</v>
      </c>
      <c r="K39" s="426"/>
      <c r="L39" s="1143"/>
      <c r="M39" s="1134"/>
      <c r="N39" s="1134"/>
      <c r="O39" s="1134"/>
      <c r="P39" s="3241"/>
      <c r="Q39" s="1814" t="str">
        <f t="shared" si="11"/>
        <v>市政基础设施</v>
      </c>
      <c r="R39" s="774" t="s">
        <v>21</v>
      </c>
      <c r="S39" s="775">
        <f t="shared" si="12"/>
        <v>100</v>
      </c>
      <c r="T39" s="774" t="s">
        <v>21</v>
      </c>
      <c r="U39" s="775">
        <f t="shared" si="13"/>
        <v>100</v>
      </c>
      <c r="V39" s="774" t="s">
        <v>21</v>
      </c>
      <c r="W39" s="775">
        <f t="shared" si="14"/>
        <v>100</v>
      </c>
      <c r="X39" s="1817"/>
      <c r="Y39" s="3229"/>
      <c r="Z39" s="1818" t="str">
        <f t="shared" si="18"/>
        <v>市政基础设施</v>
      </c>
      <c r="AA39" s="1815">
        <f t="shared" si="15"/>
        <v>1</v>
      </c>
      <c r="AB39" s="1815">
        <f t="shared" si="16"/>
        <v>1</v>
      </c>
      <c r="AC39" s="1815">
        <f t="shared" si="17"/>
        <v>1</v>
      </c>
    </row>
    <row r="40" spans="1:29" ht="15" hidden="1">
      <c r="A40" s="472"/>
      <c r="B40" s="422" t="s">
        <v>2572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41"/>
      <c r="Q40" s="1814" t="str">
        <f t="shared" si="11"/>
        <v>房型</v>
      </c>
      <c r="R40" s="774" t="s">
        <v>21</v>
      </c>
      <c r="S40" s="775">
        <f t="shared" si="12"/>
        <v>100</v>
      </c>
      <c r="T40" s="774" t="s">
        <v>21</v>
      </c>
      <c r="U40" s="775">
        <f t="shared" si="13"/>
        <v>100</v>
      </c>
      <c r="V40" s="774" t="s">
        <v>21</v>
      </c>
      <c r="W40" s="775">
        <f t="shared" si="14"/>
        <v>100</v>
      </c>
      <c r="X40" s="1817"/>
      <c r="Y40" s="3229"/>
      <c r="Z40" s="1818" t="str">
        <f t="shared" si="18"/>
        <v>房型</v>
      </c>
      <c r="AA40" s="1815">
        <f t="shared" si="15"/>
        <v>1</v>
      </c>
      <c r="AB40" s="1815">
        <f t="shared" si="16"/>
        <v>1</v>
      </c>
      <c r="AC40" s="1815">
        <f t="shared" si="17"/>
        <v>1</v>
      </c>
    </row>
    <row r="41" spans="1:29" s="471" customFormat="1" ht="28.5">
      <c r="A41" s="468"/>
      <c r="B41" s="422" t="s">
        <v>2573</v>
      </c>
      <c r="C41" s="469" t="s">
        <v>3152</v>
      </c>
      <c r="D41" s="135">
        <v>100</v>
      </c>
      <c r="E41" s="430" t="s">
        <v>3152</v>
      </c>
      <c r="F41" s="425">
        <f>SUMIF(120:120,E41,121:121)-SUMIF(120:120,C41,121:121)+100</f>
        <v>100</v>
      </c>
      <c r="G41" s="429" t="s">
        <v>3152</v>
      </c>
      <c r="H41" s="135">
        <f>SUMIF(120:120,G41,121:121)-SUMIF(120:120,C41,121:121)+100</f>
        <v>100</v>
      </c>
      <c r="I41" s="477" t="s">
        <v>3152</v>
      </c>
      <c r="J41" s="435">
        <f>SUMIF(120:120,I41,121:121)-SUMIF(120:120,C41,121:121)+100</f>
        <v>100</v>
      </c>
      <c r="K41" s="2601"/>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5">
        <f t="shared" si="15"/>
        <v>1</v>
      </c>
      <c r="AB41" s="1815">
        <f t="shared" si="16"/>
        <v>1</v>
      </c>
      <c r="AC41" s="1815">
        <f t="shared" si="17"/>
        <v>1</v>
      </c>
    </row>
    <row r="42" spans="1:29" ht="15.75" thickBot="1">
      <c r="A42" s="472"/>
      <c r="B42" s="422" t="s">
        <v>2574</v>
      </c>
      <c r="C42" s="2613" t="s">
        <v>3138</v>
      </c>
      <c r="D42" s="435">
        <v>100</v>
      </c>
      <c r="E42" s="2614" t="s">
        <v>3138</v>
      </c>
      <c r="F42" s="461">
        <f>SUMIF(122:122,E42,123:123)-SUMIF(122:122,C42,123:123)+100</f>
        <v>100</v>
      </c>
      <c r="G42" s="2613" t="s">
        <v>3138</v>
      </c>
      <c r="H42" s="435">
        <f>SUMIF(122:122,G42,123:123)-SUMIF(122:122,C42,123:123)+100</f>
        <v>100</v>
      </c>
      <c r="I42" s="2614" t="s">
        <v>3136</v>
      </c>
      <c r="J42" s="435">
        <f>SUMIF(122:122,I42,123:123)-SUMIF(122:122,C42,123:123)+100</f>
        <v>102</v>
      </c>
      <c r="K42" s="426">
        <v>2</v>
      </c>
      <c r="L42" s="1143"/>
      <c r="M42" s="1134"/>
      <c r="N42" s="1134"/>
      <c r="O42" s="1134"/>
      <c r="P42" s="3241"/>
      <c r="Q42" s="1814" t="str">
        <f t="shared" si="11"/>
        <v>内部装修</v>
      </c>
      <c r="R42" s="774" t="s">
        <v>21</v>
      </c>
      <c r="S42" s="775">
        <f t="shared" si="12"/>
        <v>100</v>
      </c>
      <c r="T42" s="774" t="s">
        <v>21</v>
      </c>
      <c r="U42" s="775">
        <f t="shared" si="13"/>
        <v>100</v>
      </c>
      <c r="V42" s="774" t="s">
        <v>21</v>
      </c>
      <c r="W42" s="775">
        <f t="shared" si="14"/>
        <v>102</v>
      </c>
      <c r="X42" s="1817"/>
      <c r="Y42" s="3229"/>
      <c r="Z42" s="1818" t="str">
        <f t="shared" si="18"/>
        <v>内部装修</v>
      </c>
      <c r="AA42" s="1815">
        <f t="shared" si="15"/>
        <v>1</v>
      </c>
      <c r="AB42" s="1815">
        <f t="shared" si="16"/>
        <v>1</v>
      </c>
      <c r="AC42" s="1815">
        <f t="shared" si="17"/>
        <v>0.98039215686274506</v>
      </c>
    </row>
    <row r="43" spans="1:29" ht="15.75" hidden="1" thickBot="1">
      <c r="A43" s="472"/>
      <c r="B43" s="422" t="s">
        <v>2575</v>
      </c>
      <c r="C43" s="2613" t="s">
        <v>3089</v>
      </c>
      <c r="D43" s="435">
        <v>100</v>
      </c>
      <c r="E43" s="2614" t="s">
        <v>3089</v>
      </c>
      <c r="F43" s="461">
        <f>SUMIF(124:124,E43,125:125)-SUMIF(124:124,C43,125:125)+100</f>
        <v>100</v>
      </c>
      <c r="G43" s="2613" t="s">
        <v>3089</v>
      </c>
      <c r="H43" s="435">
        <f>SUMIF(124:124,G43,125:125)-SUMIF(124:124,C43,125:125)+100</f>
        <v>100</v>
      </c>
      <c r="I43" s="2614" t="s">
        <v>3089</v>
      </c>
      <c r="J43" s="435">
        <f>SUMIF(124:124,I43,125:125)-SUMIF(124:124,C43,125:125)+100</f>
        <v>100</v>
      </c>
      <c r="K43" s="426"/>
      <c r="L43" s="1143"/>
      <c r="M43" s="1134"/>
      <c r="N43" s="1134"/>
      <c r="O43" s="1134"/>
      <c r="P43" s="3241"/>
      <c r="Q43" s="1814" t="str">
        <f t="shared" si="11"/>
        <v>内部装修维护情况</v>
      </c>
      <c r="R43" s="774" t="s">
        <v>21</v>
      </c>
      <c r="S43" s="775">
        <f t="shared" si="12"/>
        <v>100</v>
      </c>
      <c r="T43" s="774" t="s">
        <v>21</v>
      </c>
      <c r="U43" s="775">
        <f t="shared" si="13"/>
        <v>100</v>
      </c>
      <c r="V43" s="774" t="s">
        <v>21</v>
      </c>
      <c r="W43" s="775">
        <f t="shared" si="14"/>
        <v>100</v>
      </c>
      <c r="X43" s="1817"/>
      <c r="Y43" s="3229"/>
      <c r="Z43" s="1818" t="str">
        <f t="shared" si="18"/>
        <v>内部装修维护情况</v>
      </c>
      <c r="AA43" s="1815">
        <f t="shared" si="15"/>
        <v>1</v>
      </c>
      <c r="AB43" s="1815">
        <f t="shared" si="16"/>
        <v>1</v>
      </c>
      <c r="AC43" s="1815">
        <f t="shared" si="17"/>
        <v>1</v>
      </c>
    </row>
    <row r="44" spans="1:29" s="116" customFormat="1" ht="15" hidden="1">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5"/>
      <c r="M44" s="1136"/>
      <c r="N44" s="1136"/>
      <c r="O44" s="1136"/>
      <c r="P44" s="3241"/>
      <c r="Q44" s="1799">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41"/>
      <c r="Q45" s="1814">
        <f t="shared" si="11"/>
        <v>111</v>
      </c>
      <c r="R45" s="774" t="s">
        <v>21</v>
      </c>
      <c r="S45" s="775">
        <f t="shared" si="12"/>
        <v>100</v>
      </c>
      <c r="T45" s="774" t="s">
        <v>21</v>
      </c>
      <c r="U45" s="775">
        <f t="shared" si="13"/>
        <v>100</v>
      </c>
      <c r="V45" s="774" t="s">
        <v>21</v>
      </c>
      <c r="W45" s="775">
        <f t="shared" si="14"/>
        <v>100</v>
      </c>
      <c r="X45" s="1817"/>
      <c r="Y45" s="3229"/>
      <c r="Z45" s="1818">
        <f t="shared" si="18"/>
        <v>111</v>
      </c>
      <c r="AA45" s="1815">
        <f t="shared" si="15"/>
        <v>1</v>
      </c>
      <c r="AB45" s="1815">
        <f t="shared" si="16"/>
        <v>1</v>
      </c>
      <c r="AC45" s="1815">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42"/>
      <c r="Q46" s="1814">
        <f t="shared" si="11"/>
        <v>111</v>
      </c>
      <c r="R46" s="774" t="s">
        <v>20</v>
      </c>
      <c r="S46" s="775">
        <f t="shared" si="12"/>
        <v>100</v>
      </c>
      <c r="T46" s="774" t="s">
        <v>20</v>
      </c>
      <c r="U46" s="775">
        <f t="shared" si="13"/>
        <v>100</v>
      </c>
      <c r="V46" s="774" t="s">
        <v>20</v>
      </c>
      <c r="W46" s="775">
        <f t="shared" si="14"/>
        <v>100</v>
      </c>
      <c r="X46" s="1817"/>
      <c r="Y46" s="3243"/>
      <c r="Z46" s="1818">
        <f t="shared" si="18"/>
        <v>111</v>
      </c>
      <c r="AA46" s="1815">
        <f t="shared" si="15"/>
        <v>1</v>
      </c>
      <c r="AB46" s="1815">
        <f t="shared" si="16"/>
        <v>1</v>
      </c>
      <c r="AC46" s="1815">
        <f t="shared" si="17"/>
        <v>1</v>
      </c>
    </row>
    <row r="47" spans="1:29" ht="15">
      <c r="A47" s="479" t="s">
        <v>2576</v>
      </c>
      <c r="B47" s="480"/>
      <c r="C47" s="1410" t="s">
        <v>19</v>
      </c>
      <c r="D47" s="1411"/>
      <c r="E47" s="1412">
        <f>ROUND(10000*0.96,0)</f>
        <v>9600</v>
      </c>
      <c r="F47" s="1413"/>
      <c r="G47" s="1414">
        <f>ROUND(9500*0.98,0)</f>
        <v>9310</v>
      </c>
      <c r="H47" s="1415"/>
      <c r="I47" s="1412">
        <v>9052</v>
      </c>
      <c r="J47" s="1415"/>
      <c r="K47" s="2621"/>
      <c r="L47" s="1146"/>
      <c r="M47" s="1147"/>
      <c r="N47" s="1134"/>
      <c r="O47" s="1147"/>
      <c r="P47" s="3211" t="str">
        <f>A47</f>
        <v>成交单价（元/平方米）</v>
      </c>
      <c r="Q47" s="3211"/>
      <c r="R47" s="3239">
        <f>E47</f>
        <v>9600</v>
      </c>
      <c r="S47" s="3239"/>
      <c r="T47" s="3239">
        <f>G47</f>
        <v>9310</v>
      </c>
      <c r="U47" s="3239"/>
      <c r="V47" s="3239">
        <f>I47</f>
        <v>9052</v>
      </c>
      <c r="W47" s="3239"/>
      <c r="X47" s="759"/>
      <c r="Y47" s="781"/>
      <c r="Z47" s="759"/>
      <c r="AA47" s="759"/>
      <c r="AB47" s="759"/>
      <c r="AC47" s="759"/>
    </row>
    <row r="48" spans="1:29" ht="15.75" thickBot="1">
      <c r="A48" s="486" t="s">
        <v>2577</v>
      </c>
      <c r="B48" s="487"/>
      <c r="C48" s="1416">
        <f>R49</f>
        <v>9424</v>
      </c>
      <c r="D48" s="1417"/>
      <c r="E48" s="1418">
        <f>R48</f>
        <v>9429</v>
      </c>
      <c r="F48" s="1418"/>
      <c r="G48" s="1416">
        <f>T48</f>
        <v>9695</v>
      </c>
      <c r="H48" s="1417"/>
      <c r="I48" s="1418">
        <f>V48</f>
        <v>9149</v>
      </c>
      <c r="J48" s="1417"/>
      <c r="K48" s="2622"/>
      <c r="L48" s="1146"/>
      <c r="M48" s="1147"/>
      <c r="N48" s="1147"/>
      <c r="O48" s="1147"/>
      <c r="P48" s="3211" t="str">
        <f>A48</f>
        <v>比较价值（元/平方米）</v>
      </c>
      <c r="Q48" s="3211"/>
      <c r="R48" s="3239">
        <f>IF(F1="售价",ROUND(PRODUCT(R47,AA7:AA46),0),ROUND(PRODUCT(R47,AA7:AA46),1))</f>
        <v>9429</v>
      </c>
      <c r="S48" s="3239"/>
      <c r="T48" s="3239">
        <f>IF(F1="售价",ROUND(PRODUCT(T47,AB7:AB46),0),ROUND(PRODUCT(T47,AB7:AB46),1))</f>
        <v>9695</v>
      </c>
      <c r="U48" s="3239"/>
      <c r="V48" s="3239">
        <f>IF(F1="售价",ROUND(PRODUCT(V47,AC7:AC46),0),ROUND(PRODUCT(V47,AC7:AC46),1))</f>
        <v>9149</v>
      </c>
      <c r="W48" s="3239"/>
      <c r="X48" s="759"/>
      <c r="Y48" s="759"/>
      <c r="Z48" s="759"/>
      <c r="AA48" s="759"/>
      <c r="AB48" s="759"/>
      <c r="AC48" s="759"/>
    </row>
    <row r="49" spans="1:29" ht="15.75" thickBot="1">
      <c r="A49" s="492" t="s">
        <v>2578</v>
      </c>
      <c r="B49" s="493"/>
      <c r="C49" s="1419">
        <f>R49</f>
        <v>9424</v>
      </c>
      <c r="D49" s="1420"/>
      <c r="E49" s="1420"/>
      <c r="F49" s="1420"/>
      <c r="G49" s="1420"/>
      <c r="H49" s="1420"/>
      <c r="I49" s="1420"/>
      <c r="J49" s="1420"/>
      <c r="K49" s="2623"/>
      <c r="L49" s="1146"/>
      <c r="M49" s="1147"/>
      <c r="N49" s="1147"/>
      <c r="O49" s="1147"/>
      <c r="P49" s="3231" t="str">
        <f>A49</f>
        <v>估价对象XX用房的比较价值（楼面单价，元/平方米）</v>
      </c>
      <c r="Q49" s="3232"/>
      <c r="R49" s="3238">
        <f>IF(F1="售价",ROUND(AVERAGE(R48:V48),0),ROUND(AVERAGE(R48:V48),1))</f>
        <v>9424</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1.8135539293668401E-2</v>
      </c>
      <c r="F52" s="500" t="str">
        <f>IF(OR(E52&gt;=0.3,E52&lt;=-0.3),"超过30%","")</f>
        <v/>
      </c>
      <c r="G52" s="499">
        <f>IF(G47&lt;G48,G48/G47-1,G47/G48-1)</f>
        <v>4.1353383458646586E-2</v>
      </c>
      <c r="H52" s="500" t="str">
        <f>IF(OR(G52&gt;=0.3,G52&lt;=-0.3),"超过30%","")</f>
        <v/>
      </c>
      <c r="I52" s="499">
        <f>IF(I47&lt;I48,I48/I47-1,I47/I48-1)</f>
        <v>1.0715863897481137E-2</v>
      </c>
      <c r="J52" s="500" t="str">
        <f>IF(OR(I52&gt;=0.3,I52&lt;=-0.3),"超过30%","")</f>
        <v/>
      </c>
      <c r="K52" s="1108"/>
      <c r="L52" s="1109"/>
      <c r="M52" s="1147"/>
      <c r="N52" s="1147"/>
      <c r="O52" s="1147"/>
    </row>
    <row r="53" spans="1:29" ht="13.5" customHeight="1">
      <c r="A53" s="1147"/>
      <c r="B53" s="1147"/>
      <c r="C53" s="497" t="s">
        <v>2580</v>
      </c>
      <c r="D53" s="501"/>
      <c r="E53" s="499">
        <f>IF(E48&lt;G48,G48/E48-1,E48/G48-1)</f>
        <v>2.8210838901262081E-2</v>
      </c>
      <c r="F53" s="500" t="str">
        <f>IF(OR(E53&gt;=0.2,E53&lt;=-0.2),"超过20%","")</f>
        <v/>
      </c>
      <c r="G53" s="499">
        <f>IF(G48&lt;I48,I48/G48-1,G48/I48-1)</f>
        <v>5.9678653404743764E-2</v>
      </c>
      <c r="H53" s="500" t="str">
        <f>IF(OR(G53&gt;=0.2,G53&lt;=-0.2),"超过20%","")</f>
        <v/>
      </c>
      <c r="I53" s="499">
        <f>IF(I48&lt;E48,E48/I48-1,I48/E48-1)</f>
        <v>3.0604437643458215E-2</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3.1149301825993625E-2</v>
      </c>
      <c r="F54" s="500" t="str">
        <f>IF(OR(E54&gt;=0.3,E54&lt;=-0.3),"超过30%","")</f>
        <v/>
      </c>
      <c r="G54" s="499">
        <f>IF(G47&lt;I47,I47/G47-1,G47/I47-1)</f>
        <v>2.8501988510826415E-2</v>
      </c>
      <c r="H54" s="500" t="str">
        <f>IF(OR(G54&gt;=0.3,G54&lt;=-0.3),"超过30%","")</f>
        <v/>
      </c>
      <c r="I54" s="499">
        <f>IF(I47&lt;E47,E47/I47-1,I47/E47-1)</f>
        <v>6.0539107379584678E-2</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6"/>
      <c r="Q57" s="504"/>
    </row>
    <row r="58" spans="1:29" s="508" customFormat="1" ht="15">
      <c r="A58" s="505" t="s">
        <v>2583</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7"/>
      <c r="C59" s="1577">
        <v>100</v>
      </c>
      <c r="D59" s="511"/>
      <c r="E59" s="512"/>
      <c r="F59" s="512"/>
      <c r="G59" s="512"/>
      <c r="H59" s="512"/>
      <c r="I59" s="512"/>
      <c r="J59" s="512"/>
      <c r="K59" s="512"/>
      <c r="L59" s="512"/>
      <c r="M59" s="513"/>
      <c r="N59" s="512"/>
      <c r="O59" s="513"/>
      <c r="P59" s="2628"/>
    </row>
    <row r="60" spans="1:29" s="116" customFormat="1" ht="15.75" thickBot="1">
      <c r="A60" s="515" t="s">
        <v>2584</v>
      </c>
      <c r="B60" s="516"/>
      <c r="C60" s="517"/>
      <c r="D60" s="518"/>
      <c r="E60" s="518"/>
      <c r="F60" s="518"/>
      <c r="G60" s="518"/>
      <c r="H60" s="518"/>
      <c r="I60" s="518"/>
      <c r="J60" s="518"/>
      <c r="K60" s="518"/>
      <c r="L60" s="518"/>
      <c r="M60" s="519"/>
      <c r="N60" s="518"/>
      <c r="O60" s="519"/>
      <c r="P60" s="2628"/>
      <c r="Q60" s="504"/>
    </row>
    <row r="61" spans="1:29" s="116" customFormat="1" ht="15">
      <c r="A61" s="521" t="s">
        <v>2585</v>
      </c>
      <c r="B61" s="510"/>
      <c r="C61" s="522" t="s">
        <v>2586</v>
      </c>
      <c r="D61" s="523"/>
      <c r="E61" s="523"/>
      <c r="F61" s="523"/>
      <c r="G61" s="523"/>
      <c r="H61" s="523"/>
      <c r="I61" s="523"/>
      <c r="J61" s="523"/>
      <c r="K61" s="523"/>
      <c r="L61" s="524"/>
      <c r="M61" s="525"/>
      <c r="N61" s="1154"/>
      <c r="O61" s="1154"/>
      <c r="P61" s="2629"/>
      <c r="Q61" s="504"/>
    </row>
    <row r="62" spans="1:29" s="116"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2557</v>
      </c>
      <c r="C67" s="547" t="str">
        <f>C68&amp;"（含）"&amp;"-"&amp;D68</f>
        <v>0（含）-2</v>
      </c>
      <c r="D67" s="547" t="str">
        <f t="shared" ref="D67:L67" si="21">D68&amp;"（含）"&amp;"-"&amp;E68</f>
        <v>2（含）-4</v>
      </c>
      <c r="E67" s="547" t="str">
        <f t="shared" si="21"/>
        <v>4（含）-6</v>
      </c>
      <c r="F67" s="547" t="str">
        <f t="shared" si="21"/>
        <v>6（含）-8</v>
      </c>
      <c r="G67" s="547" t="str">
        <f t="shared" si="21"/>
        <v>8（含）-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v>2</v>
      </c>
      <c r="E68" s="549">
        <v>4</v>
      </c>
      <c r="F68" s="549">
        <v>6</v>
      </c>
      <c r="G68" s="549">
        <v>8</v>
      </c>
      <c r="H68" s="549"/>
      <c r="I68" s="549"/>
      <c r="J68" s="549"/>
      <c r="K68" s="550"/>
      <c r="L68" s="551"/>
      <c r="M68" s="552"/>
      <c r="N68" s="1155"/>
      <c r="O68" s="1155"/>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0"/>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1"/>
      <c r="Q70" s="559"/>
    </row>
    <row r="71" spans="1:17" s="471" customFormat="1" ht="15.75" hidden="1" thickBot="1">
      <c r="A71" s="553"/>
      <c r="B71" s="543"/>
      <c r="C71" s="560"/>
      <c r="D71" s="536"/>
      <c r="E71" s="536"/>
      <c r="F71" s="536"/>
      <c r="G71" s="536"/>
      <c r="H71" s="536"/>
      <c r="I71" s="536"/>
      <c r="J71" s="536"/>
      <c r="K71" s="536"/>
      <c r="L71" s="536"/>
      <c r="M71" s="537"/>
      <c r="N71" s="1156"/>
      <c r="O71" s="1156"/>
      <c r="P71" s="2631"/>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2"/>
      <c r="Q72" s="561"/>
    </row>
    <row r="73" spans="1:17" s="471" customFormat="1" ht="15.75" hidden="1" thickBot="1">
      <c r="A73" s="553"/>
      <c r="B73" s="543"/>
      <c r="C73" s="560"/>
      <c r="D73" s="560"/>
      <c r="E73" s="560"/>
      <c r="F73" s="560"/>
      <c r="G73" s="560"/>
      <c r="H73" s="562"/>
      <c r="I73" s="562"/>
      <c r="J73" s="562"/>
      <c r="K73" s="562"/>
      <c r="L73" s="562"/>
      <c r="M73" s="563"/>
      <c r="N73" s="1157"/>
      <c r="O73" s="1157"/>
      <c r="P73" s="2631"/>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3"/>
      <c r="Q74" s="559"/>
    </row>
    <row r="75" spans="1:17" s="471" customFormat="1" ht="15.75" hidden="1" thickBot="1">
      <c r="A75" s="568"/>
      <c r="B75" s="569"/>
      <c r="C75" s="570"/>
      <c r="D75" s="570"/>
      <c r="E75" s="570"/>
      <c r="F75" s="570"/>
      <c r="G75" s="570"/>
      <c r="H75" s="571"/>
      <c r="I75" s="571"/>
      <c r="J75" s="571"/>
      <c r="K75" s="571"/>
      <c r="L75" s="571"/>
      <c r="M75" s="572"/>
      <c r="N75" s="1157"/>
      <c r="O75" s="1157"/>
      <c r="P75" s="2631"/>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0"/>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0"/>
      <c r="Q85" s="504"/>
    </row>
    <row r="86" spans="1:17" s="116" customFormat="1" ht="15.75" hidden="1" thickTop="1">
      <c r="A86" s="579"/>
      <c r="B86" s="538" t="s">
        <v>2609</v>
      </c>
      <c r="C86" s="554"/>
      <c r="D86" s="554"/>
      <c r="E86" s="554"/>
      <c r="F86" s="554"/>
      <c r="G86" s="554"/>
      <c r="H86" s="554"/>
      <c r="I86" s="554"/>
      <c r="J86" s="554"/>
      <c r="K86" s="554"/>
      <c r="L86" s="580"/>
      <c r="M86" s="581"/>
      <c r="N86" s="1154"/>
      <c r="O86" s="1154"/>
      <c r="P86" s="2630"/>
      <c r="Q86" s="504"/>
    </row>
    <row r="87" spans="1:17" s="116"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6" customFormat="1" ht="15.75" hidden="1" thickTop="1">
      <c r="A88" s="579"/>
      <c r="B88" s="538" t="s">
        <v>2610</v>
      </c>
      <c r="C88" s="554"/>
      <c r="D88" s="554"/>
      <c r="E88" s="554"/>
      <c r="F88" s="2635"/>
      <c r="G88" s="554"/>
      <c r="H88" s="554"/>
      <c r="I88" s="554"/>
      <c r="J88" s="554"/>
      <c r="K88" s="554"/>
      <c r="L88" s="554"/>
      <c r="M88" s="581"/>
      <c r="N88" s="1154"/>
      <c r="O88" s="1154"/>
      <c r="P88" s="2630"/>
      <c r="Q88" s="504"/>
    </row>
    <row r="89" spans="1:17" s="116" customFormat="1" ht="15.75"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hidden="1" thickTop="1">
      <c r="A90" s="553"/>
      <c r="B90" s="538">
        <f>B27</f>
        <v>111</v>
      </c>
      <c r="C90" s="554"/>
      <c r="D90" s="554"/>
      <c r="E90" s="554"/>
      <c r="F90" s="554"/>
      <c r="G90" s="554"/>
      <c r="H90" s="555"/>
      <c r="I90" s="555"/>
      <c r="J90" s="555"/>
      <c r="K90" s="555"/>
      <c r="L90" s="556"/>
      <c r="M90" s="557"/>
      <c r="N90" s="1157"/>
      <c r="O90" s="1157"/>
      <c r="P90" s="2631"/>
      <c r="Q90" s="559"/>
    </row>
    <row r="91" spans="1:17" s="471" customFormat="1" ht="15.75" hidden="1" thickBot="1">
      <c r="A91" s="553"/>
      <c r="B91" s="543"/>
      <c r="C91" s="560"/>
      <c r="D91" s="560"/>
      <c r="E91" s="560"/>
      <c r="F91" s="560"/>
      <c r="G91" s="560"/>
      <c r="H91" s="562"/>
      <c r="I91" s="562"/>
      <c r="J91" s="562"/>
      <c r="K91" s="562"/>
      <c r="L91" s="562"/>
      <c r="M91" s="563"/>
      <c r="N91" s="1157"/>
      <c r="O91" s="1157"/>
      <c r="P91" s="2631"/>
      <c r="Q91" s="559"/>
    </row>
    <row r="92" spans="1:17" ht="15.75" hidden="1" thickTop="1">
      <c r="A92" s="534"/>
      <c r="B92" s="538">
        <f>B28</f>
        <v>111</v>
      </c>
      <c r="C92" s="554"/>
      <c r="D92" s="554"/>
      <c r="E92" s="554"/>
      <c r="F92" s="554"/>
      <c r="G92" s="583"/>
      <c r="H92" s="583"/>
      <c r="I92" s="583"/>
      <c r="J92" s="583"/>
      <c r="K92" s="584"/>
      <c r="L92" s="585"/>
      <c r="M92" s="586"/>
      <c r="N92" s="1155"/>
      <c r="O92" s="1155"/>
      <c r="P92" s="2630"/>
      <c r="Q92" s="504"/>
    </row>
    <row r="93" spans="1:17" ht="15.75" hidden="1" thickBot="1">
      <c r="A93" s="534"/>
      <c r="B93" s="543"/>
      <c r="C93" s="560"/>
      <c r="D93" s="536"/>
      <c r="E93" s="536"/>
      <c r="F93" s="536"/>
      <c r="G93" s="536"/>
      <c r="H93" s="536"/>
      <c r="I93" s="536"/>
      <c r="J93" s="536"/>
      <c r="K93" s="536"/>
      <c r="L93" s="536"/>
      <c r="M93" s="537"/>
      <c r="N93" s="1156"/>
      <c r="O93" s="1156"/>
      <c r="P93" s="2630"/>
      <c r="Q93" s="504"/>
    </row>
    <row r="94" spans="1:17" ht="15.75" hidden="1" thickTop="1">
      <c r="A94" s="534"/>
      <c r="B94" s="538">
        <f>B29</f>
        <v>111</v>
      </c>
      <c r="C94" s="554"/>
      <c r="D94" s="554"/>
      <c r="E94" s="554"/>
      <c r="F94" s="554"/>
      <c r="G94" s="583"/>
      <c r="H94" s="583"/>
      <c r="I94" s="583"/>
      <c r="J94" s="583"/>
      <c r="K94" s="584"/>
      <c r="L94" s="585"/>
      <c r="M94" s="586"/>
      <c r="N94" s="1155"/>
      <c r="O94" s="1155"/>
      <c r="P94" s="2630"/>
      <c r="Q94" s="504"/>
    </row>
    <row r="95" spans="1:17" ht="15.75" hidden="1" thickBot="1">
      <c r="A95" s="534"/>
      <c r="B95" s="543"/>
      <c r="C95" s="560"/>
      <c r="D95" s="560"/>
      <c r="E95" s="560"/>
      <c r="F95" s="560"/>
      <c r="G95" s="536"/>
      <c r="H95" s="536"/>
      <c r="I95" s="536"/>
      <c r="J95" s="536"/>
      <c r="K95" s="536"/>
      <c r="L95" s="536"/>
      <c r="M95" s="537"/>
      <c r="N95" s="1156"/>
      <c r="O95" s="1156"/>
      <c r="P95" s="2630"/>
      <c r="Q95" s="504"/>
    </row>
    <row r="96" spans="1:17" ht="15.75" hidden="1" thickTop="1">
      <c r="A96" s="534"/>
      <c r="B96" s="538">
        <f>B30</f>
        <v>111</v>
      </c>
      <c r="C96" s="554"/>
      <c r="D96" s="554"/>
      <c r="E96" s="554"/>
      <c r="F96" s="554"/>
      <c r="G96" s="583"/>
      <c r="H96" s="583"/>
      <c r="I96" s="583"/>
      <c r="J96" s="583"/>
      <c r="K96" s="584"/>
      <c r="L96" s="585"/>
      <c r="M96" s="586"/>
      <c r="N96" s="1155"/>
      <c r="O96" s="1155"/>
      <c r="P96" s="2630"/>
      <c r="Q96" s="504"/>
    </row>
    <row r="97" spans="1:17" ht="15.75" hidden="1" thickBot="1">
      <c r="A97" s="534"/>
      <c r="B97" s="543"/>
      <c r="C97" s="570"/>
      <c r="D97" s="570"/>
      <c r="E97" s="570"/>
      <c r="F97" s="570"/>
      <c r="G97" s="536"/>
      <c r="H97" s="536"/>
      <c r="I97" s="536"/>
      <c r="J97" s="536"/>
      <c r="K97" s="536"/>
      <c r="L97" s="536"/>
      <c r="M97" s="537"/>
      <c r="N97" s="1156"/>
      <c r="O97" s="1156"/>
      <c r="P97" s="2630"/>
      <c r="Q97" s="504"/>
    </row>
    <row r="98" spans="1:17" ht="15.75" hidden="1" thickTop="1">
      <c r="A98" s="534"/>
      <c r="B98" s="546">
        <f>B31</f>
        <v>111</v>
      </c>
      <c r="C98" s="587"/>
      <c r="D98" s="587"/>
      <c r="E98" s="587"/>
      <c r="F98" s="587"/>
      <c r="G98" s="587"/>
      <c r="H98" s="587"/>
      <c r="I98" s="587"/>
      <c r="J98" s="587"/>
      <c r="K98" s="588"/>
      <c r="L98" s="589"/>
      <c r="M98" s="590"/>
      <c r="N98" s="1155"/>
      <c r="O98" s="1155"/>
      <c r="P98" s="2630"/>
      <c r="Q98" s="504"/>
    </row>
    <row r="99" spans="1:17" ht="15.75" hidden="1" thickBot="1">
      <c r="A99" s="2636"/>
      <c r="B99" s="569"/>
      <c r="C99" s="591"/>
      <c r="D99" s="591"/>
      <c r="E99" s="591"/>
      <c r="F99" s="591"/>
      <c r="G99" s="591"/>
      <c r="H99" s="591"/>
      <c r="I99" s="591"/>
      <c r="J99" s="591"/>
      <c r="K99" s="591"/>
      <c r="L99" s="591"/>
      <c r="M99" s="592"/>
      <c r="N99" s="1156"/>
      <c r="O99" s="1156"/>
      <c r="P99" s="2630"/>
      <c r="Q99" s="504"/>
    </row>
    <row r="100" spans="1:17" ht="15" thickTop="1">
      <c r="A100" s="527" t="s">
        <v>2562</v>
      </c>
      <c r="B100" s="528" t="s">
        <v>2611</v>
      </c>
      <c r="C100" s="2933" t="s">
        <v>3124</v>
      </c>
      <c r="D100" s="2933" t="s">
        <v>3125</v>
      </c>
      <c r="E100" s="2933" t="s">
        <v>3156</v>
      </c>
      <c r="F100" s="2933" t="s">
        <v>3155</v>
      </c>
      <c r="G100" s="2933" t="s">
        <v>3157</v>
      </c>
      <c r="H100" s="530"/>
      <c r="I100" s="530"/>
      <c r="J100" s="530"/>
      <c r="K100" s="531"/>
      <c r="L100" s="532"/>
      <c r="M100" s="533"/>
      <c r="N100" s="1155"/>
      <c r="O100" s="1155"/>
      <c r="P100" s="2630"/>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0"/>
      <c r="Q101" s="504"/>
    </row>
    <row r="102" spans="1:17" ht="29.25" thickTop="1">
      <c r="A102" s="534"/>
      <c r="B102" s="538" t="s">
        <v>2612</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7"/>
      <c r="O103" s="1157"/>
      <c r="P103" s="2631"/>
      <c r="Q103" s="559"/>
    </row>
    <row r="104" spans="1:17" s="471" customFormat="1" ht="15.75" thickBot="1">
      <c r="A104" s="553"/>
      <c r="B104" s="543"/>
      <c r="C104" s="560">
        <v>100</v>
      </c>
      <c r="D104" s="536">
        <v>101</v>
      </c>
      <c r="E104" s="536">
        <v>102</v>
      </c>
      <c r="F104" s="536">
        <v>103</v>
      </c>
      <c r="G104" s="536">
        <v>104</v>
      </c>
      <c r="H104" s="536">
        <v>105</v>
      </c>
      <c r="I104" s="536"/>
      <c r="J104" s="536"/>
      <c r="K104" s="536"/>
      <c r="L104" s="536"/>
      <c r="M104" s="536"/>
      <c r="N104" s="1156"/>
      <c r="O104" s="1156"/>
      <c r="P104" s="2631"/>
      <c r="Q104" s="559"/>
    </row>
    <row r="105" spans="1:17" ht="15" thickTop="1">
      <c r="A105" s="599"/>
      <c r="B105" s="538" t="s">
        <v>2613</v>
      </c>
      <c r="C105" s="2934" t="s">
        <v>3126</v>
      </c>
      <c r="D105" s="2934" t="s">
        <v>3127</v>
      </c>
      <c r="E105" s="2935" t="s">
        <v>3128</v>
      </c>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97</v>
      </c>
      <c r="E106" s="544">
        <f t="shared" si="28"/>
        <v>94</v>
      </c>
      <c r="F106" s="544">
        <f t="shared" si="28"/>
        <v>91</v>
      </c>
      <c r="G106" s="544">
        <f t="shared" si="28"/>
        <v>88</v>
      </c>
      <c r="H106" s="544">
        <f t="shared" si="28"/>
        <v>85</v>
      </c>
      <c r="I106" s="544">
        <f t="shared" si="28"/>
        <v>82</v>
      </c>
      <c r="J106" s="544">
        <f t="shared" si="28"/>
        <v>79</v>
      </c>
      <c r="K106" s="544">
        <f t="shared" si="28"/>
        <v>76</v>
      </c>
      <c r="L106" s="544">
        <f t="shared" si="28"/>
        <v>73</v>
      </c>
      <c r="M106" s="544">
        <f t="shared" si="28"/>
        <v>70</v>
      </c>
      <c r="N106" s="1156"/>
      <c r="O106" s="1156"/>
      <c r="P106" s="2630"/>
      <c r="Q106" s="504"/>
    </row>
    <row r="107" spans="1:17" ht="15" thickTop="1">
      <c r="A107" s="599"/>
      <c r="B107" s="538" t="s">
        <v>2614</v>
      </c>
      <c r="C107" s="2935" t="s">
        <v>3130</v>
      </c>
      <c r="D107" s="2935" t="s">
        <v>3132</v>
      </c>
      <c r="E107" s="2935" t="s">
        <v>3133</v>
      </c>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97</v>
      </c>
      <c r="E108" s="544">
        <f t="shared" si="29"/>
        <v>94</v>
      </c>
      <c r="F108" s="544">
        <f t="shared" si="29"/>
        <v>91</v>
      </c>
      <c r="G108" s="544">
        <f t="shared" si="29"/>
        <v>88</v>
      </c>
      <c r="H108" s="544">
        <f t="shared" si="29"/>
        <v>85</v>
      </c>
      <c r="I108" s="544">
        <f t="shared" si="29"/>
        <v>82</v>
      </c>
      <c r="J108" s="544">
        <f t="shared" si="29"/>
        <v>79</v>
      </c>
      <c r="K108" s="544">
        <f t="shared" si="29"/>
        <v>76</v>
      </c>
      <c r="L108" s="544">
        <f t="shared" si="29"/>
        <v>73</v>
      </c>
      <c r="M108" s="544">
        <f t="shared" si="29"/>
        <v>70</v>
      </c>
      <c r="N108" s="1156"/>
      <c r="O108" s="1156"/>
      <c r="P108" s="2630"/>
      <c r="Q108" s="504"/>
    </row>
    <row r="109" spans="1:17" ht="15" thickTop="1">
      <c r="A109" s="599"/>
      <c r="B109" s="538" t="s">
        <v>2615</v>
      </c>
      <c r="C109" s="2934" t="s">
        <v>3135</v>
      </c>
      <c r="D109" s="2934" t="s">
        <v>3137</v>
      </c>
      <c r="E109" s="2934" t="s">
        <v>3139</v>
      </c>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6"/>
      <c r="O110" s="1156"/>
      <c r="P110" s="2630"/>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2616</v>
      </c>
      <c r="C114" s="2934" t="s">
        <v>3141</v>
      </c>
      <c r="D114" s="2934" t="s">
        <v>3142</v>
      </c>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2617</v>
      </c>
      <c r="C116" s="2934" t="s">
        <v>3147</v>
      </c>
      <c r="D116" s="2934" t="s">
        <v>3148</v>
      </c>
      <c r="E116" s="2934" t="s">
        <v>3149</v>
      </c>
      <c r="F116" s="2934" t="s">
        <v>3150</v>
      </c>
      <c r="G116" s="2934" t="s">
        <v>3151</v>
      </c>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2618</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2573</v>
      </c>
      <c r="C120" s="554" t="s">
        <v>3152</v>
      </c>
      <c r="D120" s="554" t="s">
        <v>3153</v>
      </c>
      <c r="E120" s="554"/>
      <c r="F120" s="554"/>
      <c r="G120" s="554"/>
      <c r="H120" s="554"/>
      <c r="I120" s="554"/>
      <c r="J120" s="554"/>
      <c r="K120" s="554"/>
      <c r="L120" s="580"/>
      <c r="M120" s="581"/>
      <c r="N120" s="1157"/>
      <c r="O120" s="1157"/>
      <c r="P120" s="2631"/>
      <c r="Q120" s="559"/>
    </row>
    <row r="121" spans="1:17" s="471" customFormat="1" ht="15.75" thickBot="1">
      <c r="A121" s="553"/>
      <c r="B121" s="535"/>
      <c r="C121" s="560">
        <v>100</v>
      </c>
      <c r="D121" s="536">
        <v>102</v>
      </c>
      <c r="E121" s="536"/>
      <c r="F121" s="536"/>
      <c r="G121" s="536"/>
      <c r="H121" s="536"/>
      <c r="I121" s="536"/>
      <c r="J121" s="536"/>
      <c r="K121" s="536"/>
      <c r="L121" s="536"/>
      <c r="M121" s="536"/>
      <c r="N121" s="1157"/>
      <c r="O121" s="1157"/>
      <c r="P121" s="2631"/>
      <c r="Q121" s="559"/>
    </row>
    <row r="122" spans="1:17" ht="15" thickTop="1">
      <c r="A122" s="599"/>
      <c r="B122" s="538" t="s">
        <v>2619</v>
      </c>
      <c r="C122" s="2934" t="s">
        <v>3135</v>
      </c>
      <c r="D122" s="2934" t="s">
        <v>3137</v>
      </c>
      <c r="E122" s="2934" t="s">
        <v>3139</v>
      </c>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hidden="1" thickBot="1">
      <c r="A127" s="553"/>
      <c r="B127" s="543"/>
      <c r="C127" s="560"/>
      <c r="D127" s="536"/>
      <c r="E127" s="536"/>
      <c r="F127" s="536"/>
      <c r="G127" s="560"/>
      <c r="H127" s="562"/>
      <c r="I127" s="562"/>
      <c r="J127" s="562"/>
      <c r="K127" s="562"/>
      <c r="L127" s="562"/>
      <c r="M127" s="563"/>
      <c r="N127" s="1157"/>
      <c r="O127" s="1157"/>
      <c r="P127" s="2631"/>
      <c r="Q127" s="559"/>
    </row>
    <row r="128" spans="1:17" ht="15" hidden="1" thickTop="1">
      <c r="A128" s="599"/>
      <c r="B128" s="538">
        <f>B45</f>
        <v>111</v>
      </c>
      <c r="C128" s="554"/>
      <c r="D128" s="554"/>
      <c r="E128" s="554"/>
      <c r="F128" s="554"/>
      <c r="G128" s="583"/>
      <c r="H128" s="583"/>
      <c r="I128" s="583"/>
      <c r="J128" s="583"/>
      <c r="K128" s="584"/>
      <c r="L128" s="585"/>
      <c r="M128" s="586"/>
      <c r="N128" s="1155"/>
      <c r="O128" s="1155"/>
      <c r="P128" s="2630"/>
      <c r="Q128" s="504"/>
    </row>
    <row r="129" spans="1:17" ht="15.75" hidden="1" thickBot="1">
      <c r="A129" s="534"/>
      <c r="B129" s="543"/>
      <c r="C129" s="560"/>
      <c r="D129" s="560"/>
      <c r="E129" s="560"/>
      <c r="F129" s="560"/>
      <c r="G129" s="536"/>
      <c r="H129" s="536"/>
      <c r="I129" s="536"/>
      <c r="J129" s="536"/>
      <c r="K129" s="536"/>
      <c r="L129" s="536"/>
      <c r="M129" s="537"/>
      <c r="N129" s="1156"/>
      <c r="O129" s="1156"/>
      <c r="P129" s="2630"/>
      <c r="Q129" s="504"/>
    </row>
    <row r="130" spans="1:17" ht="15" hidden="1" thickTop="1">
      <c r="A130" s="599"/>
      <c r="B130" s="546">
        <f>B46</f>
        <v>111</v>
      </c>
      <c r="C130" s="554"/>
      <c r="D130" s="554"/>
      <c r="E130" s="554"/>
      <c r="F130" s="554"/>
      <c r="G130" s="587"/>
      <c r="H130" s="587"/>
      <c r="I130" s="587"/>
      <c r="J130" s="587"/>
      <c r="K130" s="523"/>
      <c r="L130" s="524"/>
      <c r="M130" s="590"/>
      <c r="N130" s="1155"/>
      <c r="O130" s="1155"/>
      <c r="P130" s="2630"/>
      <c r="Q130" s="504"/>
    </row>
    <row r="131" spans="1:17" ht="15.75" hidden="1" thickBot="1">
      <c r="A131" s="2636"/>
      <c r="B131" s="569"/>
      <c r="C131" s="570"/>
      <c r="D131" s="570"/>
      <c r="E131" s="570"/>
      <c r="F131" s="570"/>
      <c r="G131" s="591"/>
      <c r="H131" s="591"/>
      <c r="I131" s="591"/>
      <c r="J131" s="591"/>
      <c r="K131" s="591"/>
      <c r="L131" s="591"/>
      <c r="M131" s="592"/>
      <c r="N131" s="1156"/>
      <c r="O131" s="1156"/>
      <c r="P131" s="2630"/>
      <c r="Q131" s="504"/>
    </row>
    <row r="132" spans="1:17" ht="15" thickTop="1"/>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5" t="s">
        <v>2624</v>
      </c>
      <c r="D138" s="145" t="s">
        <v>2625</v>
      </c>
      <c r="E138" s="2645" t="s">
        <v>2626</v>
      </c>
      <c r="F138" s="2646" t="s">
        <v>2627</v>
      </c>
      <c r="G138" s="145" t="s">
        <v>2625</v>
      </c>
      <c r="H138" s="146" t="s">
        <v>2626</v>
      </c>
      <c r="I138" s="2647"/>
      <c r="J138" s="145" t="s">
        <v>2628</v>
      </c>
      <c r="K138" s="146" t="s">
        <v>2629</v>
      </c>
    </row>
    <row r="139" spans="1:17" ht="15">
      <c r="B139" s="1087">
        <v>6</v>
      </c>
      <c r="C139" s="1088">
        <v>96</v>
      </c>
      <c r="D139" s="2648" t="s">
        <v>2630</v>
      </c>
      <c r="E139" s="1089">
        <v>100</v>
      </c>
      <c r="F139" s="1090">
        <v>102.5</v>
      </c>
      <c r="G139" s="2648" t="s">
        <v>2630</v>
      </c>
      <c r="H139" s="1091">
        <v>105</v>
      </c>
      <c r="I139" s="2649" t="s">
        <v>2631</v>
      </c>
      <c r="J139" s="1088">
        <v>20</v>
      </c>
      <c r="K139" s="1092">
        <f>C145/(J139-2)</f>
        <v>4.0555555555555553E-3</v>
      </c>
    </row>
    <row r="140" spans="1:17" ht="15">
      <c r="B140" s="1093">
        <v>5</v>
      </c>
      <c r="C140" s="1094">
        <v>100</v>
      </c>
      <c r="D140" s="1094"/>
      <c r="E140" s="1095"/>
      <c r="F140" s="1096">
        <v>102</v>
      </c>
      <c r="G140" s="1094"/>
      <c r="H140" s="1097"/>
      <c r="I140" s="2650" t="s">
        <v>2632</v>
      </c>
      <c r="J140" s="315">
        <f>ROUNDUP((J139-1)/2,0)</f>
        <v>10</v>
      </c>
      <c r="K140" s="1098">
        <v>100</v>
      </c>
    </row>
    <row r="141" spans="1:17" ht="15">
      <c r="B141" s="1093">
        <v>4</v>
      </c>
      <c r="C141" s="1094">
        <v>102</v>
      </c>
      <c r="D141" s="1094"/>
      <c r="E141" s="1095"/>
      <c r="F141" s="1096">
        <v>101.5</v>
      </c>
      <c r="G141" s="1094"/>
      <c r="H141" s="1097"/>
      <c r="I141" s="2650" t="s">
        <v>2633</v>
      </c>
      <c r="J141" s="315">
        <v>1</v>
      </c>
      <c r="K141" s="1099">
        <f>ROUND(100+(J141-J140)*K139*100,1)</f>
        <v>96.4</v>
      </c>
    </row>
    <row r="142" spans="1:17" ht="15">
      <c r="B142" s="1093">
        <v>3</v>
      </c>
      <c r="C142" s="1094">
        <v>103</v>
      </c>
      <c r="D142" s="1094"/>
      <c r="E142" s="1095"/>
      <c r="F142" s="1096">
        <v>101</v>
      </c>
      <c r="G142" s="1094"/>
      <c r="H142" s="1097"/>
      <c r="I142" s="2650" t="s">
        <v>2634</v>
      </c>
      <c r="J142" s="315">
        <f>J139</f>
        <v>20</v>
      </c>
      <c r="K142" s="1100">
        <v>95</v>
      </c>
    </row>
    <row r="143" spans="1:17" ht="15">
      <c r="B143" s="1093">
        <v>2</v>
      </c>
      <c r="C143" s="1094">
        <v>100</v>
      </c>
      <c r="D143" s="1094"/>
      <c r="E143" s="1095"/>
      <c r="F143" s="1096">
        <v>100.5</v>
      </c>
      <c r="G143" s="1094"/>
      <c r="H143" s="1097"/>
      <c r="I143" s="2650" t="s">
        <v>2635</v>
      </c>
      <c r="J143" s="1094">
        <v>15</v>
      </c>
      <c r="K143" s="1099">
        <f>ROUND(100+(J143-J140)*K139*100,1)</f>
        <v>102</v>
      </c>
    </row>
    <row r="144" spans="1:17" ht="15">
      <c r="B144" s="1093">
        <v>1</v>
      </c>
      <c r="C144" s="1094">
        <v>98</v>
      </c>
      <c r="D144" s="2651" t="s">
        <v>2636</v>
      </c>
      <c r="E144" s="1095">
        <v>102</v>
      </c>
      <c r="F144" s="1101">
        <v>100</v>
      </c>
      <c r="G144" s="2651" t="s">
        <v>2636</v>
      </c>
      <c r="H144" s="1097">
        <v>105</v>
      </c>
      <c r="I144" s="2650" t="s">
        <v>2635</v>
      </c>
      <c r="J144" s="1094">
        <v>18</v>
      </c>
      <c r="K144" s="1099">
        <f>ROUND(100+(J144-J140)*K139*100,1)</f>
        <v>103.2</v>
      </c>
    </row>
    <row r="145" spans="2:11" ht="15.75" thickBot="1">
      <c r="B145" s="2652" t="s">
        <v>2637</v>
      </c>
      <c r="C145" s="1102">
        <f>ROUND(MAX(C139:C144)/MIN(C139:C144)-1,3)</f>
        <v>7.2999999999999995E-2</v>
      </c>
      <c r="D145" s="1103"/>
      <c r="E145" s="1103"/>
      <c r="F145" s="2653" t="s">
        <v>2638</v>
      </c>
      <c r="G145" s="2654"/>
      <c r="H145" s="2655"/>
      <c r="I145" s="2656" t="s">
        <v>2635</v>
      </c>
      <c r="J145" s="1104">
        <v>8</v>
      </c>
      <c r="K145" s="1105">
        <f>ROUND(100+(J145-J140)*K139*100,1)</f>
        <v>99.2</v>
      </c>
    </row>
    <row r="147" spans="2:11">
      <c r="B147" s="2637" t="s">
        <v>2639</v>
      </c>
    </row>
    <row r="148" spans="2:11">
      <c r="B148" s="263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zoomScale="85" zoomScaleNormal="85"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1378</v>
      </c>
      <c r="D1" s="1824" t="s">
        <v>3120</v>
      </c>
      <c r="E1" s="1825" t="s">
        <v>1388</v>
      </c>
      <c r="F1" s="1286">
        <f ca="1">J53</f>
        <v>34.86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3151</v>
      </c>
      <c r="C2" s="1848" t="s">
        <v>1518</v>
      </c>
      <c r="D2" s="1848"/>
      <c r="E2" s="1849"/>
      <c r="F2" s="1850"/>
      <c r="G2" s="1851"/>
      <c r="H2" s="1843"/>
      <c r="I2" s="1843"/>
      <c r="J2" s="1843"/>
      <c r="K2" s="1844"/>
      <c r="L2" s="1843"/>
      <c r="M2" s="1843"/>
    </row>
    <row r="3" spans="1:37" ht="18" customHeight="1" thickBot="1">
      <c r="A3" s="1852" t="s">
        <v>1519</v>
      </c>
      <c r="B3" s="1853">
        <f ca="1">IF(ISERROR(B2*10000/F43),0,ROUND(B2*10000/F43,0))</f>
        <v>16587</v>
      </c>
      <c r="C3" s="1848" t="s">
        <v>1520</v>
      </c>
      <c r="D3" s="1848"/>
      <c r="E3" s="1849"/>
      <c r="F3" s="1850"/>
      <c r="G3" s="1851"/>
      <c r="H3" s="744" t="s">
        <v>1590</v>
      </c>
      <c r="I3" s="1843"/>
      <c r="J3" s="1843"/>
      <c r="K3" s="1844"/>
      <c r="L3" s="1843"/>
      <c r="M3" s="1843"/>
    </row>
    <row r="4" spans="1:37" ht="18" customHeight="1">
      <c r="A4" s="2957" t="s">
        <v>1397</v>
      </c>
      <c r="B4" s="2958" t="s">
        <v>1398</v>
      </c>
      <c r="C4" s="2958" t="s">
        <v>1399</v>
      </c>
      <c r="D4" s="2958" t="s">
        <v>1400</v>
      </c>
      <c r="E4" s="2959" t="s">
        <v>1401</v>
      </c>
      <c r="F4" s="2960"/>
      <c r="G4" s="1854"/>
      <c r="H4" s="340" t="s">
        <v>1397</v>
      </c>
      <c r="I4" s="341" t="s">
        <v>1398</v>
      </c>
      <c r="J4" s="341" t="s">
        <v>1399</v>
      </c>
      <c r="K4" s="341" t="s">
        <v>1400</v>
      </c>
      <c r="L4" s="342" t="s">
        <v>1401</v>
      </c>
      <c r="M4" s="343"/>
    </row>
    <row r="5" spans="1:37" ht="18" customHeight="1">
      <c r="A5" s="2961">
        <v>1</v>
      </c>
      <c r="B5" s="345" t="s">
        <v>1402</v>
      </c>
      <c r="C5" s="31">
        <f ca="1">C6+C10+C12</f>
        <v>156</v>
      </c>
      <c r="D5" s="2786" t="s">
        <v>1403</v>
      </c>
      <c r="E5" s="2962"/>
      <c r="F5" s="1350"/>
      <c r="G5" s="1854"/>
      <c r="H5" s="344">
        <v>1</v>
      </c>
      <c r="I5" s="345" t="s">
        <v>1402</v>
      </c>
      <c r="J5" s="1295">
        <f ca="1">J6+J10+J12</f>
        <v>0</v>
      </c>
      <c r="K5" s="1826" t="s">
        <v>1403</v>
      </c>
      <c r="L5" s="1296"/>
      <c r="M5" s="1297"/>
    </row>
    <row r="6" spans="1:37" ht="18" customHeight="1">
      <c r="A6" s="2963" t="s">
        <v>1035</v>
      </c>
      <c r="B6" s="3248" t="s">
        <v>1404</v>
      </c>
      <c r="C6" s="2964">
        <f ca="1">ROUND(F6*F8*F7*(1-F9)/10000,0)</f>
        <v>156</v>
      </c>
      <c r="D6" s="2965" t="s">
        <v>3035</v>
      </c>
      <c r="E6" s="2952" t="s">
        <v>1406</v>
      </c>
      <c r="F6" s="2966">
        <f ca="1">INDIRECT("'数据-取费表'!u"&amp;$G$1)</f>
        <v>2.5</v>
      </c>
      <c r="G6" s="1854"/>
      <c r="H6" s="1294" t="s">
        <v>1035</v>
      </c>
      <c r="I6" s="3248" t="s">
        <v>1404</v>
      </c>
      <c r="J6" s="346">
        <f ca="1">ROUND(M6*M8*M7*(1-M9)/10000,0)</f>
        <v>0</v>
      </c>
      <c r="K6" s="164" t="s">
        <v>3034</v>
      </c>
      <c r="L6" s="347" t="s">
        <v>1406</v>
      </c>
      <c r="M6" s="348">
        <f ca="1">INDIRECT("'数据-取费表'!z"&amp;$G$1)</f>
        <v>0</v>
      </c>
    </row>
    <row r="7" spans="1:37" ht="18" customHeight="1">
      <c r="A7" s="2967"/>
      <c r="B7" s="3249"/>
      <c r="C7" s="2968"/>
      <c r="D7" s="2969"/>
      <c r="E7" s="2950" t="s">
        <v>1407</v>
      </c>
      <c r="F7" s="2966">
        <f ca="1">IF(INDIRECT("'数据-取费表'!ah"&amp;$G$1)="",INDIRECT("'数据-取费表'!k"&amp;$G$1),INDIRECT("'数据-取费表'!ah"&amp;$G$1))</f>
        <v>1899.73</v>
      </c>
      <c r="G7" s="1854"/>
      <c r="H7" s="349"/>
      <c r="I7" s="3249"/>
      <c r="J7" s="351"/>
      <c r="K7" s="352"/>
      <c r="L7" s="347" t="s">
        <v>1407</v>
      </c>
      <c r="M7" s="348">
        <f ca="1">F7</f>
        <v>1899.73</v>
      </c>
    </row>
    <row r="8" spans="1:37" ht="18" customHeight="1">
      <c r="A8" s="2970"/>
      <c r="B8" s="3249"/>
      <c r="C8" s="2971"/>
      <c r="D8" s="2969"/>
      <c r="E8" s="2952" t="s">
        <v>1408</v>
      </c>
      <c r="F8" s="2966">
        <f ca="1">INDIRECT("'数据-取费表'!ai"&amp;$G$1)</f>
        <v>365</v>
      </c>
      <c r="G8" s="1854"/>
      <c r="H8" s="349"/>
      <c r="I8" s="3249"/>
      <c r="J8" s="351"/>
      <c r="K8" s="352"/>
      <c r="L8" s="347" t="s">
        <v>1408</v>
      </c>
      <c r="M8" s="348">
        <f ca="1">INDIRECT("'数据-取费表'!ai"&amp;$G$1)</f>
        <v>365</v>
      </c>
    </row>
    <row r="9" spans="1:37" ht="18" customHeight="1">
      <c r="A9" s="2970"/>
      <c r="B9" s="3250"/>
      <c r="C9" s="2971"/>
      <c r="D9" s="2969"/>
      <c r="E9" s="2952" t="s">
        <v>1409</v>
      </c>
      <c r="F9" s="2972">
        <f ca="1">INDIRECT("'数据-取费表'!w"&amp;$G$1)</f>
        <v>0.1</v>
      </c>
      <c r="G9" s="1854"/>
      <c r="H9" s="349"/>
      <c r="I9" s="3250"/>
      <c r="J9" s="351"/>
      <c r="K9" s="352"/>
      <c r="L9" s="358" t="s">
        <v>1409</v>
      </c>
      <c r="M9" s="359">
        <f ca="1">INDIRECT("'数据-取费表'!ab"&amp;$G$1)</f>
        <v>0</v>
      </c>
    </row>
    <row r="10" spans="1:37" ht="18" customHeight="1">
      <c r="A10" s="2963" t="s">
        <v>1039</v>
      </c>
      <c r="B10" s="1827" t="s">
        <v>1410</v>
      </c>
      <c r="C10" s="2973">
        <f ca="1">ROUND(IF(F10="押一",F6*F8*F7/12*F11,IF(F10="押二",F6*F8*F7/12*2*F11,IF(F10="押三",F6*F8*F7/12*3*F11,C11*F11)))/10000,0)</f>
        <v>0</v>
      </c>
      <c r="D10" s="1827" t="s">
        <v>3036</v>
      </c>
      <c r="E10" s="370" t="s">
        <v>1412</v>
      </c>
      <c r="F10" s="2974" t="s">
        <v>3123</v>
      </c>
      <c r="G10" s="1854"/>
      <c r="H10" s="1294" t="s">
        <v>1039</v>
      </c>
      <c r="I10" s="1827" t="s">
        <v>1410</v>
      </c>
      <c r="J10" s="346">
        <f ca="1">ROUND(IF(M10="押一",M6*M8*M7/12*M11,IF(M10="押二",M6*M8*M7/12*2*M11,IF(M10="押三",M6*M8*M7/12*3*M11,J11*M11)))/10000,0)</f>
        <v>0</v>
      </c>
      <c r="K10" s="1828" t="s">
        <v>3037</v>
      </c>
      <c r="L10" s="358" t="s">
        <v>1412</v>
      </c>
      <c r="M10" s="1369" t="s">
        <v>1413</v>
      </c>
    </row>
    <row r="11" spans="1:37" ht="18" customHeight="1">
      <c r="A11" s="2975"/>
      <c r="B11" s="1829" t="s">
        <v>1389</v>
      </c>
      <c r="C11" s="2976"/>
      <c r="D11" s="2977"/>
      <c r="E11" s="370" t="s">
        <v>1414</v>
      </c>
      <c r="F11" s="2978">
        <f ca="1">'数据-取费表'!B39</f>
        <v>1.4999999999999999E-2</v>
      </c>
      <c r="G11" s="1854"/>
      <c r="H11" s="1302"/>
      <c r="I11" s="1829" t="s">
        <v>1389</v>
      </c>
      <c r="J11" s="1181"/>
      <c r="K11" s="748"/>
      <c r="L11" s="358" t="s">
        <v>1414</v>
      </c>
      <c r="M11" s="1059">
        <f ca="1">'数据-取费表'!B39</f>
        <v>1.4999999999999999E-2</v>
      </c>
    </row>
    <row r="12" spans="1:37" ht="18" customHeight="1" thickBot="1">
      <c r="A12" s="2979" t="s">
        <v>1075</v>
      </c>
      <c r="B12" s="1830" t="s">
        <v>1415</v>
      </c>
      <c r="C12" s="2980"/>
      <c r="D12" s="2981"/>
      <c r="E12" s="1345"/>
      <c r="F12" s="2982"/>
      <c r="G12" s="1854"/>
      <c r="H12" s="1336" t="s">
        <v>1075</v>
      </c>
      <c r="I12" s="1830" t="s">
        <v>1415</v>
      </c>
      <c r="J12" s="1337"/>
      <c r="K12" s="1351"/>
      <c r="L12" s="1343"/>
      <c r="M12" s="1352"/>
    </row>
    <row r="13" spans="1:37" ht="18" customHeight="1" thickTop="1">
      <c r="A13" s="2983">
        <v>2</v>
      </c>
      <c r="B13" s="1347" t="s">
        <v>1416</v>
      </c>
      <c r="C13" s="2984">
        <f ca="1">ROUND(C29*F13,0)</f>
        <v>660</v>
      </c>
      <c r="D13" s="378" t="s">
        <v>1417</v>
      </c>
      <c r="E13" s="378" t="s">
        <v>1418</v>
      </c>
      <c r="F13" s="2985">
        <f ca="1">INDIRECT("'数据-取费表'!y"&amp;$G$1)</f>
        <v>1</v>
      </c>
      <c r="G13" s="1854"/>
      <c r="H13" s="1332">
        <v>2</v>
      </c>
      <c r="I13" s="1333" t="s">
        <v>1416</v>
      </c>
      <c r="J13" s="1293">
        <f ca="1">ROUND(J14*J15,0)</f>
        <v>0</v>
      </c>
      <c r="K13" s="1340" t="s">
        <v>1417</v>
      </c>
      <c r="L13" s="1855"/>
      <c r="M13" s="1856"/>
    </row>
    <row r="14" spans="1:37" ht="18" customHeight="1">
      <c r="A14" s="197" t="s">
        <v>1034</v>
      </c>
      <c r="B14" s="2952" t="s">
        <v>1419</v>
      </c>
      <c r="C14" s="2488">
        <f ca="1">INDIRECT("'数据-取费表'!m"&amp;$G$1)+INDIRECT("'数据-取费表'!t"&amp;$G$1)</f>
        <v>337</v>
      </c>
      <c r="D14" s="2949" t="s">
        <v>1420</v>
      </c>
      <c r="E14" s="2948"/>
      <c r="F14" s="2986"/>
      <c r="G14" s="1854"/>
      <c r="H14" s="1204" t="s">
        <v>1035</v>
      </c>
      <c r="I14" s="347" t="s">
        <v>1421</v>
      </c>
      <c r="J14" s="24">
        <f ca="1">C29</f>
        <v>660</v>
      </c>
      <c r="K14" s="15"/>
      <c r="L14" s="982"/>
      <c r="M14" s="983"/>
    </row>
    <row r="15" spans="1:37" s="1861" customFormat="1" ht="18" customHeight="1" thickBot="1">
      <c r="A15" s="197" t="s">
        <v>1036</v>
      </c>
      <c r="B15" s="2952" t="s">
        <v>1422</v>
      </c>
      <c r="C15" s="11">
        <f ca="1">ROUND(C14*F15,0)</f>
        <v>10</v>
      </c>
      <c r="D15" s="373" t="s">
        <v>1423</v>
      </c>
      <c r="E15" s="373" t="s">
        <v>1424</v>
      </c>
      <c r="F15" s="298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97" t="s">
        <v>1390</v>
      </c>
      <c r="B16" s="2952" t="s">
        <v>1425</v>
      </c>
      <c r="C16" s="11">
        <f ca="1">ROUND(INDIRECT("'数据-取费表'!m"&amp;$G$1)*F16,0)</f>
        <v>0</v>
      </c>
      <c r="D16" s="2952" t="s">
        <v>1423</v>
      </c>
      <c r="E16" s="2952" t="s">
        <v>1424</v>
      </c>
      <c r="F16" s="2988">
        <f ca="1">IF(INDIRECT("'数据-取费表'!c"&amp;$G$1)="住宅",'数据-取费表'!B34,0)</f>
        <v>0</v>
      </c>
      <c r="G16" s="1854"/>
      <c r="H16" s="1332" t="s">
        <v>1030</v>
      </c>
      <c r="I16" s="1333" t="s">
        <v>1426</v>
      </c>
      <c r="J16" s="355">
        <f ca="1">ROUND(J17+J22+J23+J24,0)</f>
        <v>16</v>
      </c>
      <c r="K16" s="1340" t="s">
        <v>1427</v>
      </c>
      <c r="L16" s="1341"/>
      <c r="M16" s="1297"/>
    </row>
    <row r="17" spans="1:37" s="1861" customFormat="1" ht="18" customHeight="1">
      <c r="A17" s="197" t="s">
        <v>1391</v>
      </c>
      <c r="B17" s="2952" t="s">
        <v>1428</v>
      </c>
      <c r="C17" s="11">
        <f ca="1">ROUND(F17*(F43+INDIRECT("'数据-取费表'!S"&amp;$G$1))/10000,0)</f>
        <v>31</v>
      </c>
      <c r="D17" s="2952" t="s">
        <v>1429</v>
      </c>
      <c r="E17" s="2952" t="s">
        <v>1430</v>
      </c>
      <c r="F17" s="2989">
        <f>'数据-取费表'!B35</f>
        <v>150</v>
      </c>
      <c r="G17" s="1857"/>
      <c r="H17" s="1204" t="s">
        <v>1035</v>
      </c>
      <c r="I17" s="347" t="s">
        <v>1431</v>
      </c>
      <c r="J17" s="24">
        <f ca="1">ROUND(IF(项目基本情况!B11="自然人",J5*M17,J18+J19+J20),1)</f>
        <v>5.8</v>
      </c>
      <c r="K17" s="1804" t="s">
        <v>1432</v>
      </c>
      <c r="L17" s="180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97" t="s">
        <v>1392</v>
      </c>
      <c r="B18" s="2952" t="s">
        <v>1434</v>
      </c>
      <c r="C18" s="11">
        <f ca="1">ROUND(C14*F18,0)</f>
        <v>5</v>
      </c>
      <c r="D18" s="2952" t="s">
        <v>1423</v>
      </c>
      <c r="E18" s="2952" t="s">
        <v>1424</v>
      </c>
      <c r="F18" s="2988">
        <f>'数据-取费表'!B36</f>
        <v>1.4999999999999999E-2</v>
      </c>
      <c r="G18" s="1857"/>
      <c r="H18" s="1204" t="s">
        <v>1034</v>
      </c>
      <c r="I18" s="347" t="s">
        <v>1435</v>
      </c>
      <c r="J18" s="24">
        <f ca="1">ROUND(J5*M18/(1+'数据-取费表'!C42),2)</f>
        <v>0</v>
      </c>
      <c r="K18" s="1802" t="s">
        <v>1436</v>
      </c>
      <c r="L18" s="347" t="s">
        <v>1424</v>
      </c>
      <c r="M18" s="367">
        <f>'数据-取费表'!B41</f>
        <v>6.1600000000000002E-2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97" t="s">
        <v>1035</v>
      </c>
      <c r="B19" s="2952" t="s">
        <v>1437</v>
      </c>
      <c r="C19" s="11">
        <f ca="1">SUM(C14:C18)</f>
        <v>383</v>
      </c>
      <c r="D19" s="2990" t="s">
        <v>1438</v>
      </c>
      <c r="E19" s="2951"/>
      <c r="F19" s="2989"/>
      <c r="G19" s="1854"/>
      <c r="H19" s="1204" t="s">
        <v>1036</v>
      </c>
      <c r="I19" s="347" t="s">
        <v>1439</v>
      </c>
      <c r="J19" s="24">
        <f ca="1">IF(K19="按租金收入计税",ROUND(J5*M19,2),ROUND(C29*M19*0.7,2))</f>
        <v>5.54</v>
      </c>
      <c r="K19" s="1831" t="s">
        <v>1440</v>
      </c>
      <c r="L19" s="347" t="s">
        <v>1424</v>
      </c>
      <c r="M19" s="367">
        <f>IF(K19="按租金收入计税",'数据-取费表'!B51,'数据-取费表'!B50)</f>
        <v>1.2E-2</v>
      </c>
    </row>
    <row r="20" spans="1:37" s="1861" customFormat="1" ht="18" customHeight="1">
      <c r="A20" s="197" t="s">
        <v>1039</v>
      </c>
      <c r="B20" s="2952" t="s">
        <v>1441</v>
      </c>
      <c r="C20" s="11">
        <f ca="1">ROUND(C19*F20,0)</f>
        <v>8</v>
      </c>
      <c r="D20" s="369" t="s">
        <v>1442</v>
      </c>
      <c r="E20" s="2952" t="s">
        <v>1424</v>
      </c>
      <c r="F20" s="2988">
        <f>'数据-取费表'!B37</f>
        <v>0.02</v>
      </c>
      <c r="G20" s="1857"/>
      <c r="H20" s="1204" t="s">
        <v>1390</v>
      </c>
      <c r="I20" s="164" t="s">
        <v>1443</v>
      </c>
      <c r="J20" s="25">
        <f ca="1">ROUND(M20*M21/10000,2)</f>
        <v>0.25</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97" t="s">
        <v>1075</v>
      </c>
      <c r="B21" s="2952" t="s">
        <v>1446</v>
      </c>
      <c r="C21" s="11" t="s">
        <v>18</v>
      </c>
      <c r="D21" s="369" t="s">
        <v>1447</v>
      </c>
      <c r="E21" s="2952" t="s">
        <v>1448</v>
      </c>
      <c r="F21" s="2988">
        <f>'数据-取费表'!B38</f>
        <v>0.02</v>
      </c>
      <c r="G21" s="1857"/>
      <c r="H21" s="372"/>
      <c r="I21" s="356"/>
      <c r="J21" s="29"/>
      <c r="K21" s="373"/>
      <c r="L21" s="347" t="s">
        <v>1449</v>
      </c>
      <c r="M21" s="348">
        <f ca="1">INDIRECT("'数据-取费表'!r"&amp;$G$1)</f>
        <v>825.42000000000007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97" t="s">
        <v>1393</v>
      </c>
      <c r="B22" s="2952" t="s">
        <v>1450</v>
      </c>
      <c r="C22" s="11"/>
      <c r="D22" s="2990" t="str">
        <f>IF(F23&lt;=1,"单利计息。","复利计息。")&amp;"建造成本、管理费用、销售费用产生的利息。"</f>
        <v>复利计息。建造成本、管理费用、销售费用产生的利息。</v>
      </c>
      <c r="E22" s="2951"/>
      <c r="F22" s="2989"/>
      <c r="G22" s="1854"/>
      <c r="H22" s="1204" t="s">
        <v>1039</v>
      </c>
      <c r="I22" s="347" t="s">
        <v>1451</v>
      </c>
      <c r="J22" s="24">
        <f ca="1">ROUND(J14*M22,1)</f>
        <v>9.9</v>
      </c>
      <c r="K22" s="1802" t="s">
        <v>1452</v>
      </c>
      <c r="L22" s="347" t="s">
        <v>1424</v>
      </c>
      <c r="M22" s="374">
        <f ca="1">INDIRECT("'数据-取费表'!Ak"&amp;$G$1)</f>
        <v>1.4999999999999999E-2</v>
      </c>
    </row>
    <row r="23" spans="1:37" s="1861" customFormat="1" ht="18" customHeight="1">
      <c r="A23" s="197" t="s">
        <v>1034</v>
      </c>
      <c r="B23" s="2952" t="s">
        <v>1453</v>
      </c>
      <c r="C23" s="11">
        <f ca="1">IF('数据-取费表'!B22&lt;=1,ROUND(C19*F24*F23/2,0)+ROUND(C20*F24*F23/2,0),ROUND(C19*(POWER((1+F24),F23/2)-1),0)+ROUND(C20*(POWER((1+F24),F23/2)-1),0))</f>
        <v>14</v>
      </c>
      <c r="D23" s="369" t="str">
        <f>IF(F23&lt;=1,"(建造成本+管理费用)×利率×(建设周期÷2)","(建造成本+管理费用)×((1+利率)^(建设周期÷2)-1)")</f>
        <v>(建造成本+管理费用)×((1+利率)^(建设周期÷2)-1)</v>
      </c>
      <c r="E23" s="2952" t="s">
        <v>1454</v>
      </c>
      <c r="F23" s="2991">
        <f>'数据-取费表'!B20</f>
        <v>1.5</v>
      </c>
      <c r="G23" s="1857"/>
      <c r="H23" s="1204" t="s">
        <v>1075</v>
      </c>
      <c r="I23" s="347" t="s">
        <v>1455</v>
      </c>
      <c r="J23" s="24">
        <f ca="1">ROUND(J13*M23,1)</f>
        <v>0</v>
      </c>
      <c r="K23" s="1802"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97" t="s">
        <v>1458</v>
      </c>
      <c r="B24" s="2952" t="s">
        <v>1459</v>
      </c>
      <c r="C24" s="11">
        <f ca="1">ROUND(IF('数据-取费表'!B22&lt;=1,F21*F24*F23/2,F21*(POWER((1+F24),F23/2)-1)),4)</f>
        <v>6.9999999999999999E-4</v>
      </c>
      <c r="D24" s="369" t="str">
        <f>IF(F23&lt;=1,"销售费用×利率×(建设周期÷2)","销售费用×((1+利率)^(建设周期÷2)-1)")</f>
        <v>销售费用×((1+利率)^(建设周期÷2)-1)</v>
      </c>
      <c r="E24" s="2952" t="s">
        <v>1460</v>
      </c>
      <c r="F24" s="2992">
        <f ca="1">'数据-取费表'!B40</f>
        <v>4.7500000000000001E-2</v>
      </c>
      <c r="G24" s="1857"/>
      <c r="H24" s="1342" t="s">
        <v>1394</v>
      </c>
      <c r="I24" s="1343" t="s">
        <v>1441</v>
      </c>
      <c r="J24" s="1344">
        <f ca="1">ROUND(J5*M24,1)</f>
        <v>0</v>
      </c>
      <c r="K24" s="1345" t="s">
        <v>1461</v>
      </c>
      <c r="L24" s="1343" t="s">
        <v>1457</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97" t="s">
        <v>1462</v>
      </c>
      <c r="B25" s="2952" t="s">
        <v>1463</v>
      </c>
      <c r="C25" s="11"/>
      <c r="D25" s="2990" t="s">
        <v>1464</v>
      </c>
      <c r="E25" s="2951"/>
      <c r="F25" s="2989"/>
      <c r="G25" s="1854"/>
      <c r="H25" s="1332" t="s">
        <v>1031</v>
      </c>
      <c r="I25" s="1347" t="s">
        <v>1465</v>
      </c>
      <c r="J25" s="355">
        <f ca="1">J5-J16</f>
        <v>-16</v>
      </c>
      <c r="K25" s="1348" t="s">
        <v>1466</v>
      </c>
      <c r="L25" s="1349"/>
      <c r="M25" s="1350"/>
    </row>
    <row r="26" spans="1:37">
      <c r="A26" s="197" t="s">
        <v>1034</v>
      </c>
      <c r="B26" s="2952" t="s">
        <v>1467</v>
      </c>
      <c r="C26" s="11">
        <f ca="1">ROUND((C19+C20)*F26,0)</f>
        <v>196</v>
      </c>
      <c r="D26" s="369" t="s">
        <v>1468</v>
      </c>
      <c r="E26" s="370" t="s">
        <v>1469</v>
      </c>
      <c r="F26" s="2972">
        <f ca="1">INDIRECT("'数据-取费表'!q"&amp;$G$1)</f>
        <v>0.5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97" t="s">
        <v>1036</v>
      </c>
      <c r="B27" s="2952" t="s">
        <v>1473</v>
      </c>
      <c r="C27" s="11">
        <f ca="1">ROUND(F21*F26,4)</f>
        <v>0.01</v>
      </c>
      <c r="D27" s="369" t="s">
        <v>1474</v>
      </c>
      <c r="E27" s="373"/>
      <c r="F27" s="2987"/>
      <c r="G27" s="1854"/>
      <c r="H27" s="349"/>
      <c r="I27" s="350"/>
      <c r="J27" s="351"/>
      <c r="K27" s="378" t="s">
        <v>1475</v>
      </c>
      <c r="L27" s="347" t="s">
        <v>1476</v>
      </c>
      <c r="M27" s="379">
        <f ca="1">INDIRECT("'数据-取费表'!ag"&amp;$G$1)</f>
        <v>0</v>
      </c>
    </row>
    <row r="28" spans="1:37" s="1861" customFormat="1" ht="18" customHeight="1">
      <c r="A28" s="197" t="s">
        <v>1037</v>
      </c>
      <c r="B28" s="2952" t="s">
        <v>1477</v>
      </c>
      <c r="C28" s="11">
        <f>ROUND(F28/(1+'数据-取费表'!C42),4)</f>
        <v>5.8299999999999998E-2</v>
      </c>
      <c r="D28" s="369" t="s">
        <v>1478</v>
      </c>
      <c r="E28" s="2952" t="s">
        <v>1424</v>
      </c>
      <c r="F28" s="2988">
        <f>'数据-取费表'!B41</f>
        <v>6.1600000000000002E-2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2993" t="s">
        <v>1038</v>
      </c>
      <c r="B29" s="1345" t="s">
        <v>1480</v>
      </c>
      <c r="C29" s="2994">
        <f ca="1">ROUND((C19+C20+C23+C26)/(1-F21-C24-C27-C28),0)</f>
        <v>660</v>
      </c>
      <c r="D29" s="1345"/>
      <c r="E29" s="1345"/>
      <c r="F29" s="2995"/>
      <c r="G29" s="1857"/>
      <c r="H29" s="380" t="s">
        <v>1033</v>
      </c>
      <c r="I29" s="381" t="s">
        <v>1481</v>
      </c>
      <c r="J29" s="382">
        <f ca="1">ROUND(J26/(1+F40)^F41,0)</f>
        <v>0</v>
      </c>
      <c r="K29" s="383" t="s">
        <v>1482</v>
      </c>
      <c r="L29" s="384"/>
      <c r="M29" s="385">
        <f ca="1">INDIRECT("'数据-取费表'!k"&amp;$G$1)</f>
        <v>1899.73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2983" t="s">
        <v>1030</v>
      </c>
      <c r="B30" s="1347" t="s">
        <v>1426</v>
      </c>
      <c r="C30" s="2984">
        <f ca="1">ROUND(C31+C36+C37+C38,0)</f>
        <v>27</v>
      </c>
      <c r="D30" s="1348" t="s">
        <v>1427</v>
      </c>
      <c r="E30" s="1349"/>
      <c r="F30" s="1350"/>
      <c r="G30" s="1854"/>
      <c r="H30" s="745"/>
      <c r="I30" s="746"/>
      <c r="J30" s="747"/>
      <c r="K30" s="748"/>
      <c r="L30" s="749"/>
      <c r="M30" s="750"/>
    </row>
    <row r="31" spans="1:37" ht="18" customHeight="1">
      <c r="A31" s="197" t="s">
        <v>1035</v>
      </c>
      <c r="B31" s="2952" t="s">
        <v>1431</v>
      </c>
      <c r="C31" s="11">
        <f ca="1">ROUND(IF(项目基本情况!B11="自然人",C5*F31,C32+C33+C34),1)</f>
        <v>14.9</v>
      </c>
      <c r="D31" s="2949" t="s">
        <v>1432</v>
      </c>
      <c r="E31" s="295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97" t="s">
        <v>1034</v>
      </c>
      <c r="B32" s="2952" t="s">
        <v>1435</v>
      </c>
      <c r="C32" s="11">
        <f ca="1">IF(项目基本情况!B11="自然人","——",ROUND(C5*F32/(1+'数据-取费表'!C42),2))</f>
        <v>9.1</v>
      </c>
      <c r="D32" s="2952" t="s">
        <v>1436</v>
      </c>
      <c r="E32" s="2952" t="s">
        <v>1424</v>
      </c>
      <c r="F32" s="2992">
        <f>'数据-取费表'!B41</f>
        <v>6.1600000000000002E-2</v>
      </c>
      <c r="G32" s="1854"/>
      <c r="H32" s="745"/>
      <c r="I32" s="746"/>
      <c r="J32" s="747"/>
      <c r="K32" s="748"/>
      <c r="L32" s="749"/>
      <c r="M32" s="750"/>
    </row>
    <row r="33" spans="1:18" ht="18" customHeight="1">
      <c r="A33" s="197" t="s">
        <v>1036</v>
      </c>
      <c r="B33" s="2952" t="s">
        <v>1439</v>
      </c>
      <c r="C33" s="11">
        <f ca="1">IF(项目基本情况!B11="自然人","——",IF(D33="按租金收入计税",ROUND(C5*F33,2),IF(D33="按房产原值计税",ROUND(C29*F33*0.7,2),INDIRECT("'数据-取费表'!Aj"&amp;$G$1))))</f>
        <v>5.54</v>
      </c>
      <c r="D33" s="1831" t="s">
        <v>1440</v>
      </c>
      <c r="E33" s="2952" t="s">
        <v>1424</v>
      </c>
      <c r="F33" s="2988">
        <f>IF(D33="按票据","——",IF(D33="按租金收入计税",'数据-取费表'!B51,'数据-取费表'!B50))</f>
        <v>1.2E-2</v>
      </c>
      <c r="G33" s="1854"/>
      <c r="H33" s="1862"/>
      <c r="I33" s="1863"/>
      <c r="J33" s="1864"/>
      <c r="K33" s="1865"/>
      <c r="L33" s="1862"/>
      <c r="M33" s="1862"/>
    </row>
    <row r="34" spans="1:18" ht="18" customHeight="1">
      <c r="A34" s="2963" t="s">
        <v>1390</v>
      </c>
      <c r="B34" s="2965" t="s">
        <v>1443</v>
      </c>
      <c r="C34" s="23">
        <f ca="1">IF(项目基本情况!B11="自然人","——",ROUND(F34*F35/10000,2))</f>
        <v>0.25</v>
      </c>
      <c r="D34" s="370" t="s">
        <v>1444</v>
      </c>
      <c r="E34" s="2952" t="s">
        <v>1445</v>
      </c>
      <c r="F34" s="2991">
        <f>'数据-取费表'!B52</f>
        <v>3</v>
      </c>
      <c r="G34" s="1854"/>
      <c r="H34" s="745"/>
      <c r="I34" s="1863"/>
      <c r="J34" s="1864"/>
      <c r="K34" s="1866"/>
      <c r="L34" s="1867"/>
      <c r="M34" s="1867"/>
    </row>
    <row r="35" spans="1:18" ht="18" customHeight="1">
      <c r="A35" s="2996"/>
      <c r="B35" s="2997"/>
      <c r="C35" s="30"/>
      <c r="D35" s="373"/>
      <c r="E35" s="2952" t="s">
        <v>1449</v>
      </c>
      <c r="F35" s="2966">
        <f ca="1">INDIRECT("'数据-取费表'!r"&amp;$G$1)</f>
        <v>825.42000000000007</v>
      </c>
      <c r="G35" s="1854"/>
      <c r="H35" s="745"/>
      <c r="I35" s="1863"/>
      <c r="J35" s="1864"/>
      <c r="K35" s="1865"/>
      <c r="L35" s="1862"/>
      <c r="M35" s="1862"/>
    </row>
    <row r="36" spans="1:18" ht="18" customHeight="1">
      <c r="A36" s="2998" t="s">
        <v>1039</v>
      </c>
      <c r="B36" s="2952" t="s">
        <v>1451</v>
      </c>
      <c r="C36" s="11">
        <f ca="1">ROUND(C29*F36,1)</f>
        <v>9.9</v>
      </c>
      <c r="D36" s="2952" t="s">
        <v>1484</v>
      </c>
      <c r="E36" s="2952" t="s">
        <v>1424</v>
      </c>
      <c r="F36" s="2999">
        <f ca="1">INDIRECT("'数据-取费表'!Ak"&amp;$G$1)</f>
        <v>1.4999999999999999E-2</v>
      </c>
      <c r="G36" s="1854"/>
      <c r="H36" s="1862"/>
      <c r="I36" s="1863"/>
      <c r="J36" s="1864"/>
      <c r="K36" s="751"/>
      <c r="L36" s="1862"/>
      <c r="M36" s="1862"/>
    </row>
    <row r="37" spans="1:18" ht="18" customHeight="1">
      <c r="A37" s="197" t="s">
        <v>1075</v>
      </c>
      <c r="B37" s="2952" t="s">
        <v>1455</v>
      </c>
      <c r="C37" s="11">
        <f ca="1">ROUND(C13*F37,1)</f>
        <v>1</v>
      </c>
      <c r="D37" s="2952" t="s">
        <v>1456</v>
      </c>
      <c r="E37" s="2952" t="s">
        <v>1457</v>
      </c>
      <c r="F37" s="3000">
        <f ca="1">INDIRECT("'数据-取费表'!Al"&amp;$G$1)</f>
        <v>1.5E-3</v>
      </c>
      <c r="G37" s="1854"/>
      <c r="H37" s="1862"/>
      <c r="I37" s="1863"/>
      <c r="J37" s="1864"/>
      <c r="K37" s="751"/>
      <c r="L37" s="1862"/>
      <c r="M37" s="1862"/>
    </row>
    <row r="38" spans="1:18" ht="18" customHeight="1" thickBot="1">
      <c r="A38" s="2993" t="s">
        <v>1394</v>
      </c>
      <c r="B38" s="1345" t="s">
        <v>1441</v>
      </c>
      <c r="C38" s="2994">
        <f ca="1">ROUND(C5*F38,1)</f>
        <v>1.6</v>
      </c>
      <c r="D38" s="1345" t="s">
        <v>1461</v>
      </c>
      <c r="E38" s="1345" t="s">
        <v>1457</v>
      </c>
      <c r="F38" s="2982">
        <f ca="1">INDIRECT("'数据-取费表'!Am"&amp;$G$1)</f>
        <v>0.01</v>
      </c>
      <c r="G38" s="1854"/>
      <c r="H38" s="1862"/>
      <c r="I38" s="1863"/>
      <c r="J38" s="1864"/>
      <c r="K38" s="1868"/>
      <c r="L38" s="1862"/>
      <c r="M38" s="1862"/>
    </row>
    <row r="39" spans="1:18" ht="24.6" customHeight="1" thickTop="1">
      <c r="A39" s="2983" t="s">
        <v>1031</v>
      </c>
      <c r="B39" s="1347" t="s">
        <v>1485</v>
      </c>
      <c r="C39" s="2984">
        <f ca="1">C5-C30</f>
        <v>129</v>
      </c>
      <c r="D39" s="1348" t="s">
        <v>1486</v>
      </c>
      <c r="E39" s="1349"/>
      <c r="F39" s="1350"/>
      <c r="G39" s="1854"/>
      <c r="H39" s="1862"/>
      <c r="I39" s="1863"/>
      <c r="J39" s="1864"/>
      <c r="K39" s="1868"/>
      <c r="L39" s="1862"/>
      <c r="M39" s="1862"/>
    </row>
    <row r="40" spans="1:18" ht="18" customHeight="1">
      <c r="A40" s="2961" t="s">
        <v>1032</v>
      </c>
      <c r="B40" s="345" t="s">
        <v>1487</v>
      </c>
      <c r="C40" s="3001">
        <f ca="1">ROUND(C39*(1-((1+F42)/(1+F40))^F41)/(F40-F42),0)</f>
        <v>3151</v>
      </c>
      <c r="D40" s="370" t="s">
        <v>1471</v>
      </c>
      <c r="E40" s="2952" t="s">
        <v>1472</v>
      </c>
      <c r="F40" s="2972">
        <f ca="1">INDIRECT("'数据-取费表'!I"&amp;$G$1)</f>
        <v>0.05</v>
      </c>
      <c r="G40" s="1854"/>
      <c r="H40" s="1842"/>
      <c r="I40" s="1863"/>
      <c r="J40" s="1864"/>
      <c r="K40" s="1868"/>
      <c r="L40" s="1842"/>
      <c r="M40" s="1842"/>
    </row>
    <row r="41" spans="1:18" ht="18" customHeight="1">
      <c r="A41" s="2970"/>
      <c r="B41" s="350"/>
      <c r="C41" s="2971"/>
      <c r="D41" s="378" t="s">
        <v>1488</v>
      </c>
      <c r="E41" s="2952" t="s">
        <v>1476</v>
      </c>
      <c r="F41" s="3002">
        <f ca="1">IF(INDIRECT("'数据-取费表'!af"&amp;$G$1)=0,INDIRECT("'数据-取费表'!ae"&amp;$G$1),INDIRECT("'数据-取费表'!af"&amp;$G$1))</f>
        <v>34.86</v>
      </c>
      <c r="G41" s="1854"/>
      <c r="H41" s="732"/>
      <c r="I41" s="1863"/>
      <c r="J41" s="1864"/>
      <c r="K41" s="751"/>
      <c r="L41" s="732"/>
      <c r="M41" s="732"/>
    </row>
    <row r="42" spans="1:18" ht="18" customHeight="1">
      <c r="A42" s="2975"/>
      <c r="B42" s="354"/>
      <c r="C42" s="2984"/>
      <c r="D42" s="373"/>
      <c r="E42" s="2952" t="s">
        <v>1479</v>
      </c>
      <c r="F42" s="2972">
        <f ca="1">INDIRECT("'数据-取费表'!v"&amp;$G$1)</f>
        <v>0.03</v>
      </c>
      <c r="G42" s="1854"/>
      <c r="H42" s="732"/>
      <c r="I42" s="1863"/>
      <c r="J42" s="1864"/>
      <c r="K42" s="751"/>
      <c r="L42" s="732"/>
      <c r="M42" s="732"/>
    </row>
    <row r="43" spans="1:18" ht="18" customHeight="1" thickBot="1">
      <c r="A43" s="380" t="s">
        <v>1033</v>
      </c>
      <c r="B43" s="381" t="s">
        <v>1489</v>
      </c>
      <c r="C43" s="382">
        <f ca="1">ROUND(C40*10000/F43,0)</f>
        <v>16587</v>
      </c>
      <c r="D43" s="383" t="s">
        <v>1490</v>
      </c>
      <c r="E43" s="384" t="s">
        <v>1491</v>
      </c>
      <c r="F43" s="385">
        <f ca="1">INDIRECT("'数据-取费表'!k"&amp;$G$1)</f>
        <v>1899.73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-3429</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2"/>
      <c r="I47" s="1883" t="s">
        <v>1528</v>
      </c>
      <c r="J47" s="1884" t="s">
        <v>3121</v>
      </c>
      <c r="K47" s="1885" t="s">
        <v>1529</v>
      </c>
      <c r="L47" s="1886">
        <f ca="1">INDIRECT("'数据-取费表'!d"&amp;$G$1)</f>
        <v>40</v>
      </c>
      <c r="M47" s="1841" t="str">
        <f>IF(ISNUMBER(FIND("住宅",C1)),"住宅","非住宅")</f>
        <v>非住宅</v>
      </c>
      <c r="O47" s="1887" t="s">
        <v>1040</v>
      </c>
      <c r="P47" s="1888" t="s">
        <v>1530</v>
      </c>
      <c r="Q47" s="1889">
        <f ca="1">C40+J29</f>
        <v>3151</v>
      </c>
      <c r="R47" s="1889" t="s">
        <v>1531</v>
      </c>
    </row>
    <row r="48" spans="1:18" s="1845" customFormat="1" ht="28.5" thickBot="1">
      <c r="A48" s="1363" t="s">
        <v>1135</v>
      </c>
      <c r="B48" s="345" t="s">
        <v>1402</v>
      </c>
      <c r="C48" s="1821">
        <f ca="1">C49+C53+C55</f>
        <v>0</v>
      </c>
      <c r="D48" s="1365"/>
      <c r="E48" s="1366"/>
      <c r="F48" s="1184"/>
      <c r="G48" s="792"/>
      <c r="H48" s="793"/>
      <c r="I48" s="1890" t="s">
        <v>1532</v>
      </c>
      <c r="J48" s="1891" t="s">
        <v>3122</v>
      </c>
      <c r="K48" s="1892" t="s">
        <v>1533</v>
      </c>
      <c r="L48" s="1893">
        <f ca="1">INDIRECT("'数据-取费表'!f"&amp;$G$1)</f>
        <v>36.159999999999997</v>
      </c>
      <c r="O48" s="1887" t="s">
        <v>1041</v>
      </c>
      <c r="P48" s="1888" t="s">
        <v>1534</v>
      </c>
      <c r="Q48" s="1889" t="str">
        <f ca="1">J60</f>
        <v>0</v>
      </c>
      <c r="R48" s="1889" t="s">
        <v>1535</v>
      </c>
    </row>
    <row r="49" spans="1:18" s="1845" customFormat="1" ht="13.5" thickBot="1">
      <c r="A49" s="1197" t="s">
        <v>1136</v>
      </c>
      <c r="B49" s="1832" t="s">
        <v>1492</v>
      </c>
      <c r="C49" s="1367">
        <f ca="1">ROUND(F49*F51*F50*(1-F52)/10000,0)</f>
        <v>0</v>
      </c>
      <c r="D49" s="1279" t="s">
        <v>3038</v>
      </c>
      <c r="E49" s="1833" t="s">
        <v>1493</v>
      </c>
      <c r="F49" s="1284"/>
      <c r="G49" s="1894"/>
      <c r="H49" s="793"/>
      <c r="I49" s="1890" t="s">
        <v>1536</v>
      </c>
      <c r="J49" s="1895"/>
      <c r="K49" s="1892" t="s">
        <v>1537</v>
      </c>
      <c r="L49" s="1896"/>
      <c r="O49" s="1897" t="s">
        <v>1042</v>
      </c>
      <c r="P49" s="1888" t="s">
        <v>1538</v>
      </c>
      <c r="Q49" s="1889">
        <f ca="1">C29</f>
        <v>660</v>
      </c>
      <c r="R49" s="1889" t="s">
        <v>1531</v>
      </c>
    </row>
    <row r="50" spans="1:18" s="1845" customFormat="1" ht="13.5" thickBot="1">
      <c r="A50" s="1198"/>
      <c r="B50" s="1201"/>
      <c r="C50" s="1371"/>
      <c r="D50" s="1175"/>
      <c r="E50" s="1280" t="s">
        <v>1407</v>
      </c>
      <c r="F50" s="1281">
        <f ca="1">F7</f>
        <v>1899.73</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8">
        <f ca="1">F8</f>
        <v>365</v>
      </c>
      <c r="I51" s="1901" t="s">
        <v>1542</v>
      </c>
      <c r="J51" s="1902">
        <f>IF(J49="",J50,J49+J50-YEAR('数据-取费表'!B2))</f>
        <v>60</v>
      </c>
      <c r="K51" s="1903" t="s">
        <v>1543</v>
      </c>
      <c r="L51" s="1904">
        <f ca="1">ROUND(-PV(INDIRECT("'数据-取费表'!h"&amp;$G$1),L48,(C39-C13*C76),0),0)</f>
        <v>1641</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f ca="1">J53</f>
        <v>34.86</v>
      </c>
      <c r="R52" s="1889" t="s">
        <v>1548</v>
      </c>
    </row>
    <row r="53" spans="1:18" s="1845" customFormat="1" ht="24.75" thickBot="1">
      <c r="A53" s="1408" t="s">
        <v>1137</v>
      </c>
      <c r="B53" s="1834" t="s">
        <v>1410</v>
      </c>
      <c r="C53" s="361">
        <f ca="1">ROUND(IF(F53="押一",F49*F51*F50/12*F11,IF(F53="押二",F49*F51*F50/12*2*F11,IF(F53="押三",F49*F51*F50/12*3*F11,C54*F11)))/10000,0)</f>
        <v>0</v>
      </c>
      <c r="D53" s="1828" t="s">
        <v>3036</v>
      </c>
      <c r="E53" s="358" t="s">
        <v>1412</v>
      </c>
      <c r="F53" s="1369"/>
      <c r="I53" s="1908" t="s">
        <v>1549</v>
      </c>
      <c r="J53" s="1909">
        <f ca="1">IF(M47="住宅",J51,IF(D1="——",MIN(J51,L48),IF(D1="在建（套用方法）",MIN(J51,L48-'数据-取费表'!B24),IF(D1="土地（套用方法）",MIN(J51,L48-'数据-取费表'!B20)))))</f>
        <v>34.86</v>
      </c>
      <c r="K53" s="3246" t="s">
        <v>1550</v>
      </c>
      <c r="L53" s="3247"/>
      <c r="O53" s="1887" t="s">
        <v>1046</v>
      </c>
      <c r="P53" s="1888" t="s">
        <v>1551</v>
      </c>
      <c r="Q53" s="1889">
        <f ca="1">Q47+Q48</f>
        <v>3151</v>
      </c>
      <c r="R53" s="1889" t="s">
        <v>1047</v>
      </c>
    </row>
    <row r="54" spans="1:18" s="1845" customFormat="1" ht="13.5" thickBot="1">
      <c r="A54" s="1409"/>
      <c r="B54" s="1829" t="s">
        <v>1389</v>
      </c>
      <c r="C54" s="1181"/>
      <c r="D54" s="1828"/>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6" t="s">
        <v>1075</v>
      </c>
      <c r="B55" s="1830" t="s">
        <v>1415</v>
      </c>
      <c r="C55" s="1337"/>
      <c r="D55" s="1828"/>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9">
        <v>2</v>
      </c>
      <c r="B56" s="1180" t="s">
        <v>1416</v>
      </c>
      <c r="C56" s="276">
        <f ca="1">C13</f>
        <v>660</v>
      </c>
      <c r="D56" s="1917"/>
      <c r="E56" s="1918"/>
      <c r="F56" s="1910"/>
      <c r="I56" s="1919" t="s">
        <v>1556</v>
      </c>
      <c r="J56" s="1920" t="s">
        <v>3067</v>
      </c>
      <c r="K56" s="1890" t="s">
        <v>1557</v>
      </c>
      <c r="L56" s="1893" t="str">
        <f ca="1">IF(L48&lt;J51,"——",L48-J53)</f>
        <v>——</v>
      </c>
      <c r="O56" s="1887" t="s">
        <v>1040</v>
      </c>
      <c r="P56" s="1888" t="s">
        <v>1530</v>
      </c>
      <c r="Q56" s="1889">
        <f ca="1">C40+J29</f>
        <v>3151</v>
      </c>
      <c r="R56" s="1889" t="s">
        <v>1531</v>
      </c>
    </row>
    <row r="57" spans="1:18" s="1845" customFormat="1" ht="24.75" thickBot="1">
      <c r="A57" s="1921"/>
      <c r="B57" s="1172" t="s">
        <v>1480</v>
      </c>
      <c r="C57" s="282">
        <f ca="1">C29</f>
        <v>660</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80" t="s">
        <v>1426</v>
      </c>
      <c r="C58" s="361">
        <f ca="1">ROUND(C59+C64+C65+C66,0)</f>
        <v>17</v>
      </c>
      <c r="D58" s="1182" t="s">
        <v>1427</v>
      </c>
      <c r="E58" s="1183"/>
      <c r="F58" s="1184"/>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5.8</v>
      </c>
      <c r="D59" s="1185" t="s">
        <v>1432</v>
      </c>
      <c r="E59" s="1186"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7">
        <f t="shared" ref="F60:F66" si="0">F32</f>
        <v>6.1600000000000002E-2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5.54</v>
      </c>
      <c r="D61" s="1831" t="s">
        <v>1440</v>
      </c>
      <c r="E61" s="1172" t="s">
        <v>1496</v>
      </c>
      <c r="F61" s="367">
        <f t="shared" si="0"/>
        <v>1.2E-2</v>
      </c>
      <c r="I61" s="1931"/>
      <c r="J61" s="1931"/>
      <c r="K61" s="1931"/>
      <c r="L61" s="1931"/>
      <c r="O61" s="1897" t="s">
        <v>1045</v>
      </c>
      <c r="P61" s="1888" t="str">
        <f>K59</f>
        <v>续建工期及建筑物耐用年限下的土地年期修正系数Kn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0.25</v>
      </c>
      <c r="D62" s="1187" t="s">
        <v>1499</v>
      </c>
      <c r="E62" s="1172" t="s">
        <v>1500</v>
      </c>
      <c r="F62" s="371">
        <f t="shared" si="0"/>
        <v>3</v>
      </c>
      <c r="I62" s="1932" t="s">
        <v>1572</v>
      </c>
      <c r="J62" s="1933" t="s">
        <v>1573</v>
      </c>
      <c r="K62" s="1933" t="s">
        <v>1574</v>
      </c>
      <c r="L62" s="1933" t="s">
        <v>1575</v>
      </c>
      <c r="M62" s="1934" t="s">
        <v>1576</v>
      </c>
      <c r="O62" s="1887" t="s">
        <v>1046</v>
      </c>
      <c r="P62" s="1888" t="s">
        <v>1577</v>
      </c>
      <c r="Q62" s="1889">
        <f ca="1">Q56+Q57</f>
        <v>3151</v>
      </c>
      <c r="R62" s="1889" t="s">
        <v>1047</v>
      </c>
    </row>
    <row r="63" spans="1:18" s="1845" customFormat="1" ht="13.5" thickBot="1">
      <c r="A63" s="372"/>
      <c r="B63" s="1178"/>
      <c r="C63" s="29"/>
      <c r="D63" s="1188"/>
      <c r="E63" s="1172" t="s">
        <v>1501</v>
      </c>
      <c r="F63" s="348">
        <f t="shared" ca="1" si="0"/>
        <v>825.42000000000007</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9.9</v>
      </c>
      <c r="D64" s="1186" t="s">
        <v>1504</v>
      </c>
      <c r="E64" s="1172"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1</v>
      </c>
      <c r="D65" s="1186" t="s">
        <v>1456</v>
      </c>
      <c r="E65" s="1172" t="s">
        <v>1457</v>
      </c>
      <c r="F65" s="376">
        <f t="shared" ca="1" si="0"/>
        <v>1.5E-3</v>
      </c>
      <c r="I65" s="1932" t="s">
        <v>1581</v>
      </c>
      <c r="J65" s="1933">
        <v>40</v>
      </c>
      <c r="K65" s="1933">
        <v>30</v>
      </c>
      <c r="L65" s="1933">
        <v>50</v>
      </c>
      <c r="M65" s="1935">
        <v>0.02</v>
      </c>
      <c r="O65" s="1887" t="s">
        <v>1040</v>
      </c>
      <c r="P65" s="1888" t="s">
        <v>1582</v>
      </c>
      <c r="Q65" s="1889">
        <f ca="1">C40+J29</f>
        <v>3151</v>
      </c>
      <c r="R65" s="1889" t="s">
        <v>1531</v>
      </c>
    </row>
    <row r="66" spans="1:18" s="1845" customFormat="1" ht="16.5" thickBot="1">
      <c r="A66" s="1204" t="s">
        <v>1506</v>
      </c>
      <c r="B66" s="1172" t="s">
        <v>1441</v>
      </c>
      <c r="C66" s="24">
        <f ca="1">ROUND(C48*F66,1)</f>
        <v>0</v>
      </c>
      <c r="D66" s="1186" t="s">
        <v>1507</v>
      </c>
      <c r="E66" s="1172" t="s">
        <v>1424</v>
      </c>
      <c r="F66" s="357">
        <f t="shared" ca="1" si="0"/>
        <v>0.01</v>
      </c>
      <c r="O66" s="1887" t="s">
        <v>1041</v>
      </c>
      <c r="P66" s="1888" t="s">
        <v>1560</v>
      </c>
      <c r="Q66" s="1889">
        <f ca="1">L60</f>
        <v>0</v>
      </c>
      <c r="R66" s="1889" t="s">
        <v>1583</v>
      </c>
    </row>
    <row r="67" spans="1:18" s="1845" customFormat="1" ht="16.5" thickBot="1">
      <c r="A67" s="1179" t="s">
        <v>1031</v>
      </c>
      <c r="B67" s="1189" t="s">
        <v>1465</v>
      </c>
      <c r="C67" s="361">
        <f ca="1">C48-C58</f>
        <v>-17</v>
      </c>
      <c r="D67" s="1185" t="s">
        <v>1466</v>
      </c>
      <c r="E67" s="1190"/>
      <c r="F67" s="1191"/>
      <c r="O67" s="1897" t="s">
        <v>1042</v>
      </c>
      <c r="P67" s="1888" t="s">
        <v>1564</v>
      </c>
      <c r="Q67" s="1936">
        <f ca="1">L51</f>
        <v>1641</v>
      </c>
      <c r="R67" s="1889" t="s">
        <v>1584</v>
      </c>
    </row>
    <row r="68" spans="1:18" s="1845" customFormat="1" ht="16.5" thickBot="1">
      <c r="A68" s="1169" t="s">
        <v>1032</v>
      </c>
      <c r="B68" s="1170" t="s">
        <v>1487</v>
      </c>
      <c r="C68" s="346">
        <f ca="1">ROUND(C67*(1-((1+F70)/(1+F68))^F69)/(F68-F70),0)</f>
        <v>-278</v>
      </c>
      <c r="D68" s="1187" t="s">
        <v>1471</v>
      </c>
      <c r="E68" s="1172" t="s">
        <v>1472</v>
      </c>
      <c r="F68" s="357">
        <f ca="1">F40</f>
        <v>0.05</v>
      </c>
      <c r="O68" s="1897" t="s">
        <v>1043</v>
      </c>
      <c r="P68" s="1937" t="s">
        <v>1585</v>
      </c>
      <c r="Q68" s="1889">
        <f ca="1">ROUND(Q69-Q70*Q71,0)</f>
        <v>93</v>
      </c>
      <c r="R68" s="1889" t="s">
        <v>1051</v>
      </c>
    </row>
    <row r="69" spans="1:18" s="1845" customFormat="1" ht="13.5" thickBot="1">
      <c r="A69" s="1173"/>
      <c r="B69" s="1174"/>
      <c r="C69" s="351"/>
      <c r="D69" s="1192" t="s">
        <v>1475</v>
      </c>
      <c r="E69" s="1172" t="s">
        <v>1476</v>
      </c>
      <c r="F69" s="379">
        <f ca="1">F41</f>
        <v>34.86</v>
      </c>
      <c r="O69" s="1897" t="s">
        <v>1048</v>
      </c>
      <c r="P69" s="1937" t="s">
        <v>1586</v>
      </c>
      <c r="Q69" s="1889">
        <f ca="1">C39</f>
        <v>129</v>
      </c>
      <c r="R69" s="1889" t="s">
        <v>1531</v>
      </c>
    </row>
    <row r="70" spans="1:18" s="1845" customFormat="1" ht="13.5" thickBot="1">
      <c r="A70" s="1176"/>
      <c r="B70" s="1177"/>
      <c r="C70" s="355"/>
      <c r="D70" s="1188"/>
      <c r="E70" s="1172" t="s">
        <v>1479</v>
      </c>
      <c r="F70" s="1278"/>
      <c r="O70" s="1897" t="s">
        <v>1049</v>
      </c>
      <c r="P70" s="1937" t="s">
        <v>1587</v>
      </c>
      <c r="Q70" s="1889">
        <f ca="1">C13</f>
        <v>660</v>
      </c>
      <c r="R70" s="1889" t="s">
        <v>1531</v>
      </c>
    </row>
    <row r="71" spans="1:18" s="1845" customFormat="1" ht="13.5" thickBot="1">
      <c r="A71" s="1193" t="s">
        <v>1033</v>
      </c>
      <c r="B71" s="1194" t="s">
        <v>1489</v>
      </c>
      <c r="C71" s="382">
        <f ca="1">ROUND(C68*10000/F71,0)</f>
        <v>-1463</v>
      </c>
      <c r="D71" s="1195" t="s">
        <v>1490</v>
      </c>
      <c r="E71" s="1196" t="s">
        <v>1491</v>
      </c>
      <c r="F71" s="385">
        <f ca="1">F43</f>
        <v>1899.73</v>
      </c>
      <c r="O71" s="1897" t="s">
        <v>1050</v>
      </c>
      <c r="P71" s="1937" t="s">
        <v>1588</v>
      </c>
      <c r="Q71" s="1900">
        <f ca="1">C76</f>
        <v>5.5E-2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续建工期及建筑物耐用年限下的土地年期修正系数Kn</v>
      </c>
      <c r="Q74" s="1889" t="e">
        <f ca="1">L59</f>
        <v>#DIV/0!</v>
      </c>
      <c r="R74" s="1889" t="s">
        <v>1571</v>
      </c>
    </row>
    <row r="75" spans="1:18" ht="13.5" thickBot="1">
      <c r="A75" s="1845"/>
      <c r="B75" s="386" t="s">
        <v>1508</v>
      </c>
      <c r="C75" s="387">
        <f ca="1">ROUND(C13*C76,0)</f>
        <v>36</v>
      </c>
      <c r="D75" s="1845"/>
      <c r="E75" s="1845"/>
      <c r="F75" s="1845"/>
      <c r="K75" s="1871"/>
      <c r="L75" s="1845"/>
      <c r="O75" s="1887" t="s">
        <v>1046</v>
      </c>
      <c r="P75" s="1888" t="s">
        <v>1551</v>
      </c>
      <c r="Q75" s="1889">
        <f ca="1">Q65+Q66</f>
        <v>3151</v>
      </c>
      <c r="R75" s="1889" t="s">
        <v>1047</v>
      </c>
    </row>
    <row r="76" spans="1:18">
      <c r="B76" s="388" t="s">
        <v>1509</v>
      </c>
      <c r="C76" s="389">
        <f ca="1">INDIRECT("'数据-取费表'!j"&amp;$G$1)</f>
        <v>5.5E-2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0.72099999999999997</v>
      </c>
    </row>
    <row r="80" spans="1:18">
      <c r="B80" s="386" t="s">
        <v>1513</v>
      </c>
      <c r="C80" s="318">
        <f ca="1">ROUND(C75/C39,3)</f>
        <v>0.27900000000000003</v>
      </c>
      <c r="G80" s="302">
        <v>1</v>
      </c>
      <c r="H80" s="302">
        <v>17000</v>
      </c>
      <c r="I80" s="302">
        <f>H80</f>
        <v>17000</v>
      </c>
    </row>
    <row r="81" spans="2:10">
      <c r="B81" s="314" t="s">
        <v>1514</v>
      </c>
      <c r="C81" s="282"/>
      <c r="G81" s="302">
        <v>2</v>
      </c>
      <c r="I81" s="302">
        <f>H80*0.6</f>
        <v>10200</v>
      </c>
    </row>
    <row r="82" spans="2:10">
      <c r="B82" s="317" t="s">
        <v>1515</v>
      </c>
      <c r="C82" s="319">
        <f ca="1">1-C83</f>
        <v>0.79100000000000004</v>
      </c>
      <c r="G82" s="302">
        <v>3</v>
      </c>
      <c r="I82" s="302">
        <f>H80*0.5</f>
        <v>8500</v>
      </c>
    </row>
    <row r="83" spans="2:10">
      <c r="B83" s="317" t="s">
        <v>1516</v>
      </c>
      <c r="C83" s="318">
        <f ca="1">ROUND(C13/C40,3)</f>
        <v>0.20899999999999999</v>
      </c>
      <c r="G83" s="302">
        <v>4</v>
      </c>
      <c r="I83" s="302">
        <f>H80*0.4</f>
        <v>6800</v>
      </c>
    </row>
    <row r="84" spans="2:10">
      <c r="G84" s="302">
        <v>5</v>
      </c>
      <c r="I84" s="302">
        <f>H80*0.35</f>
        <v>5950</v>
      </c>
    </row>
    <row r="85" spans="2:10">
      <c r="I85" s="302">
        <f>SUM(I80:I84)</f>
        <v>48450</v>
      </c>
      <c r="J85" s="302">
        <f>I85/5</f>
        <v>9690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G12" sqref="G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1378</v>
      </c>
      <c r="D1" s="1824" t="s">
        <v>3120</v>
      </c>
      <c r="E1" s="1825" t="s">
        <v>1388</v>
      </c>
      <c r="F1" s="1286">
        <f ca="1">J53</f>
        <v>34.86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f ca="1">ROUND(D2/10000,0)</f>
        <v>3148</v>
      </c>
      <c r="C2" s="1848" t="s">
        <v>1593</v>
      </c>
      <c r="D2" s="1941">
        <f ca="1">C40+J29+L46</f>
        <v>31482158</v>
      </c>
      <c r="E2" s="1849" t="s">
        <v>1594</v>
      </c>
      <c r="F2" s="1850"/>
      <c r="G2" s="1851"/>
      <c r="H2" s="1843"/>
      <c r="I2" s="1843"/>
      <c r="J2" s="1843"/>
      <c r="K2" s="1844"/>
      <c r="L2" s="1843"/>
      <c r="M2" s="1843"/>
    </row>
    <row r="3" spans="1:37" ht="18" customHeight="1" thickBot="1">
      <c r="A3" s="1852" t="s">
        <v>1595</v>
      </c>
      <c r="B3" s="1853">
        <f ca="1">IF(ISERROR(D2/F43),0,ROUND(D2/F43,0))</f>
        <v>16572</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5">
        <f ca="1">C6+C10+C12</f>
        <v>1562320</v>
      </c>
      <c r="D5" s="1826" t="s">
        <v>1603</v>
      </c>
      <c r="E5" s="1296"/>
      <c r="F5" s="1297"/>
      <c r="G5" s="1854"/>
      <c r="H5" s="344">
        <v>1</v>
      </c>
      <c r="I5" s="345" t="s">
        <v>1602</v>
      </c>
      <c r="J5" s="1295">
        <f ca="1">J6+J10+J12</f>
        <v>0</v>
      </c>
      <c r="K5" s="1826" t="s">
        <v>1603</v>
      </c>
      <c r="L5" s="1296"/>
      <c r="M5" s="1297"/>
    </row>
    <row r="6" spans="1:37" ht="18" customHeight="1">
      <c r="A6" s="1294" t="s">
        <v>1035</v>
      </c>
      <c r="B6" s="3248" t="s">
        <v>1404</v>
      </c>
      <c r="C6" s="1299">
        <f ca="1">ROUND(F6*F8*F7*(1-F9),0)</f>
        <v>1560153</v>
      </c>
      <c r="D6" s="164" t="s">
        <v>3030</v>
      </c>
      <c r="E6" s="347" t="s">
        <v>1406</v>
      </c>
      <c r="F6" s="348">
        <f ca="1">INDIRECT("'数据-取费表'!u"&amp;$G$1)</f>
        <v>2.5</v>
      </c>
      <c r="G6" s="1854"/>
      <c r="H6" s="1294" t="s">
        <v>1035</v>
      </c>
      <c r="I6" s="3248" t="s">
        <v>1404</v>
      </c>
      <c r="J6" s="346">
        <f ca="1">ROUND(M6*M8*M7*(1-M9),0)</f>
        <v>0</v>
      </c>
      <c r="K6" s="1837" t="s">
        <v>3033</v>
      </c>
      <c r="L6" s="347" t="s">
        <v>1406</v>
      </c>
      <c r="M6" s="348">
        <f ca="1">INDIRECT("'数据-取费表'!z"&amp;$G$1)</f>
        <v>0</v>
      </c>
    </row>
    <row r="7" spans="1:37" ht="18" customHeight="1">
      <c r="A7" s="1298"/>
      <c r="B7" s="3249"/>
      <c r="C7" s="1300"/>
      <c r="D7" s="352"/>
      <c r="E7" s="1301" t="s">
        <v>1407</v>
      </c>
      <c r="F7" s="348">
        <f ca="1">IF(INDIRECT("'数据-取费表'!ah"&amp;$G$1)="",INDIRECT("'数据-取费表'!k"&amp;$G$1),INDIRECT("'数据-取费表'!ah"&amp;$G$1))</f>
        <v>1899.73</v>
      </c>
      <c r="G7" s="1854"/>
      <c r="H7" s="349"/>
      <c r="I7" s="3249"/>
      <c r="J7" s="351"/>
      <c r="K7" s="352"/>
      <c r="L7" s="347" t="s">
        <v>1407</v>
      </c>
      <c r="M7" s="348">
        <f ca="1">F7</f>
        <v>1899.73</v>
      </c>
    </row>
    <row r="8" spans="1:37" ht="18" customHeight="1">
      <c r="A8" s="349"/>
      <c r="B8" s="3249"/>
      <c r="C8" s="351"/>
      <c r="D8" s="352"/>
      <c r="E8" s="347" t="s">
        <v>1408</v>
      </c>
      <c r="F8" s="348">
        <f ca="1">INDIRECT("'数据-取费表'!ai"&amp;$G$1)</f>
        <v>365</v>
      </c>
      <c r="G8" s="1854"/>
      <c r="H8" s="349"/>
      <c r="I8" s="3249"/>
      <c r="J8" s="351"/>
      <c r="K8" s="352"/>
      <c r="L8" s="347" t="s">
        <v>1408</v>
      </c>
      <c r="M8" s="348">
        <f ca="1">INDIRECT("'数据-取费表'!ai"&amp;$G$1)</f>
        <v>365</v>
      </c>
    </row>
    <row r="9" spans="1:37" ht="18" customHeight="1">
      <c r="A9" s="349"/>
      <c r="B9" s="3250"/>
      <c r="C9" s="351"/>
      <c r="D9" s="352"/>
      <c r="E9" s="347" t="s">
        <v>1409</v>
      </c>
      <c r="F9" s="357">
        <f ca="1">INDIRECT("'数据-取费表'!w"&amp;$G$1)</f>
        <v>0.1</v>
      </c>
      <c r="G9" s="1854"/>
      <c r="H9" s="349"/>
      <c r="I9" s="3250"/>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2167</v>
      </c>
      <c r="D10" s="1828" t="s">
        <v>3031</v>
      </c>
      <c r="E10" s="358" t="s">
        <v>1412</v>
      </c>
      <c r="F10" s="1369" t="s">
        <v>3123</v>
      </c>
      <c r="G10" s="1854"/>
      <c r="H10" s="1294" t="s">
        <v>1039</v>
      </c>
      <c r="I10" s="1827" t="s">
        <v>1410</v>
      </c>
      <c r="J10" s="346">
        <f ca="1">ROUND(IF(M10="押一",M6*M8*M7/12*M11,IF(M10="押二",M6*M8*M7/12*2*M11,IF(M10="押三",M6*M8*M7/12*3*M11,J11*M11))),0)</f>
        <v>0</v>
      </c>
      <c r="K10" s="1838" t="s">
        <v>3032</v>
      </c>
      <c r="L10" s="358" t="s">
        <v>1412</v>
      </c>
      <c r="M10" s="1369"/>
    </row>
    <row r="11" spans="1:37" ht="18" customHeight="1">
      <c r="A11" s="353"/>
      <c r="B11" s="1829" t="s">
        <v>1604</v>
      </c>
      <c r="C11" s="1181"/>
      <c r="D11" s="352"/>
      <c r="E11" s="358" t="s">
        <v>1414</v>
      </c>
      <c r="F11" s="359">
        <f ca="1">'数据-取费表'!B39</f>
        <v>1.4999999999999999E-2</v>
      </c>
      <c r="G11" s="1854"/>
      <c r="H11" s="1302"/>
      <c r="I11" s="1829" t="s">
        <v>1605</v>
      </c>
      <c r="J11" s="1181"/>
      <c r="K11" s="748"/>
      <c r="L11" s="358" t="s">
        <v>1414</v>
      </c>
      <c r="M11" s="1059">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5">
        <f ca="1">ROUND(C29*F13,0)</f>
        <v>6592391</v>
      </c>
      <c r="D13" s="1334" t="s">
        <v>1417</v>
      </c>
      <c r="E13" s="1334" t="s">
        <v>1418</v>
      </c>
      <c r="F13" s="1335">
        <f ca="1">INDIRECT("'数据-取费表'!y"&amp;$G$1)</f>
        <v>1</v>
      </c>
      <c r="G13" s="1854"/>
      <c r="H13" s="1332">
        <v>2</v>
      </c>
      <c r="I13" s="1333" t="s">
        <v>1416</v>
      </c>
      <c r="J13" s="1293">
        <f ca="1">ROUND(J14*J15,0)</f>
        <v>0</v>
      </c>
      <c r="K13" s="1340" t="s">
        <v>1417</v>
      </c>
      <c r="L13" s="1855"/>
      <c r="M13" s="1856"/>
    </row>
    <row r="14" spans="1:37" ht="18" customHeight="1">
      <c r="A14" s="1204" t="s">
        <v>1034</v>
      </c>
      <c r="B14" s="347" t="s">
        <v>1419</v>
      </c>
      <c r="C14" s="363">
        <f ca="1">ROUND(INDIRECT("'数据-取费表'!l"&amp;$G$1)*F43+'数据-取费表'!L14*INDIRECT("'数据-取费表'!S"&amp;$G$1),0)</f>
        <v>3370516</v>
      </c>
      <c r="D14" s="1804" t="s">
        <v>1420</v>
      </c>
      <c r="E14" s="1798"/>
      <c r="F14" s="364"/>
      <c r="G14" s="1854"/>
      <c r="H14" s="1204" t="s">
        <v>1035</v>
      </c>
      <c r="I14" s="347" t="s">
        <v>1421</v>
      </c>
      <c r="J14" s="24">
        <f ca="1">C29</f>
        <v>6592391</v>
      </c>
      <c r="K14" s="15"/>
      <c r="L14" s="982"/>
      <c r="M14" s="983"/>
    </row>
    <row r="15" spans="1:37" s="1861" customFormat="1" ht="18" customHeight="1" thickBot="1">
      <c r="A15" s="1204" t="s">
        <v>1036</v>
      </c>
      <c r="B15" s="347" t="s">
        <v>1422</v>
      </c>
      <c r="C15" s="24">
        <f ca="1">ROUND(C14*F15,0)</f>
        <v>101115</v>
      </c>
      <c r="D15" s="365" t="s">
        <v>1423</v>
      </c>
      <c r="E15" s="365" t="s">
        <v>1424</v>
      </c>
      <c r="F15" s="366">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4"/>
      <c r="H16" s="1332" t="s">
        <v>1030</v>
      </c>
      <c r="I16" s="1333" t="s">
        <v>1426</v>
      </c>
      <c r="J16" s="355">
        <f ca="1">ROUND(J17+J22+J23+J24,0)</f>
        <v>156738</v>
      </c>
      <c r="K16" s="1340" t="s">
        <v>1427</v>
      </c>
      <c r="L16" s="1341"/>
      <c r="M16" s="1297"/>
    </row>
    <row r="17" spans="1:37" s="1861" customFormat="1" ht="18" customHeight="1">
      <c r="A17" s="1204" t="s">
        <v>1391</v>
      </c>
      <c r="B17" s="347" t="s">
        <v>1428</v>
      </c>
      <c r="C17" s="24">
        <f ca="1">ROUND(F17*(F43+INDIRECT("'数据-取费表'!S"&amp;$G$1)),0)</f>
        <v>312539</v>
      </c>
      <c r="D17" s="347" t="s">
        <v>1429</v>
      </c>
      <c r="E17" s="347" t="s">
        <v>1430</v>
      </c>
      <c r="F17" s="26">
        <f>'数据-取费表'!B35</f>
        <v>150</v>
      </c>
      <c r="G17" s="1857"/>
      <c r="H17" s="1204" t="s">
        <v>1035</v>
      </c>
      <c r="I17" s="347" t="s">
        <v>1431</v>
      </c>
      <c r="J17" s="24">
        <f ca="1">ROUND(IF(项目基本情况!B11="自然人",J5*M17,J18+J19+J20),0)</f>
        <v>57852</v>
      </c>
      <c r="K17" s="1804" t="s">
        <v>1432</v>
      </c>
      <c r="L17" s="180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4">
        <f ca="1">ROUND(C14*F18,0)</f>
        <v>50558</v>
      </c>
      <c r="D18" s="347" t="s">
        <v>1423</v>
      </c>
      <c r="E18" s="347" t="s">
        <v>1424</v>
      </c>
      <c r="F18" s="367">
        <f>'数据-取费表'!B36</f>
        <v>1.4999999999999999E-2</v>
      </c>
      <c r="G18" s="1857"/>
      <c r="H18" s="1204" t="s">
        <v>1034</v>
      </c>
      <c r="I18" s="347" t="s">
        <v>1435</v>
      </c>
      <c r="J18" s="24">
        <f ca="1">ROUND(J5*M18/(1+'数据-取费表'!C42),0)</f>
        <v>0</v>
      </c>
      <c r="K18" s="1802" t="s">
        <v>1436</v>
      </c>
      <c r="L18" s="347" t="s">
        <v>1424</v>
      </c>
      <c r="M18" s="367">
        <f>'数据-取费表'!B41</f>
        <v>6.1600000000000002E-2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4">
        <f ca="1">SUM(C14:C18)</f>
        <v>3834728</v>
      </c>
      <c r="D19" s="139" t="s">
        <v>1438</v>
      </c>
      <c r="E19" s="1822"/>
      <c r="F19" s="26"/>
      <c r="G19" s="1854"/>
      <c r="H19" s="1204" t="s">
        <v>1036</v>
      </c>
      <c r="I19" s="347" t="s">
        <v>1439</v>
      </c>
      <c r="J19" s="24">
        <f ca="1">IF(K19="按租金收入计税",ROUND(J5*M19,0),ROUND(C29*M19*0.7,0))</f>
        <v>55376</v>
      </c>
      <c r="K19" s="1831" t="s">
        <v>1440</v>
      </c>
      <c r="L19" s="347" t="s">
        <v>1424</v>
      </c>
      <c r="M19" s="367">
        <f>IF(K19="按租金收入计税",'数据-取费表'!B51,'数据-取费表'!B50)</f>
        <v>1.2E-2</v>
      </c>
    </row>
    <row r="20" spans="1:37" s="1861" customFormat="1" ht="18" customHeight="1">
      <c r="A20" s="1204" t="s">
        <v>1039</v>
      </c>
      <c r="B20" s="347" t="s">
        <v>1441</v>
      </c>
      <c r="C20" s="24">
        <f ca="1">ROUND(C19*F20,0)</f>
        <v>76695</v>
      </c>
      <c r="D20" s="369" t="s">
        <v>1442</v>
      </c>
      <c r="E20" s="347" t="s">
        <v>1424</v>
      </c>
      <c r="F20" s="367">
        <f>'数据-取费表'!B37</f>
        <v>0.02</v>
      </c>
      <c r="G20" s="1857"/>
      <c r="H20" s="1204" t="s">
        <v>1390</v>
      </c>
      <c r="I20" s="164" t="s">
        <v>1443</v>
      </c>
      <c r="J20" s="25">
        <f ca="1">ROUND(M20*M21,0)</f>
        <v>2476</v>
      </c>
      <c r="K20" s="370" t="s">
        <v>1444</v>
      </c>
      <c r="L20" s="347" t="s">
        <v>1445</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4" t="s">
        <v>1</v>
      </c>
      <c r="D21" s="369" t="s">
        <v>1447</v>
      </c>
      <c r="E21" s="347" t="s">
        <v>1448</v>
      </c>
      <c r="F21" s="367">
        <f>'数据-取费表'!B38</f>
        <v>0.02</v>
      </c>
      <c r="G21" s="1857"/>
      <c r="H21" s="372"/>
      <c r="I21" s="356"/>
      <c r="J21" s="29"/>
      <c r="K21" s="373"/>
      <c r="L21" s="347" t="s">
        <v>1449</v>
      </c>
      <c r="M21" s="348">
        <f ca="1">INDIRECT("'数据-取费表'!r"&amp;$G$1)</f>
        <v>825.42000000000007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4"/>
      <c r="D22" s="139" t="str">
        <f>IF(F23&lt;=1,"单利计息。","复利计息。")&amp;"建造成本、管理费用、销售费用产生的利息。"</f>
        <v>复利计息。建造成本、管理费用、销售费用产生的利息。</v>
      </c>
      <c r="E22" s="1822"/>
      <c r="F22" s="26"/>
      <c r="G22" s="1854"/>
      <c r="H22" s="1204" t="s">
        <v>1039</v>
      </c>
      <c r="I22" s="347" t="s">
        <v>1451</v>
      </c>
      <c r="J22" s="24">
        <f ca="1">ROUND(J14*M22,0)</f>
        <v>98886</v>
      </c>
      <c r="K22" s="1802" t="s">
        <v>1452</v>
      </c>
      <c r="L22" s="347" t="s">
        <v>1424</v>
      </c>
      <c r="M22" s="374">
        <f ca="1">INDIRECT("'数据-取费表'!Ak"&amp;$G$1)</f>
        <v>1.4999999999999999E-2</v>
      </c>
    </row>
    <row r="23" spans="1:37" s="1861" customFormat="1" ht="18" customHeight="1">
      <c r="A23" s="1204" t="s">
        <v>1034</v>
      </c>
      <c r="B23" s="347" t="s">
        <v>1453</v>
      </c>
      <c r="C23" s="24">
        <f ca="1">IF('数据-取费表'!B22&lt;=1,ROUND(C19*F24*F23/2,0)+ROUND(C20*F24*F23/2,0),ROUND(C19*(POWER((1+F24),F23/2)-1),0)+ROUND(C20*(POWER((1+F24),F23/2)-1),0))</f>
        <v>138533</v>
      </c>
      <c r="D23" s="375" t="str">
        <f>IF(F23&lt;=1,"(建造成本+管理费用)×利率×(建设周期÷2)","(建造成本+管理费用)×((1+利率)^(建设周期÷2)-1)")</f>
        <v>(建造成本+管理费用)×((1+利率)^(建设周期÷2)-1)</v>
      </c>
      <c r="E23" s="347" t="s">
        <v>1454</v>
      </c>
      <c r="F23" s="371">
        <f>'数据-取费表'!B20</f>
        <v>1.5</v>
      </c>
      <c r="G23" s="1857"/>
      <c r="H23" s="1204" t="s">
        <v>1075</v>
      </c>
      <c r="I23" s="347" t="s">
        <v>1455</v>
      </c>
      <c r="J23" s="24">
        <f ca="1">ROUND(J13*M23,0)</f>
        <v>0</v>
      </c>
      <c r="K23" s="1802"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4">
        <f ca="1">ROUND(IF('数据-取费表'!B22&lt;=1,F21*F24*F23/2,F21*(POWER((1+F24),F23/2)-1)),4)</f>
        <v>6.9999999999999999E-4</v>
      </c>
      <c r="D24" s="375" t="str">
        <f>IF(F23&lt;=1,"销售费用×利率×(建设周期÷2)","销售费用×((1+利率)^(建设周期÷2)-1)")</f>
        <v>销售费用×((1+利率)^(建设周期÷2)-1)</v>
      </c>
      <c r="E24" s="347" t="s">
        <v>1460</v>
      </c>
      <c r="F24" s="377">
        <f ca="1">'数据-取费表'!B40</f>
        <v>4.7500000000000001E-2</v>
      </c>
      <c r="G24" s="1857"/>
      <c r="H24" s="1342" t="s">
        <v>1394</v>
      </c>
      <c r="I24" s="1343" t="s">
        <v>1441</v>
      </c>
      <c r="J24" s="1344">
        <f ca="1">ROUND(J5*M24,0)</f>
        <v>0</v>
      </c>
      <c r="K24" s="1345" t="s">
        <v>1461</v>
      </c>
      <c r="L24" s="1343" t="s">
        <v>1457</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7" t="s">
        <v>1463</v>
      </c>
      <c r="C25" s="24"/>
      <c r="D25" s="139" t="s">
        <v>1464</v>
      </c>
      <c r="E25" s="1822"/>
      <c r="F25" s="26"/>
      <c r="G25" s="1854"/>
      <c r="H25" s="1332" t="s">
        <v>1031</v>
      </c>
      <c r="I25" s="1347" t="s">
        <v>1465</v>
      </c>
      <c r="J25" s="355">
        <f ca="1">J5-J16</f>
        <v>-156738</v>
      </c>
      <c r="K25" s="1348" t="s">
        <v>1466</v>
      </c>
      <c r="L25" s="1349"/>
      <c r="M25" s="1350"/>
    </row>
    <row r="26" spans="1:37" ht="18" customHeight="1">
      <c r="A26" s="1204" t="s">
        <v>1034</v>
      </c>
      <c r="B26" s="347" t="s">
        <v>1467</v>
      </c>
      <c r="C26" s="24">
        <f ca="1">ROUND((C19+C20)*F26,0)</f>
        <v>1955712</v>
      </c>
      <c r="D26" s="369" t="s">
        <v>1468</v>
      </c>
      <c r="E26" s="358" t="s">
        <v>1469</v>
      </c>
      <c r="F26" s="357">
        <f ca="1">INDIRECT("'数据-取费表'!q"&amp;$G$1)</f>
        <v>0.5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4">
        <f ca="1">ROUND(F21*F26,4)</f>
        <v>0.01</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4">
        <f>ROUND(F28/(1+'数据-取费表'!C42),4)</f>
        <v>5.8299999999999998E-2</v>
      </c>
      <c r="D28" s="369" t="s">
        <v>1478</v>
      </c>
      <c r="E28" s="347" t="s">
        <v>1424</v>
      </c>
      <c r="F28" s="367">
        <f>'数据-取费表'!B41</f>
        <v>6.1600000000000002E-2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6592391</v>
      </c>
      <c r="D29" s="1345"/>
      <c r="E29" s="1343"/>
      <c r="F29" s="1346"/>
      <c r="G29" s="1857"/>
      <c r="H29" s="380" t="s">
        <v>1033</v>
      </c>
      <c r="I29" s="381" t="s">
        <v>1481</v>
      </c>
      <c r="J29" s="382">
        <f ca="1">ROUND(J26/(1+F40)^F41,0)</f>
        <v>0</v>
      </c>
      <c r="K29" s="383" t="s">
        <v>1482</v>
      </c>
      <c r="L29" s="384"/>
      <c r="M29" s="385">
        <f ca="1">INDIRECT("'数据-取费表'!k"&amp;$G$1)</f>
        <v>1899.73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5">
        <f ca="1">ROUND(C31+C36+C37+C38,0)</f>
        <v>273385</v>
      </c>
      <c r="D30" s="1340" t="s">
        <v>1427</v>
      </c>
      <c r="E30" s="1341"/>
      <c r="F30" s="1297"/>
      <c r="G30" s="1854"/>
      <c r="H30" s="745"/>
      <c r="I30" s="746"/>
      <c r="J30" s="747"/>
      <c r="K30" s="748"/>
      <c r="L30" s="749"/>
      <c r="M30" s="750"/>
    </row>
    <row r="31" spans="1:37" ht="18" customHeight="1">
      <c r="A31" s="1204" t="s">
        <v>1035</v>
      </c>
      <c r="B31" s="347" t="s">
        <v>1431</v>
      </c>
      <c r="C31" s="24">
        <f ca="1">ROUND(IF(项目基本情况!B11="自然人",C5*F31,C32+C33+C34),0)</f>
        <v>148987</v>
      </c>
      <c r="D31" s="1804" t="s">
        <v>1432</v>
      </c>
      <c r="E31" s="180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1435</v>
      </c>
      <c r="C32" s="24">
        <f ca="1">IF(项目基本情况!B11="自然人","——",ROUND(C5*F32/(1+'数据-取费表'!C42),0))</f>
        <v>91135</v>
      </c>
      <c r="D32" s="1802" t="s">
        <v>1436</v>
      </c>
      <c r="E32" s="347" t="s">
        <v>1424</v>
      </c>
      <c r="F32" s="377">
        <f>'数据-取费表'!B41</f>
        <v>6.1600000000000002E-2</v>
      </c>
      <c r="G32" s="1854"/>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55376</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4" t="s">
        <v>1390</v>
      </c>
      <c r="B34" s="164" t="s">
        <v>1443</v>
      </c>
      <c r="C34" s="25">
        <f ca="1">IF(项目基本情况!B11="自然人","——",ROUND(F34*F35,))</f>
        <v>2476</v>
      </c>
      <c r="D34" s="370" t="s">
        <v>1444</v>
      </c>
      <c r="E34" s="347" t="s">
        <v>1445</v>
      </c>
      <c r="F34" s="371">
        <f>'数据-取费表'!B52</f>
        <v>3</v>
      </c>
      <c r="G34" s="1854"/>
      <c r="H34" s="745"/>
      <c r="I34" s="1863"/>
      <c r="J34" s="1864"/>
      <c r="K34" s="1866"/>
      <c r="L34" s="1867"/>
      <c r="M34" s="1867"/>
    </row>
    <row r="35" spans="1:18" ht="18" customHeight="1">
      <c r="A35" s="1356"/>
      <c r="B35" s="1354"/>
      <c r="C35" s="29"/>
      <c r="D35" s="373"/>
      <c r="E35" s="347" t="s">
        <v>1449</v>
      </c>
      <c r="F35" s="348">
        <f ca="1">INDIRECT("'数据-取费表'!r"&amp;$G$1)</f>
        <v>825.42000000000007</v>
      </c>
      <c r="G35" s="1854"/>
      <c r="H35" s="745"/>
      <c r="I35" s="1863"/>
      <c r="J35" s="1864"/>
      <c r="K35" s="1865"/>
      <c r="L35" s="1862"/>
      <c r="M35" s="1862"/>
    </row>
    <row r="36" spans="1:18" ht="18" customHeight="1">
      <c r="A36" s="1355" t="s">
        <v>1039</v>
      </c>
      <c r="B36" s="347" t="s">
        <v>1451</v>
      </c>
      <c r="C36" s="24">
        <f ca="1">ROUND(C29*F36,0)</f>
        <v>98886</v>
      </c>
      <c r="D36" s="1802" t="s">
        <v>1484</v>
      </c>
      <c r="E36" s="347" t="s">
        <v>1424</v>
      </c>
      <c r="F36" s="374">
        <f ca="1">INDIRECT("'数据-取费表'!Ak"&amp;$G$1)</f>
        <v>1.4999999999999999E-2</v>
      </c>
      <c r="G36" s="1854"/>
      <c r="H36" s="1862"/>
      <c r="I36" s="1863"/>
      <c r="J36" s="1864"/>
      <c r="K36" s="751"/>
      <c r="L36" s="1862"/>
      <c r="M36" s="1862"/>
    </row>
    <row r="37" spans="1:18" ht="18" customHeight="1">
      <c r="A37" s="1204" t="s">
        <v>1075</v>
      </c>
      <c r="B37" s="347" t="s">
        <v>1455</v>
      </c>
      <c r="C37" s="24">
        <f ca="1">ROUND(C13*F37,0)</f>
        <v>9889</v>
      </c>
      <c r="D37" s="1802" t="s">
        <v>1456</v>
      </c>
      <c r="E37" s="347" t="s">
        <v>1457</v>
      </c>
      <c r="F37" s="376">
        <f ca="1">INDIRECT("'数据-取费表'!Al"&amp;$G$1)</f>
        <v>1.5E-3</v>
      </c>
      <c r="G37" s="1854"/>
      <c r="H37" s="1862"/>
      <c r="I37" s="1863"/>
      <c r="J37" s="1864"/>
      <c r="K37" s="751"/>
      <c r="L37" s="1862"/>
      <c r="M37" s="1862"/>
    </row>
    <row r="38" spans="1:18" ht="18" customHeight="1" thickBot="1">
      <c r="A38" s="1342" t="s">
        <v>1394</v>
      </c>
      <c r="B38" s="1343" t="s">
        <v>1441</v>
      </c>
      <c r="C38" s="1344">
        <f ca="1">ROUND(C5*F38,1)</f>
        <v>15623.2</v>
      </c>
      <c r="D38" s="1345" t="s">
        <v>1461</v>
      </c>
      <c r="E38" s="1343" t="s">
        <v>1457</v>
      </c>
      <c r="F38" s="1339">
        <f ca="1">INDIRECT("'数据-取费表'!Am"&amp;$G$1)</f>
        <v>0.01</v>
      </c>
      <c r="G38" s="1854"/>
      <c r="H38" s="1862"/>
      <c r="I38" s="1863"/>
      <c r="J38" s="1864"/>
      <c r="K38" s="1868"/>
      <c r="L38" s="1862"/>
      <c r="M38" s="1862"/>
    </row>
    <row r="39" spans="1:18" ht="24.6" customHeight="1" thickTop="1">
      <c r="A39" s="1332" t="s">
        <v>1031</v>
      </c>
      <c r="B39" s="1347" t="s">
        <v>1485</v>
      </c>
      <c r="C39" s="355">
        <f ca="1">C5-C30</f>
        <v>1288935</v>
      </c>
      <c r="D39" s="1348" t="s">
        <v>1486</v>
      </c>
      <c r="E39" s="1349"/>
      <c r="F39" s="1350"/>
      <c r="G39" s="1854"/>
      <c r="H39" s="1862"/>
      <c r="I39" s="1863"/>
      <c r="J39" s="1864"/>
      <c r="K39" s="1868"/>
      <c r="L39" s="1862"/>
      <c r="M39" s="1862"/>
    </row>
    <row r="40" spans="1:18" ht="18" customHeight="1">
      <c r="A40" s="344" t="s">
        <v>1032</v>
      </c>
      <c r="B40" s="345" t="s">
        <v>1487</v>
      </c>
      <c r="C40" s="346">
        <f ca="1">ROUND(C39*(1-((1+F42)/(1+F40))^F41)/(F40-F42),0)</f>
        <v>31482158</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34.86</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ROUND(C40/F43,0)</f>
        <v>16572</v>
      </c>
      <c r="D43" s="383" t="s">
        <v>1490</v>
      </c>
      <c r="E43" s="384" t="s">
        <v>1491</v>
      </c>
      <c r="F43" s="385">
        <f ca="1">INDIRECT("'数据-取费表'!k"&amp;$G$1)</f>
        <v>1899.73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-35552012</v>
      </c>
      <c r="D45" s="1943" t="s">
        <v>1606</v>
      </c>
      <c r="E45" s="1869"/>
      <c r="F45" s="1869"/>
      <c r="O45" s="1872" t="s">
        <v>1521</v>
      </c>
      <c r="P45" s="1842"/>
      <c r="Q45" s="1842"/>
      <c r="R45" s="1842"/>
    </row>
    <row r="46" spans="1:18" s="1845" customFormat="1" ht="13.5" thickBot="1">
      <c r="A46" s="1873" t="s">
        <v>1522</v>
      </c>
      <c r="C46" s="1874">
        <f ca="1">ROUND(C45/10000,0)</f>
        <v>-3555</v>
      </c>
      <c r="D46" s="1875" t="str">
        <f>C2</f>
        <v>万元</v>
      </c>
      <c r="I46" s="1876" t="s">
        <v>1523</v>
      </c>
      <c r="J46" s="1877"/>
      <c r="K46" s="1878"/>
      <c r="L46" s="1879" t="str">
        <f ca="1">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2"/>
      <c r="I47" s="1883" t="s">
        <v>1528</v>
      </c>
      <c r="J47" s="1884" t="s">
        <v>3121</v>
      </c>
      <c r="K47" s="1885" t="s">
        <v>1529</v>
      </c>
      <c r="L47" s="1886">
        <f ca="1">INDIRECT("'数据-取费表'!d"&amp;$G$1)</f>
        <v>40</v>
      </c>
      <c r="M47" s="1841" t="str">
        <f>IF(ISNUMBER(FIND("住宅",C1)),"住宅","非住宅")</f>
        <v>非住宅</v>
      </c>
      <c r="O47" s="1887" t="s">
        <v>1040</v>
      </c>
      <c r="P47" s="1888" t="s">
        <v>1530</v>
      </c>
      <c r="Q47" s="1889">
        <f ca="1">C40+J29</f>
        <v>31482158</v>
      </c>
      <c r="R47" s="1889" t="s">
        <v>1531</v>
      </c>
    </row>
    <row r="48" spans="1:18" s="1845" customFormat="1" ht="28.5" thickBot="1">
      <c r="A48" s="1363" t="s">
        <v>1135</v>
      </c>
      <c r="B48" s="345" t="s">
        <v>1402</v>
      </c>
      <c r="C48" s="1821">
        <f ca="1">C49+C53+C55</f>
        <v>0</v>
      </c>
      <c r="D48" s="1365"/>
      <c r="E48" s="1366"/>
      <c r="F48" s="1184"/>
      <c r="G48" s="792"/>
      <c r="H48" s="793"/>
      <c r="I48" s="1890" t="s">
        <v>1532</v>
      </c>
      <c r="J48" s="1891" t="s">
        <v>3122</v>
      </c>
      <c r="K48" s="1892" t="s">
        <v>1533</v>
      </c>
      <c r="L48" s="1893">
        <f ca="1">INDIRECT("'数据-取费表'!f"&amp;$G$1)</f>
        <v>36.159999999999997</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3"/>
      <c r="I49" s="1890" t="s">
        <v>1536</v>
      </c>
      <c r="J49" s="1895"/>
      <c r="K49" s="1892" t="s">
        <v>1537</v>
      </c>
      <c r="L49" s="1896"/>
      <c r="O49" s="1897" t="s">
        <v>1042</v>
      </c>
      <c r="P49" s="1888" t="s">
        <v>1538</v>
      </c>
      <c r="Q49" s="1889">
        <f ca="1">C29</f>
        <v>6592391</v>
      </c>
      <c r="R49" s="1889" t="s">
        <v>1531</v>
      </c>
    </row>
    <row r="50" spans="1:18" s="1845" customFormat="1" ht="13.5" thickBot="1">
      <c r="A50" s="1198"/>
      <c r="B50" s="1201"/>
      <c r="C50" s="1202"/>
      <c r="D50" s="1175"/>
      <c r="E50" s="1280" t="s">
        <v>1407</v>
      </c>
      <c r="F50" s="1281">
        <f ca="1">F7</f>
        <v>1899.73</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8">
        <f ca="1">F8</f>
        <v>365</v>
      </c>
      <c r="I51" s="1901" t="s">
        <v>1542</v>
      </c>
      <c r="J51" s="1902">
        <f>IF(J49="",J50,J49+J50-YEAR('数据-取费表'!B2))</f>
        <v>60</v>
      </c>
      <c r="K51" s="1903" t="s">
        <v>1543</v>
      </c>
      <c r="L51" s="1904">
        <f ca="1">ROUND(-PV(INDIRECT("'数据-取费表'!h"&amp;$G$1),L48,(C39-C13*C76),0),0)</f>
        <v>16394619</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f ca="1">J53</f>
        <v>34.86</v>
      </c>
      <c r="R52" s="1889" t="s">
        <v>1548</v>
      </c>
    </row>
    <row r="53" spans="1:18" s="1845"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8" t="s">
        <v>1549</v>
      </c>
      <c r="J53" s="1909">
        <f ca="1">IF(M47="住宅",J51,IF(D1="——",MIN(J51,L48),IF(D1="在建（套用方法）",MIN(J51,L48-'数据-取费表'!B24),IF(D1="土地（套用方法）",MIN(J51,L48-'数据-取费表'!B20)))))</f>
        <v>34.86</v>
      </c>
      <c r="K53" s="3246" t="s">
        <v>1550</v>
      </c>
      <c r="L53" s="3247"/>
      <c r="O53" s="1887" t="s">
        <v>1046</v>
      </c>
      <c r="P53" s="1888" t="s">
        <v>1551</v>
      </c>
      <c r="Q53" s="1889">
        <f ca="1">Q47+Q48</f>
        <v>31482158</v>
      </c>
      <c r="R53" s="1889" t="s">
        <v>1047</v>
      </c>
    </row>
    <row r="54" spans="1:18" s="1845" customFormat="1" ht="13.5" thickBot="1">
      <c r="A54" s="1197"/>
      <c r="B54" s="1944" t="s">
        <v>1605</v>
      </c>
      <c r="C54" s="1181"/>
      <c r="D54" s="1828"/>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6" t="s">
        <v>1075</v>
      </c>
      <c r="B55" s="1830" t="s">
        <v>1415</v>
      </c>
      <c r="C55" s="1337"/>
      <c r="D55" s="1828"/>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6">
        <f ca="1">C13</f>
        <v>6592391</v>
      </c>
      <c r="D56" s="1917"/>
      <c r="E56" s="1918"/>
      <c r="F56" s="1910"/>
      <c r="I56" s="1919" t="s">
        <v>1556</v>
      </c>
      <c r="J56" s="1920" t="s">
        <v>3067</v>
      </c>
      <c r="K56" s="1890" t="s">
        <v>1557</v>
      </c>
      <c r="L56" s="1893" t="str">
        <f ca="1">IF(L48&lt;J51,"——",L48-J51)</f>
        <v>——</v>
      </c>
      <c r="O56" s="1887" t="s">
        <v>1040</v>
      </c>
      <c r="P56" s="1888" t="s">
        <v>1530</v>
      </c>
      <c r="Q56" s="1889">
        <f ca="1">C40+J29</f>
        <v>31482158</v>
      </c>
      <c r="R56" s="1889" t="s">
        <v>1531</v>
      </c>
    </row>
    <row r="57" spans="1:18" s="1845" customFormat="1" ht="24.75" thickBot="1">
      <c r="A57" s="1921"/>
      <c r="B57" s="1172" t="s">
        <v>1480</v>
      </c>
      <c r="C57" s="282">
        <f ca="1">C29</f>
        <v>6592391</v>
      </c>
      <c r="D57" s="1922"/>
      <c r="E57" s="1923"/>
      <c r="F57" s="1924"/>
      <c r="I57" s="1925" t="s">
        <v>1558</v>
      </c>
      <c r="J57" s="1926" t="str">
        <f ca="1">IF(OR(M47="住宅",J51&lt;L48,J56="是"),"——",J51-L48)</f>
        <v>——</v>
      </c>
      <c r="K57" s="1890" t="s">
        <v>1607</v>
      </c>
      <c r="L57" s="1893" t="str">
        <f ca="1">IF(L48&lt;J51,"——",IF(L55="比较法",L49,IF(L55="基准地价",L50,L51)))</f>
        <v>——</v>
      </c>
      <c r="O57" s="1887" t="s">
        <v>1041</v>
      </c>
      <c r="P57" s="1888" t="s">
        <v>1608</v>
      </c>
      <c r="Q57" s="1889">
        <f ca="1">L60</f>
        <v>0</v>
      </c>
      <c r="R57" s="1889" t="s">
        <v>1609</v>
      </c>
    </row>
    <row r="58" spans="1:18" s="1845" customFormat="1" ht="24.75" thickBot="1">
      <c r="A58" s="360" t="s">
        <v>1030</v>
      </c>
      <c r="B58" s="1180" t="s">
        <v>1426</v>
      </c>
      <c r="C58" s="361">
        <f ca="1">ROUND(C59+C64+C65+C66,0)</f>
        <v>166627</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57852</v>
      </c>
      <c r="D59" s="1185" t="s">
        <v>1432</v>
      </c>
      <c r="E59" s="1186"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7">
        <f t="shared" ref="F60:F66" si="0">F32</f>
        <v>6.1600000000000002E-2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55376</v>
      </c>
      <c r="D61" s="1831" t="s">
        <v>1440</v>
      </c>
      <c r="E61" s="1172" t="s">
        <v>1496</v>
      </c>
      <c r="F61" s="367">
        <f t="shared" si="0"/>
        <v>1.2E-2</v>
      </c>
      <c r="I61" s="1931"/>
      <c r="J61" s="1931"/>
      <c r="K61" s="1931"/>
      <c r="L61" s="1931"/>
      <c r="O61" s="1897" t="s">
        <v>1045</v>
      </c>
      <c r="P61" s="1888" t="str">
        <f>K59</f>
        <v>续建工期及建筑物耐用年限下的土地年期修正系数Kn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2476</v>
      </c>
      <c r="D62" s="1187" t="s">
        <v>1499</v>
      </c>
      <c r="E62" s="1172" t="s">
        <v>1500</v>
      </c>
      <c r="F62" s="371">
        <f t="shared" si="0"/>
        <v>3</v>
      </c>
      <c r="I62" s="1932" t="s">
        <v>1572</v>
      </c>
      <c r="J62" s="1933" t="s">
        <v>1573</v>
      </c>
      <c r="K62" s="1933" t="s">
        <v>1574</v>
      </c>
      <c r="L62" s="1933" t="s">
        <v>1575</v>
      </c>
      <c r="M62" s="1934" t="s">
        <v>1576</v>
      </c>
      <c r="O62" s="1887" t="s">
        <v>1046</v>
      </c>
      <c r="P62" s="1888" t="s">
        <v>1577</v>
      </c>
      <c r="Q62" s="1889">
        <f ca="1">Q56+Q57</f>
        <v>31482158</v>
      </c>
      <c r="R62" s="1889" t="s">
        <v>1047</v>
      </c>
    </row>
    <row r="63" spans="1:18" s="1845" customFormat="1" ht="13.5" thickBot="1">
      <c r="A63" s="372"/>
      <c r="B63" s="1178"/>
      <c r="C63" s="29"/>
      <c r="D63" s="1188"/>
      <c r="E63" s="1172" t="s">
        <v>1501</v>
      </c>
      <c r="F63" s="348">
        <f t="shared" ca="1" si="0"/>
        <v>825.42000000000007</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98886</v>
      </c>
      <c r="D64" s="1186" t="s">
        <v>1504</v>
      </c>
      <c r="E64" s="1172"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9889</v>
      </c>
      <c r="D65" s="1186" t="s">
        <v>1456</v>
      </c>
      <c r="E65" s="1172" t="s">
        <v>1457</v>
      </c>
      <c r="F65" s="376">
        <f t="shared" ca="1" si="0"/>
        <v>1.5E-3</v>
      </c>
      <c r="I65" s="1932" t="s">
        <v>1581</v>
      </c>
      <c r="J65" s="1933">
        <v>40</v>
      </c>
      <c r="K65" s="1933">
        <v>30</v>
      </c>
      <c r="L65" s="1933">
        <v>50</v>
      </c>
      <c r="M65" s="1935">
        <v>0.02</v>
      </c>
      <c r="O65" s="1887" t="s">
        <v>1040</v>
      </c>
      <c r="P65" s="1888" t="s">
        <v>1582</v>
      </c>
      <c r="Q65" s="1889">
        <f ca="1">C40+J29</f>
        <v>31482158</v>
      </c>
      <c r="R65" s="1889" t="s">
        <v>1531</v>
      </c>
    </row>
    <row r="66" spans="1:18" s="1845" customFormat="1" ht="16.5" thickBot="1">
      <c r="A66" s="1204" t="s">
        <v>1506</v>
      </c>
      <c r="B66" s="1172" t="s">
        <v>1441</v>
      </c>
      <c r="C66" s="24">
        <f ca="1">ROUND(C48*F66,0)</f>
        <v>0</v>
      </c>
      <c r="D66" s="1186" t="s">
        <v>1507</v>
      </c>
      <c r="E66" s="1172" t="s">
        <v>1424</v>
      </c>
      <c r="F66" s="357">
        <f t="shared" ca="1" si="0"/>
        <v>0.01</v>
      </c>
      <c r="O66" s="1887" t="s">
        <v>1041</v>
      </c>
      <c r="P66" s="1888" t="s">
        <v>1560</v>
      </c>
      <c r="Q66" s="1889">
        <f ca="1">L60</f>
        <v>0</v>
      </c>
      <c r="R66" s="1889" t="s">
        <v>1583</v>
      </c>
    </row>
    <row r="67" spans="1:18" s="1845" customFormat="1" ht="16.5" thickBot="1">
      <c r="A67" s="1179" t="s">
        <v>1031</v>
      </c>
      <c r="B67" s="1189" t="s">
        <v>1465</v>
      </c>
      <c r="C67" s="361">
        <f ca="1">C48-C58</f>
        <v>-166627</v>
      </c>
      <c r="D67" s="1185" t="s">
        <v>1466</v>
      </c>
      <c r="E67" s="1190"/>
      <c r="F67" s="1191"/>
      <c r="O67" s="1897" t="s">
        <v>1042</v>
      </c>
      <c r="P67" s="1888" t="s">
        <v>1564</v>
      </c>
      <c r="Q67" s="1936">
        <f ca="1">L51</f>
        <v>16394619</v>
      </c>
      <c r="R67" s="1889" t="s">
        <v>1584</v>
      </c>
    </row>
    <row r="68" spans="1:18" s="1845" customFormat="1" ht="16.5" thickBot="1">
      <c r="A68" s="1169" t="s">
        <v>1032</v>
      </c>
      <c r="B68" s="1170" t="s">
        <v>1487</v>
      </c>
      <c r="C68" s="346">
        <f ca="1">ROUND(C67*(1-((1+F70)/(1+F68))^F69)/(F68-F70),0)</f>
        <v>-4069854</v>
      </c>
      <c r="D68" s="1187" t="s">
        <v>1471</v>
      </c>
      <c r="E68" s="1172" t="s">
        <v>1472</v>
      </c>
      <c r="F68" s="357">
        <f ca="1">F40</f>
        <v>0.05</v>
      </c>
      <c r="O68" s="1897" t="s">
        <v>1043</v>
      </c>
      <c r="P68" s="1937" t="s">
        <v>1585</v>
      </c>
      <c r="Q68" s="1889">
        <f ca="1">ROUND(Q69-Q70*Q71,0)</f>
        <v>926353</v>
      </c>
      <c r="R68" s="1889" t="s">
        <v>1051</v>
      </c>
    </row>
    <row r="69" spans="1:18" s="1845" customFormat="1" ht="13.5" thickBot="1">
      <c r="A69" s="1173"/>
      <c r="B69" s="1174"/>
      <c r="C69" s="351"/>
      <c r="D69" s="1192" t="s">
        <v>1475</v>
      </c>
      <c r="E69" s="1172" t="s">
        <v>1476</v>
      </c>
      <c r="F69" s="379">
        <f ca="1">F41</f>
        <v>34.86</v>
      </c>
      <c r="O69" s="1897" t="s">
        <v>1048</v>
      </c>
      <c r="P69" s="1937" t="s">
        <v>1586</v>
      </c>
      <c r="Q69" s="1889">
        <f ca="1">C39</f>
        <v>1288935</v>
      </c>
      <c r="R69" s="1889" t="s">
        <v>1531</v>
      </c>
    </row>
    <row r="70" spans="1:18" s="1845" customFormat="1" ht="13.5" thickBot="1">
      <c r="A70" s="1176"/>
      <c r="B70" s="1177"/>
      <c r="C70" s="355"/>
      <c r="D70" s="1188"/>
      <c r="E70" s="1172" t="s">
        <v>1479</v>
      </c>
      <c r="F70" s="1278">
        <f ca="1">F42</f>
        <v>0.03</v>
      </c>
      <c r="O70" s="1897" t="s">
        <v>1049</v>
      </c>
      <c r="P70" s="1937" t="s">
        <v>1587</v>
      </c>
      <c r="Q70" s="1889">
        <f ca="1">C13</f>
        <v>6592391</v>
      </c>
      <c r="R70" s="1889" t="s">
        <v>1531</v>
      </c>
    </row>
    <row r="71" spans="1:18" s="1845" customFormat="1" ht="13.5" thickBot="1">
      <c r="A71" s="1193" t="s">
        <v>1033</v>
      </c>
      <c r="B71" s="1194" t="s">
        <v>1489</v>
      </c>
      <c r="C71" s="382">
        <f ca="1">ROUND(C68/F71,0)</f>
        <v>-2142</v>
      </c>
      <c r="D71" s="1195" t="s">
        <v>1490</v>
      </c>
      <c r="E71" s="1196" t="s">
        <v>1491</v>
      </c>
      <c r="F71" s="385">
        <f ca="1">F43</f>
        <v>1899.73</v>
      </c>
      <c r="O71" s="1897" t="s">
        <v>1050</v>
      </c>
      <c r="P71" s="1937" t="s">
        <v>1588</v>
      </c>
      <c r="Q71" s="1900">
        <f ca="1">C76</f>
        <v>5.5E-2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续建工期及建筑物耐用年限下的土地年期修正系数Kn</v>
      </c>
      <c r="Q74" s="1889" t="e">
        <f ca="1">L59</f>
        <v>#DIV/0!</v>
      </c>
      <c r="R74" s="1889" t="s">
        <v>1571</v>
      </c>
    </row>
    <row r="75" spans="1:18" ht="13.5" thickBot="1">
      <c r="A75" s="1845"/>
      <c r="B75" s="386" t="s">
        <v>1508</v>
      </c>
      <c r="C75" s="387">
        <f ca="1">ROUND(C13*C76,0)</f>
        <v>362582</v>
      </c>
      <c r="D75" s="1845"/>
      <c r="E75" s="1845"/>
      <c r="F75" s="1845"/>
      <c r="K75" s="1871"/>
      <c r="L75" s="1845"/>
      <c r="O75" s="1887" t="s">
        <v>1046</v>
      </c>
      <c r="P75" s="1888" t="s">
        <v>1551</v>
      </c>
      <c r="Q75" s="1889">
        <f ca="1">Q65+Q66</f>
        <v>31482158</v>
      </c>
      <c r="R75" s="1889" t="s">
        <v>1047</v>
      </c>
    </row>
    <row r="76" spans="1:18">
      <c r="B76" s="388" t="s">
        <v>1509</v>
      </c>
      <c r="C76" s="389">
        <f ca="1">INDIRECT("'数据-取费表'!j"&amp;$G$1)</f>
        <v>5.5E-2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0.71899999999999997</v>
      </c>
    </row>
    <row r="80" spans="1:18">
      <c r="B80" s="386" t="s">
        <v>1513</v>
      </c>
      <c r="C80" s="318">
        <f ca="1">ROUND(C75/C39,3)</f>
        <v>0.28100000000000003</v>
      </c>
    </row>
    <row r="81" spans="2:3">
      <c r="B81" s="314" t="s">
        <v>1514</v>
      </c>
      <c r="C81" s="282"/>
    </row>
    <row r="82" spans="2:3">
      <c r="B82" s="317" t="s">
        <v>1515</v>
      </c>
      <c r="C82" s="319">
        <f ca="1">1-C83</f>
        <v>0.79100000000000004</v>
      </c>
    </row>
    <row r="83" spans="2:3">
      <c r="B83" s="317" t="s">
        <v>1516</v>
      </c>
      <c r="C83" s="318">
        <f ca="1">ROUND(C13/C40,3)</f>
        <v>0.20899999999999999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2525</v>
      </c>
      <c r="B1" s="2562"/>
      <c r="C1" s="2562"/>
      <c r="D1" s="2562"/>
      <c r="E1" s="2563"/>
    </row>
    <row r="2" spans="1:6" ht="15.75">
      <c r="A2" s="2564" t="s">
        <v>2329</v>
      </c>
      <c r="B2" s="2565">
        <f ca="1">SUMIF(B6:B13,"&lt;&gt;#ref!",B6:B13)</f>
        <v>3148</v>
      </c>
      <c r="C2" s="2566" t="s">
        <v>2518</v>
      </c>
      <c r="D2" s="2567" t="s">
        <v>2519</v>
      </c>
      <c r="E2" s="2568">
        <f>SUM(E6:E13)</f>
        <v>2083.59</v>
      </c>
    </row>
    <row r="3" spans="1:6" ht="15.75">
      <c r="A3" s="2564" t="s">
        <v>1396</v>
      </c>
      <c r="B3" s="2565">
        <f ca="1">ROUND(B2*10000/E2,0)</f>
        <v>15109</v>
      </c>
      <c r="C3" s="2566" t="s">
        <v>2526</v>
      </c>
      <c r="D3" s="2569"/>
      <c r="E3" s="2570"/>
    </row>
    <row r="4" spans="1:6" ht="15.75">
      <c r="A4" s="2571"/>
      <c r="B4" s="2569"/>
      <c r="C4" s="2569"/>
      <c r="D4" s="2569"/>
      <c r="E4" s="2570"/>
    </row>
    <row r="5" spans="1:6" ht="15">
      <c r="A5" s="2572" t="s">
        <v>2520</v>
      </c>
      <c r="B5" s="3251" t="s">
        <v>2521</v>
      </c>
      <c r="C5" s="3251"/>
      <c r="D5" s="2573"/>
      <c r="E5" s="2574" t="s">
        <v>2522</v>
      </c>
      <c r="F5" s="2575" t="s">
        <v>2523</v>
      </c>
    </row>
    <row r="6" spans="1:6">
      <c r="A6" s="2576">
        <f>'数据-取费表'!AN6</f>
        <v>0</v>
      </c>
      <c r="B6" s="2575" t="e">
        <f ca="1">IF(F6="是",'数据-取费表'!AO6,0)</f>
        <v>#REF!</v>
      </c>
      <c r="C6" s="2566" t="s">
        <v>2518</v>
      </c>
      <c r="D6" s="2569"/>
      <c r="E6" s="2577">
        <f>IF(OR(A6=0,F6="否"),0,'数据-取费表'!K6+'数据-取费表'!S6)</f>
        <v>0</v>
      </c>
      <c r="F6" s="2578" t="s">
        <v>2524</v>
      </c>
    </row>
    <row r="7" spans="1:6">
      <c r="A7" s="2576" t="str">
        <f>'数据-取费表'!AN7</f>
        <v>收益法 (元)</v>
      </c>
      <c r="B7" s="2575">
        <f ca="1">IF(F7="是",'数据-取费表'!AO7,0)</f>
        <v>3148</v>
      </c>
      <c r="C7" s="2566" t="s">
        <v>2518</v>
      </c>
      <c r="D7" s="2569"/>
      <c r="E7" s="2577">
        <f>IF(OR(A7=0,F7="否"),0,'数据-取费表'!K7+'数据-取费表'!S7)</f>
        <v>2083.59</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L42" sqref="L42"/>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57" t="s">
        <v>1077</v>
      </c>
      <c r="B2" s="3258" t="s">
        <v>1078</v>
      </c>
      <c r="C2" s="3258"/>
      <c r="D2" s="1304" t="s">
        <v>1079</v>
      </c>
      <c r="E2" s="1304" t="s">
        <v>1080</v>
      </c>
      <c r="F2" s="1304" t="s">
        <v>1081</v>
      </c>
      <c r="G2" s="1304" t="s">
        <v>1082</v>
      </c>
      <c r="H2" s="1304" t="s">
        <v>1083</v>
      </c>
      <c r="I2" s="1305" t="s">
        <v>1084</v>
      </c>
    </row>
    <row r="3" spans="1:9">
      <c r="A3" s="3257"/>
      <c r="B3" s="3258" t="s">
        <v>1085</v>
      </c>
      <c r="C3" s="3258"/>
      <c r="D3" s="1306"/>
      <c r="E3" s="1304"/>
      <c r="F3" s="1307"/>
      <c r="G3" s="1307"/>
      <c r="H3" s="1308"/>
      <c r="I3" s="1309">
        <f>ROUND(D3*E3*F3*G3*H3/10000,0)</f>
        <v>0</v>
      </c>
    </row>
    <row r="4" spans="1:9">
      <c r="A4" s="3257"/>
      <c r="B4" s="3258" t="s">
        <v>1086</v>
      </c>
      <c r="C4" s="3258"/>
      <c r="D4" s="1306"/>
      <c r="E4" s="1304"/>
      <c r="F4" s="1307"/>
      <c r="G4" s="1307"/>
      <c r="H4" s="1308"/>
      <c r="I4" s="1309">
        <f t="shared" ref="I4:I9" si="0">ROUND(D4*E4*F4*G4*H4/10000,0)</f>
        <v>0</v>
      </c>
    </row>
    <row r="5" spans="1:9">
      <c r="A5" s="3257"/>
      <c r="B5" s="3258" t="s">
        <v>1087</v>
      </c>
      <c r="C5" s="3258"/>
      <c r="D5" s="1306"/>
      <c r="E5" s="1304"/>
      <c r="F5" s="1307"/>
      <c r="G5" s="1307"/>
      <c r="H5" s="1308"/>
      <c r="I5" s="1309">
        <f t="shared" si="0"/>
        <v>0</v>
      </c>
    </row>
    <row r="6" spans="1:9">
      <c r="A6" s="3257"/>
      <c r="B6" s="3258" t="s">
        <v>1088</v>
      </c>
      <c r="C6" s="3258"/>
      <c r="D6" s="1306"/>
      <c r="E6" s="1304"/>
      <c r="F6" s="1307"/>
      <c r="G6" s="1307"/>
      <c r="H6" s="1308"/>
      <c r="I6" s="1309">
        <f t="shared" si="0"/>
        <v>0</v>
      </c>
    </row>
    <row r="7" spans="1:9">
      <c r="A7" s="3257"/>
      <c r="B7" s="3258" t="s">
        <v>1089</v>
      </c>
      <c r="C7" s="3258"/>
      <c r="D7" s="1306"/>
      <c r="E7" s="1304"/>
      <c r="F7" s="1307"/>
      <c r="G7" s="1307"/>
      <c r="H7" s="1308"/>
      <c r="I7" s="1309">
        <f t="shared" si="0"/>
        <v>0</v>
      </c>
    </row>
    <row r="8" spans="1:9">
      <c r="A8" s="3257"/>
      <c r="B8" s="3258" t="s">
        <v>1090</v>
      </c>
      <c r="C8" s="3258"/>
      <c r="D8" s="1306"/>
      <c r="E8" s="1304"/>
      <c r="F8" s="1307"/>
      <c r="G8" s="1307"/>
      <c r="H8" s="1308"/>
      <c r="I8" s="1309">
        <f t="shared" si="0"/>
        <v>0</v>
      </c>
    </row>
    <row r="9" spans="1:9">
      <c r="A9" s="3257"/>
      <c r="B9" s="3258" t="s">
        <v>1091</v>
      </c>
      <c r="C9" s="3258"/>
      <c r="D9" s="1306"/>
      <c r="E9" s="1304"/>
      <c r="F9" s="1307"/>
      <c r="G9" s="1307"/>
      <c r="H9" s="1308"/>
      <c r="I9" s="1309">
        <f t="shared" si="0"/>
        <v>0</v>
      </c>
    </row>
    <row r="10" spans="1:9">
      <c r="A10" s="3257"/>
      <c r="B10" s="3259" t="s">
        <v>1092</v>
      </c>
      <c r="C10" s="3259"/>
      <c r="D10" s="1310"/>
      <c r="E10" s="1310" t="e">
        <f>ROUND(D1*10000/D10/H9,0)</f>
        <v>#DIV/0!</v>
      </c>
      <c r="F10" s="1311"/>
      <c r="G10" s="1311"/>
      <c r="H10" s="1312"/>
      <c r="I10" s="1313">
        <f>SUM(I3:I9)</f>
        <v>0</v>
      </c>
    </row>
    <row r="11" spans="1:9" ht="14.25">
      <c r="A11" s="3257" t="s">
        <v>1093</v>
      </c>
      <c r="B11" s="3258" t="s">
        <v>1094</v>
      </c>
      <c r="C11" s="3258"/>
      <c r="D11" s="1306" t="s">
        <v>1095</v>
      </c>
      <c r="E11" s="1306" t="s">
        <v>1096</v>
      </c>
      <c r="F11" s="1307" t="s">
        <v>1097</v>
      </c>
      <c r="G11" s="1307" t="s">
        <v>1083</v>
      </c>
      <c r="H11" s="1314" t="s">
        <v>1098</v>
      </c>
      <c r="I11" s="1305" t="s">
        <v>1084</v>
      </c>
    </row>
    <row r="12" spans="1:9">
      <c r="A12" s="3257"/>
      <c r="B12" s="3258" t="s">
        <v>1099</v>
      </c>
      <c r="C12" s="3258"/>
      <c r="D12" s="1306"/>
      <c r="E12" s="1306"/>
      <c r="F12" s="1307"/>
      <c r="G12" s="1308"/>
      <c r="H12" s="1315"/>
      <c r="I12" s="1305">
        <f>ROUND(D12*E12*F12*G12/10000,0)</f>
        <v>0</v>
      </c>
    </row>
    <row r="13" spans="1:9">
      <c r="A13" s="3257"/>
      <c r="B13" s="3258" t="s">
        <v>1100</v>
      </c>
      <c r="C13" s="3258"/>
      <c r="D13" s="1306"/>
      <c r="E13" s="1306"/>
      <c r="F13" s="1307"/>
      <c r="G13" s="1308"/>
      <c r="H13" s="1315"/>
      <c r="I13" s="1305">
        <f>ROUND(D13*E13*F13*G13/10000,0)</f>
        <v>0</v>
      </c>
    </row>
    <row r="14" spans="1:9">
      <c r="A14" s="3257"/>
      <c r="B14" s="3258" t="s">
        <v>1101</v>
      </c>
      <c r="C14" s="3258"/>
      <c r="D14" s="1306"/>
      <c r="E14" s="1306"/>
      <c r="F14" s="1307"/>
      <c r="G14" s="1308"/>
      <c r="H14" s="1315"/>
      <c r="I14" s="1305">
        <f>ROUND(D14*E14*F14*G14/10000,0)</f>
        <v>0</v>
      </c>
    </row>
    <row r="15" spans="1:9">
      <c r="A15" s="3257"/>
      <c r="B15" s="3259" t="s">
        <v>1092</v>
      </c>
      <c r="C15" s="3259"/>
      <c r="D15" s="1310"/>
      <c r="E15" s="1310">
        <f>SUM(E12:E14)</f>
        <v>0</v>
      </c>
      <c r="F15" s="1311"/>
      <c r="G15" s="1308"/>
      <c r="H15" s="1315"/>
      <c r="I15" s="1316">
        <f>SUM(I12:I14)</f>
        <v>0</v>
      </c>
    </row>
    <row r="16" spans="1:9" ht="24">
      <c r="A16" s="3257" t="s">
        <v>1102</v>
      </c>
      <c r="B16" s="3258" t="s">
        <v>1103</v>
      </c>
      <c r="C16" s="3258"/>
      <c r="D16" s="1306" t="s">
        <v>1079</v>
      </c>
      <c r="E16" s="1317" t="s">
        <v>1104</v>
      </c>
      <c r="F16" s="1307" t="s">
        <v>1105</v>
      </c>
      <c r="G16" s="1308" t="s">
        <v>1083</v>
      </c>
      <c r="H16" s="1314" t="s">
        <v>1098</v>
      </c>
      <c r="I16" s="1305" t="s">
        <v>1084</v>
      </c>
    </row>
    <row r="17" spans="1:9" ht="14.25">
      <c r="A17" s="3257"/>
      <c r="B17" s="3258" t="s">
        <v>1106</v>
      </c>
      <c r="C17" s="3258"/>
      <c r="D17" s="1306"/>
      <c r="E17" s="1306"/>
      <c r="F17" s="1307"/>
      <c r="G17" s="1308"/>
      <c r="H17" s="1318"/>
      <c r="I17" s="1319">
        <f>ROUND(D17*E17*F17*G17/10000,0)</f>
        <v>0</v>
      </c>
    </row>
    <row r="18" spans="1:9" ht="14.25">
      <c r="A18" s="3257"/>
      <c r="B18" s="3258" t="s">
        <v>1107</v>
      </c>
      <c r="C18" s="3258"/>
      <c r="D18" s="1306"/>
      <c r="E18" s="1306"/>
      <c r="F18" s="1307"/>
      <c r="G18" s="1308"/>
      <c r="H18" s="1318"/>
      <c r="I18" s="1319">
        <f>ROUND(D18*E18*F18*G18/10000,0)</f>
        <v>0</v>
      </c>
    </row>
    <row r="19" spans="1:9" ht="14.25">
      <c r="A19" s="3257"/>
      <c r="B19" s="3258" t="s">
        <v>1108</v>
      </c>
      <c r="C19" s="3258"/>
      <c r="D19" s="1306"/>
      <c r="E19" s="1306"/>
      <c r="F19" s="1307"/>
      <c r="G19" s="1308"/>
      <c r="H19" s="1318"/>
      <c r="I19" s="1319">
        <f>ROUND(D19*E19*F19*G19/10000,0)</f>
        <v>0</v>
      </c>
    </row>
    <row r="20" spans="1:9">
      <c r="A20" s="3257"/>
      <c r="B20" s="3259" t="s">
        <v>1092</v>
      </c>
      <c r="C20" s="3259"/>
      <c r="D20" s="1310">
        <f>SUM(D17:D19)</f>
        <v>0</v>
      </c>
      <c r="E20" s="1310"/>
      <c r="F20" s="1311"/>
      <c r="G20" s="1308"/>
      <c r="H20" s="1315"/>
      <c r="I20" s="1316">
        <f>SUM(I17:I19)</f>
        <v>0</v>
      </c>
    </row>
    <row r="21" spans="1:9">
      <c r="A21" s="3257" t="s">
        <v>1109</v>
      </c>
      <c r="B21" s="3261"/>
      <c r="C21" s="3261"/>
      <c r="D21" s="3261"/>
      <c r="E21" s="3261"/>
      <c r="F21" s="3261"/>
      <c r="G21" s="3261"/>
      <c r="H21" s="1769">
        <v>0.1</v>
      </c>
      <c r="I21" s="1313">
        <f>ROUND(I10*H21,0)</f>
        <v>0</v>
      </c>
    </row>
    <row r="22" spans="1:9" ht="14.25">
      <c r="A22" s="3262" t="s">
        <v>1110</v>
      </c>
      <c r="B22" s="3263"/>
      <c r="C22" s="3264"/>
      <c r="D22" s="1320" t="s">
        <v>1111</v>
      </c>
      <c r="E22" s="1320" t="s">
        <v>1112</v>
      </c>
      <c r="F22" s="1321" t="s">
        <v>1113</v>
      </c>
      <c r="G22" s="1321" t="s">
        <v>1114</v>
      </c>
      <c r="H22" s="1314" t="s">
        <v>1115</v>
      </c>
      <c r="I22" s="1305" t="s">
        <v>1116</v>
      </c>
    </row>
    <row r="23" spans="1:9" ht="14.25" thickBot="1">
      <c r="A23" s="3265"/>
      <c r="B23" s="3266"/>
      <c r="C23" s="3267"/>
      <c r="D23" s="1322"/>
      <c r="E23" s="1322"/>
      <c r="F23" s="1322"/>
      <c r="G23" s="1323"/>
      <c r="H23" s="1324"/>
      <c r="I23" s="1325">
        <f>ROUND(E23*D23*F23*(1-G23)/10000,0)</f>
        <v>0</v>
      </c>
    </row>
    <row r="26" spans="1:9">
      <c r="A26" s="1326" t="s">
        <v>1117</v>
      </c>
      <c r="B26" s="1326"/>
      <c r="C26" s="1326"/>
      <c r="D26" s="1326"/>
      <c r="E26" s="3268">
        <f>C27-C30-C31-C32</f>
        <v>0</v>
      </c>
      <c r="F26" s="3268"/>
      <c r="G26" s="3268"/>
      <c r="H26" s="1741" t="s">
        <v>1341</v>
      </c>
    </row>
    <row r="27" spans="1:9">
      <c r="A27" s="1327">
        <v>1</v>
      </c>
      <c r="B27" s="1328" t="s">
        <v>1118</v>
      </c>
      <c r="C27" s="1328">
        <f>C28+C29</f>
        <v>0</v>
      </c>
      <c r="D27" s="1328"/>
      <c r="E27" s="3269"/>
      <c r="F27" s="3269"/>
      <c r="G27" s="3269"/>
    </row>
    <row r="28" spans="1:9">
      <c r="A28" s="1329" t="s">
        <v>1119</v>
      </c>
      <c r="B28" s="1328" t="s">
        <v>1120</v>
      </c>
      <c r="C28" s="1328"/>
      <c r="D28" s="1328"/>
      <c r="E28" s="3269"/>
      <c r="F28" s="3269"/>
      <c r="G28" s="326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0"/>
      <c r="F32" s="3260"/>
      <c r="G32" s="3260"/>
    </row>
    <row r="33" spans="1:7" hidden="1">
      <c r="A33" s="3270" t="s">
        <v>1129</v>
      </c>
      <c r="B33" s="3271"/>
      <c r="C33" s="3271"/>
      <c r="D33" s="3272"/>
      <c r="E33" s="3268"/>
      <c r="F33" s="3268"/>
      <c r="G33" s="3268"/>
    </row>
    <row r="34" spans="1:7" hidden="1">
      <c r="A34" s="1331">
        <v>1</v>
      </c>
      <c r="B34" s="1328" t="s">
        <v>1130</v>
      </c>
      <c r="C34" s="1328"/>
      <c r="D34" s="1328"/>
      <c r="E34" s="3269"/>
      <c r="F34" s="3269"/>
      <c r="G34" s="3269"/>
    </row>
    <row r="35" spans="1:7" hidden="1">
      <c r="A35" s="1331">
        <v>2</v>
      </c>
      <c r="B35" s="1328" t="s">
        <v>1131</v>
      </c>
      <c r="C35" s="1328"/>
      <c r="D35" s="1328"/>
      <c r="E35" s="3269"/>
      <c r="F35" s="3269"/>
      <c r="G35" s="3269"/>
    </row>
    <row r="36" spans="1:7" hidden="1">
      <c r="A36" s="1331">
        <v>3</v>
      </c>
      <c r="B36" s="1328" t="s">
        <v>1132</v>
      </c>
      <c r="C36" s="1328"/>
      <c r="D36" s="1328"/>
      <c r="E36" s="3269"/>
      <c r="F36" s="3269"/>
      <c r="G36" s="3269"/>
    </row>
    <row r="37" spans="1:7" hidden="1">
      <c r="A37" s="1331">
        <v>4</v>
      </c>
      <c r="B37" s="1328" t="s">
        <v>1133</v>
      </c>
      <c r="C37" s="1328"/>
      <c r="D37" s="1328"/>
      <c r="E37" s="3269"/>
      <c r="F37" s="3269"/>
      <c r="G37" s="3269"/>
    </row>
    <row r="38" spans="1:7" hidden="1">
      <c r="A38" s="3270" t="s">
        <v>1134</v>
      </c>
      <c r="B38" s="3271"/>
      <c r="C38" s="3271"/>
      <c r="D38" s="3272"/>
      <c r="E38" s="3268"/>
      <c r="F38" s="3268"/>
      <c r="G38" s="32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2" t="s">
        <v>2641</v>
      </c>
      <c r="C1" s="1638" t="s">
        <v>2529</v>
      </c>
      <c r="D1" s="1625"/>
      <c r="E1" s="2657"/>
      <c r="F1" s="2584"/>
      <c r="G1" s="1635" t="s">
        <v>2642</v>
      </c>
      <c r="H1" s="1634"/>
      <c r="I1" s="1634"/>
      <c r="J1" s="1634"/>
      <c r="K1" s="1636"/>
      <c r="L1" s="1637"/>
      <c r="M1" s="1638"/>
      <c r="N1" s="1638"/>
      <c r="O1" s="1638"/>
      <c r="P1" s="2658"/>
      <c r="Q1" s="2659"/>
      <c r="R1" s="2659"/>
      <c r="S1" s="2659"/>
      <c r="T1" s="2659"/>
      <c r="U1" s="2659"/>
      <c r="V1" s="2659"/>
      <c r="W1" s="2659"/>
      <c r="X1" s="2659"/>
      <c r="Y1" s="2659"/>
      <c r="Z1" s="2659"/>
      <c r="AA1" s="2659"/>
      <c r="AB1" s="2659"/>
      <c r="AC1" s="2660"/>
    </row>
    <row r="2" spans="1:29" s="398" customFormat="1" ht="28.5" customHeight="1" thickTop="1">
      <c r="A2" s="1621" t="s">
        <v>2329</v>
      </c>
      <c r="B2" s="1421" t="e">
        <f ca="1">IF(C2="——",ROUND(C49*D3/10000,0),ROUND(C49*D3/10000,0)-D2)</f>
        <v>#DIV/0!</v>
      </c>
      <c r="C2" s="2586"/>
      <c r="D2" s="1368" t="e">
        <f ca="1">SUMIF(INDIRECT("'"&amp;F2&amp;"'"&amp;"!A:A"),"承租人权益价值",INDIRECT("'"&amp;F2&amp;"'"&amp;"!c:c"))</f>
        <v>#REF!</v>
      </c>
      <c r="E2" s="2587" t="s">
        <v>2330</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2331</v>
      </c>
      <c r="B3" s="609" t="e">
        <f ca="1">IF(C2="——",C49,ROUND(B2*10000/D3,0))</f>
        <v>#DIV/0!</v>
      </c>
      <c r="C3" s="400" t="s">
        <v>2643</v>
      </c>
      <c r="D3" s="399">
        <f>IF(D1="",'数据-汇总表'!E3,SUMIF('数据-汇总表'!$C19:$C33,D1,'数据-汇总表'!$E19:$E33))</f>
        <v>14410.755000000001</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2644</v>
      </c>
      <c r="B4" s="402"/>
      <c r="C4" s="3212" t="s">
        <v>2645</v>
      </c>
      <c r="D4" s="3213"/>
      <c r="E4" s="3214" t="s">
        <v>2646</v>
      </c>
      <c r="F4" s="3215"/>
      <c r="G4" s="3212" t="s">
        <v>2647</v>
      </c>
      <c r="H4" s="3213"/>
      <c r="I4" s="3212" t="s">
        <v>2648</v>
      </c>
      <c r="J4" s="3213"/>
      <c r="K4" s="610" t="s">
        <v>2649</v>
      </c>
      <c r="L4" s="1133"/>
      <c r="M4" s="1134"/>
      <c r="N4" s="1134"/>
      <c r="O4" s="1134"/>
      <c r="P4" s="3216" t="s">
        <v>2650</v>
      </c>
      <c r="Q4" s="3217"/>
      <c r="R4" s="3197" t="s">
        <v>2646</v>
      </c>
      <c r="S4" s="3198"/>
      <c r="T4" s="3197" t="s">
        <v>2647</v>
      </c>
      <c r="U4" s="3198"/>
      <c r="V4" s="3224" t="s">
        <v>2648</v>
      </c>
      <c r="W4" s="3224"/>
      <c r="X4" s="1817"/>
      <c r="Y4" s="3197" t="s">
        <v>2650</v>
      </c>
      <c r="Z4" s="3198"/>
      <c r="AA4" s="3192" t="s">
        <v>2646</v>
      </c>
      <c r="AB4" s="3224" t="s">
        <v>2647</v>
      </c>
      <c r="AC4" s="3192" t="s">
        <v>2648</v>
      </c>
    </row>
    <row r="5" spans="1:29" ht="15">
      <c r="A5" s="404"/>
      <c r="B5" s="405"/>
      <c r="C5" s="3274" t="s">
        <v>2541</v>
      </c>
      <c r="D5" s="3204"/>
      <c r="E5" s="3273" t="s">
        <v>2542</v>
      </c>
      <c r="F5" s="3202"/>
      <c r="G5" s="3274" t="s">
        <v>2543</v>
      </c>
      <c r="H5" s="3204"/>
      <c r="I5" s="3274" t="s">
        <v>2544</v>
      </c>
      <c r="J5" s="3204"/>
      <c r="K5" s="610"/>
      <c r="L5" s="1133"/>
      <c r="M5" s="1134"/>
      <c r="N5" s="1134"/>
      <c r="O5" s="1134"/>
      <c r="P5" s="3218"/>
      <c r="Q5" s="3219"/>
      <c r="R5" s="3199"/>
      <c r="S5" s="3200"/>
      <c r="T5" s="3199"/>
      <c r="U5" s="3200"/>
      <c r="V5" s="3224"/>
      <c r="W5" s="3224"/>
      <c r="X5" s="1817"/>
      <c r="Y5" s="3199"/>
      <c r="Z5" s="3200"/>
      <c r="AA5" s="3193"/>
      <c r="AB5" s="3224"/>
      <c r="AC5" s="3193"/>
    </row>
    <row r="6" spans="1:29" ht="15.75" thickBot="1">
      <c r="A6" s="406"/>
      <c r="B6" s="407"/>
      <c r="C6" s="3237" t="s">
        <v>2545</v>
      </c>
      <c r="D6" s="3206"/>
      <c r="E6" s="3275" t="s">
        <v>2545</v>
      </c>
      <c r="F6" s="3209"/>
      <c r="G6" s="3237" t="s">
        <v>2545</v>
      </c>
      <c r="H6" s="3206"/>
      <c r="I6" s="3237" t="s">
        <v>2545</v>
      </c>
      <c r="J6" s="3206"/>
      <c r="K6" s="610" t="s">
        <v>2546</v>
      </c>
      <c r="L6" s="1133"/>
      <c r="M6" s="1134"/>
      <c r="N6" s="1134"/>
      <c r="O6" s="1134"/>
      <c r="P6" s="3220"/>
      <c r="Q6" s="3221"/>
      <c r="R6" s="3199"/>
      <c r="S6" s="3200"/>
      <c r="T6" s="3222"/>
      <c r="U6" s="3223"/>
      <c r="V6" s="3224"/>
      <c r="W6" s="3224"/>
      <c r="X6" s="1817"/>
      <c r="Y6" s="3222"/>
      <c r="Z6" s="3223"/>
      <c r="AA6" s="3194"/>
      <c r="AB6" s="3224"/>
      <c r="AC6" s="3194"/>
    </row>
    <row r="7" spans="1:29" s="116" customFormat="1" ht="15.75" thickBot="1">
      <c r="A7" s="408" t="s">
        <v>2547</v>
      </c>
      <c r="B7" s="409"/>
      <c r="C7" s="410">
        <f>'数据-取费表'!B2</f>
        <v>43049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5" t="s">
        <v>2548</v>
      </c>
      <c r="Q7" s="3225"/>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6"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46" si="3">D8/F8</f>
        <v>#DIV/0!</v>
      </c>
      <c r="AB8" s="773" t="e">
        <f t="shared" ref="AB8:AB46" si="4">D8/H8</f>
        <v>#DIV/0!</v>
      </c>
      <c r="AC8" s="773" t="e">
        <f t="shared" ref="AC8:AC46" si="5">D8/J8</f>
        <v>#DIV/0!</v>
      </c>
    </row>
    <row r="9" spans="1:29" s="116" customFormat="1">
      <c r="A9" s="415" t="s">
        <v>2552</v>
      </c>
      <c r="B9" s="71" t="s">
        <v>2553</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35" t="s">
        <v>2554</v>
      </c>
      <c r="Q9" s="1799"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35"/>
      <c r="Q10" s="1799"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35"/>
      <c r="Q11" s="1799"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6" customFormat="1" ht="15">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35"/>
      <c r="Q12" s="1799">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5"/>
      <c r="Q13" s="1799">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5"/>
      <c r="Q14" s="1799">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71.25">
      <c r="A15" s="440" t="s">
        <v>2558</v>
      </c>
      <c r="B15" s="69" t="s">
        <v>2652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2559</v>
      </c>
      <c r="Q15" s="1814" t="str">
        <f t="shared" si="6"/>
        <v>商业繁华度</v>
      </c>
      <c r="R15" s="774" t="s">
        <v>17</v>
      </c>
      <c r="S15" s="775">
        <f t="shared" si="0"/>
        <v>100</v>
      </c>
      <c r="T15" s="774" t="s">
        <v>17</v>
      </c>
      <c r="U15" s="775">
        <f t="shared" si="1"/>
        <v>100</v>
      </c>
      <c r="V15" s="774" t="s">
        <v>17</v>
      </c>
      <c r="W15" s="775">
        <f t="shared" si="2"/>
        <v>100</v>
      </c>
      <c r="X15" s="1817"/>
      <c r="Y15" s="3226" t="s">
        <v>2559</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45"/>
      <c r="Q16" s="1814"/>
      <c r="R16" s="774"/>
      <c r="S16" s="775"/>
      <c r="T16" s="774"/>
      <c r="U16" s="775"/>
      <c r="V16" s="774"/>
      <c r="W16" s="775"/>
      <c r="X16" s="1817"/>
      <c r="Y16" s="3227"/>
      <c r="Z16" s="1818"/>
      <c r="AA16" s="1815">
        <v>1</v>
      </c>
      <c r="AB16" s="1815">
        <v>1</v>
      </c>
      <c r="AC16" s="1815">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4" t="str">
        <f>B17</f>
        <v>交通便捷度</v>
      </c>
      <c r="R17" s="774" t="s">
        <v>17</v>
      </c>
      <c r="S17" s="775">
        <f>F17</f>
        <v>100</v>
      </c>
      <c r="T17" s="774" t="s">
        <v>17</v>
      </c>
      <c r="U17" s="775">
        <f>H17</f>
        <v>100</v>
      </c>
      <c r="V17" s="774" t="s">
        <v>17</v>
      </c>
      <c r="W17" s="775">
        <f>J17</f>
        <v>100</v>
      </c>
      <c r="X17" s="1817"/>
      <c r="Y17" s="3227"/>
      <c r="Z17" s="1818" t="str">
        <f>Q17</f>
        <v>交通便捷度</v>
      </c>
      <c r="AA17" s="1815">
        <f t="shared" si="3"/>
        <v>1</v>
      </c>
      <c r="AB17" s="1815">
        <f t="shared" si="4"/>
        <v>1</v>
      </c>
      <c r="AC17" s="1815">
        <f t="shared" si="5"/>
        <v>1</v>
      </c>
    </row>
    <row r="18" spans="1:29" ht="15">
      <c r="A18" s="428"/>
      <c r="B18" s="456"/>
      <c r="C18" s="2608"/>
      <c r="D18" s="450"/>
      <c r="E18" s="2610"/>
      <c r="F18" s="453"/>
      <c r="G18" s="2609"/>
      <c r="H18" s="448"/>
      <c r="I18" s="2610"/>
      <c r="J18" s="448"/>
      <c r="K18" s="615"/>
      <c r="L18" s="1143"/>
      <c r="M18" s="1134"/>
      <c r="N18" s="1134"/>
      <c r="O18" s="1134"/>
      <c r="P18" s="3245"/>
      <c r="Q18" s="1814"/>
      <c r="R18" s="774"/>
      <c r="S18" s="775"/>
      <c r="T18" s="774"/>
      <c r="U18" s="775"/>
      <c r="V18" s="774"/>
      <c r="W18" s="775"/>
      <c r="X18" s="1817"/>
      <c r="Y18" s="3227"/>
      <c r="Z18" s="1818"/>
      <c r="AA18" s="1815">
        <v>1</v>
      </c>
      <c r="AB18" s="1815">
        <v>1</v>
      </c>
      <c r="AC18" s="1815">
        <v>1</v>
      </c>
    </row>
    <row r="19" spans="1:29" ht="42.75">
      <c r="A19" s="428"/>
      <c r="B19" s="451" t="s">
        <v>2653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4" t="str">
        <f>B19</f>
        <v>公共配套设施</v>
      </c>
      <c r="R19" s="774" t="s">
        <v>17</v>
      </c>
      <c r="S19" s="775">
        <f>F19</f>
        <v>100</v>
      </c>
      <c r="T19" s="774" t="s">
        <v>17</v>
      </c>
      <c r="U19" s="775">
        <f>H19</f>
        <v>100</v>
      </c>
      <c r="V19" s="774" t="s">
        <v>17</v>
      </c>
      <c r="W19" s="775">
        <f>J19</f>
        <v>100</v>
      </c>
      <c r="X19" s="1817"/>
      <c r="Y19" s="3227"/>
      <c r="Z19" s="1818" t="str">
        <f>Q19</f>
        <v>公共配套设施</v>
      </c>
      <c r="AA19" s="1815">
        <f t="shared" si="3"/>
        <v>1</v>
      </c>
      <c r="AB19" s="1815">
        <f t="shared" si="4"/>
        <v>1</v>
      </c>
      <c r="AC19" s="1815">
        <f t="shared" si="5"/>
        <v>1</v>
      </c>
    </row>
    <row r="20" spans="1:29" ht="15">
      <c r="A20" s="428"/>
      <c r="B20" s="456"/>
      <c r="C20" s="447"/>
      <c r="D20" s="448"/>
      <c r="E20" s="2605"/>
      <c r="F20" s="449"/>
      <c r="G20" s="2604"/>
      <c r="H20" s="448"/>
      <c r="I20" s="2605"/>
      <c r="J20" s="448"/>
      <c r="K20" s="615"/>
      <c r="L20" s="1143"/>
      <c r="M20" s="1134"/>
      <c r="N20" s="1134"/>
      <c r="O20" s="1134"/>
      <c r="P20" s="3245"/>
      <c r="Q20" s="1814"/>
      <c r="R20" s="774"/>
      <c r="S20" s="775"/>
      <c r="T20" s="774"/>
      <c r="U20" s="775"/>
      <c r="V20" s="774"/>
      <c r="W20" s="775"/>
      <c r="X20" s="1817"/>
      <c r="Y20" s="3227"/>
      <c r="Z20" s="1818"/>
      <c r="AA20" s="1815">
        <v>1</v>
      </c>
      <c r="AB20" s="1815">
        <v>1</v>
      </c>
      <c r="AC20" s="1815">
        <v>1</v>
      </c>
    </row>
    <row r="21" spans="1:29" ht="28.5">
      <c r="A21" s="428"/>
      <c r="B21" s="1387" t="s">
        <v>2654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27"/>
      <c r="Z21" s="1818" t="str">
        <f>Q21</f>
        <v>基础设施水平</v>
      </c>
      <c r="AA21" s="1815">
        <f t="shared" ref="AA21" si="8">D21/F21</f>
        <v>1</v>
      </c>
      <c r="AB21" s="1815">
        <f t="shared" ref="AB21" si="9">D21/H21</f>
        <v>1</v>
      </c>
      <c r="AC21" s="1815">
        <f t="shared" ref="AC21" si="10">D21/J21</f>
        <v>1</v>
      </c>
    </row>
    <row r="22" spans="1:29" ht="15">
      <c r="A22" s="428"/>
      <c r="B22" s="1387"/>
      <c r="C22" s="2608"/>
      <c r="D22" s="448"/>
      <c r="E22" s="447"/>
      <c r="F22" s="449"/>
      <c r="G22" s="447"/>
      <c r="H22" s="448"/>
      <c r="I22" s="447"/>
      <c r="J22" s="448"/>
      <c r="K22" s="1386"/>
      <c r="L22" s="1143"/>
      <c r="M22" s="1134"/>
      <c r="N22" s="1134"/>
      <c r="O22" s="1134"/>
      <c r="P22" s="3245"/>
      <c r="Q22" s="1814"/>
      <c r="R22" s="774"/>
      <c r="S22" s="775"/>
      <c r="T22" s="774"/>
      <c r="U22" s="775"/>
      <c r="V22" s="774"/>
      <c r="W22" s="775"/>
      <c r="X22" s="1817"/>
      <c r="Y22" s="3227"/>
      <c r="Z22" s="1818"/>
      <c r="AA22" s="1815">
        <v>1</v>
      </c>
      <c r="AB22" s="1815">
        <v>1</v>
      </c>
      <c r="AC22" s="1815">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4" t="str">
        <f>B23</f>
        <v>自然及人文环境</v>
      </c>
      <c r="R23" s="774" t="s">
        <v>17</v>
      </c>
      <c r="S23" s="775">
        <f>F23</f>
        <v>100</v>
      </c>
      <c r="T23" s="774" t="s">
        <v>17</v>
      </c>
      <c r="U23" s="775">
        <f>H23</f>
        <v>100</v>
      </c>
      <c r="V23" s="774" t="s">
        <v>17</v>
      </c>
      <c r="W23" s="775">
        <f>J23</f>
        <v>100</v>
      </c>
      <c r="X23" s="1817"/>
      <c r="Y23" s="3227"/>
      <c r="Z23" s="1818" t="str">
        <f>Q23</f>
        <v>自然及人文环境</v>
      </c>
      <c r="AA23" s="1815">
        <f t="shared" si="3"/>
        <v>1</v>
      </c>
      <c r="AB23" s="1815">
        <f t="shared" si="4"/>
        <v>1</v>
      </c>
      <c r="AC23" s="1815">
        <f t="shared" si="5"/>
        <v>1</v>
      </c>
    </row>
    <row r="24" spans="1:29" ht="15">
      <c r="A24" s="428"/>
      <c r="B24" s="456"/>
      <c r="C24" s="447"/>
      <c r="D24" s="448"/>
      <c r="E24" s="2605"/>
      <c r="F24" s="449"/>
      <c r="G24" s="2604"/>
      <c r="H24" s="448"/>
      <c r="I24" s="2605"/>
      <c r="J24" s="448"/>
      <c r="K24" s="615"/>
      <c r="L24" s="1143"/>
      <c r="M24" s="1134"/>
      <c r="N24" s="1134"/>
      <c r="O24" s="1134"/>
      <c r="P24" s="3245"/>
      <c r="Q24" s="1814"/>
      <c r="R24" s="774"/>
      <c r="S24" s="775"/>
      <c r="T24" s="774"/>
      <c r="U24" s="775"/>
      <c r="V24" s="774"/>
      <c r="W24" s="775"/>
      <c r="X24" s="1817"/>
      <c r="Y24" s="3227"/>
      <c r="Z24" s="1818"/>
      <c r="AA24" s="1815">
        <v>1</v>
      </c>
      <c r="AB24" s="1815">
        <v>1</v>
      </c>
      <c r="AC24" s="1815">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4" t="str">
        <f t="shared" ref="Q25:Q46" si="11">B25</f>
        <v>临街状况</v>
      </c>
      <c r="R25" s="774" t="s">
        <v>17</v>
      </c>
      <c r="S25" s="775">
        <f>F25</f>
        <v>100</v>
      </c>
      <c r="T25" s="774" t="s">
        <v>17</v>
      </c>
      <c r="U25" s="775">
        <f>H25</f>
        <v>100</v>
      </c>
      <c r="V25" s="774" t="s">
        <v>17</v>
      </c>
      <c r="W25" s="775">
        <f>J25</f>
        <v>100</v>
      </c>
      <c r="X25" s="1817"/>
      <c r="Y25" s="3227"/>
      <c r="Z25" s="1818" t="str">
        <f>Q25</f>
        <v>临街状况</v>
      </c>
      <c r="AA25" s="1815">
        <f t="shared" si="3"/>
        <v>1</v>
      </c>
      <c r="AB25" s="1815">
        <f t="shared" si="4"/>
        <v>1</v>
      </c>
      <c r="AC25" s="1815">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4" t="str">
        <f t="shared" si="11"/>
        <v>平面位置/可视性</v>
      </c>
      <c r="R26" s="774" t="s">
        <v>17</v>
      </c>
      <c r="S26" s="775">
        <f>F26</f>
        <v>100</v>
      </c>
      <c r="T26" s="774" t="s">
        <v>17</v>
      </c>
      <c r="U26" s="775">
        <f>H26</f>
        <v>100</v>
      </c>
      <c r="V26" s="774" t="s">
        <v>17</v>
      </c>
      <c r="W26" s="775">
        <f>J26</f>
        <v>100</v>
      </c>
      <c r="X26" s="1817"/>
      <c r="Y26" s="3227"/>
      <c r="Z26" s="1818" t="str">
        <f>Q26</f>
        <v>平面位置/可视性</v>
      </c>
      <c r="AA26" s="1815">
        <f t="shared" si="3"/>
        <v>1</v>
      </c>
      <c r="AB26" s="1815">
        <f t="shared" si="4"/>
        <v>1</v>
      </c>
      <c r="AC26" s="1815">
        <f t="shared" si="5"/>
        <v>1</v>
      </c>
    </row>
    <row r="27" spans="1:29" s="116"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45"/>
      <c r="Q27" s="1799" t="str">
        <f t="shared" si="11"/>
        <v>人流量</v>
      </c>
      <c r="R27" s="770" t="s">
        <v>17</v>
      </c>
      <c r="S27" s="771">
        <f>F27</f>
        <v>100</v>
      </c>
      <c r="T27" s="770" t="s">
        <v>17</v>
      </c>
      <c r="U27" s="771">
        <f>H27</f>
        <v>100</v>
      </c>
      <c r="V27" s="770" t="s">
        <v>17</v>
      </c>
      <c r="W27" s="771">
        <f>J27</f>
        <v>100</v>
      </c>
      <c r="X27" s="772"/>
      <c r="Y27" s="3227"/>
      <c r="Z27" s="55" t="str">
        <f>Q27</f>
        <v>人流量</v>
      </c>
      <c r="AA27" s="1815">
        <f>D27/F27</f>
        <v>1</v>
      </c>
      <c r="AB27" s="1815">
        <f>D27/H27</f>
        <v>1</v>
      </c>
      <c r="AC27" s="1815">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2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4">
        <f t="shared" si="11"/>
        <v>111</v>
      </c>
      <c r="R29" s="774" t="s">
        <v>17</v>
      </c>
      <c r="S29" s="775">
        <f t="shared" si="12"/>
        <v>100</v>
      </c>
      <c r="T29" s="774" t="s">
        <v>17</v>
      </c>
      <c r="U29" s="775">
        <f t="shared" si="13"/>
        <v>100</v>
      </c>
      <c r="V29" s="774" t="s">
        <v>17</v>
      </c>
      <c r="W29" s="775">
        <f t="shared" si="14"/>
        <v>100</v>
      </c>
      <c r="X29" s="1817"/>
      <c r="Y29" s="322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22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227"/>
      <c r="Z31" s="1818">
        <f t="shared" si="15"/>
        <v>111</v>
      </c>
      <c r="AA31" s="1815">
        <f t="shared" si="3"/>
        <v>1</v>
      </c>
      <c r="AB31" s="1815">
        <f t="shared" si="4"/>
        <v>1</v>
      </c>
      <c r="AC31" s="1815">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40" t="s">
        <v>2564</v>
      </c>
      <c r="Q32" s="1814" t="str">
        <f t="shared" si="11"/>
        <v>商业类型</v>
      </c>
      <c r="R32" s="774" t="s">
        <v>17</v>
      </c>
      <c r="S32" s="775">
        <f t="shared" si="12"/>
        <v>100</v>
      </c>
      <c r="T32" s="774" t="s">
        <v>17</v>
      </c>
      <c r="U32" s="775">
        <f t="shared" si="13"/>
        <v>100</v>
      </c>
      <c r="V32" s="774" t="s">
        <v>17</v>
      </c>
      <c r="W32" s="775">
        <f t="shared" si="14"/>
        <v>100</v>
      </c>
      <c r="X32" s="1817"/>
      <c r="Y32" s="3229" t="s">
        <v>2564</v>
      </c>
      <c r="Z32" s="1818" t="str">
        <f t="shared" si="15"/>
        <v>商业类型</v>
      </c>
      <c r="AA32" s="1815">
        <f t="shared" si="3"/>
        <v>1</v>
      </c>
      <c r="AB32" s="1815">
        <f t="shared" si="4"/>
        <v>1</v>
      </c>
      <c r="AC32" s="1815">
        <f t="shared" si="5"/>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5" t="e">
        <f t="shared" si="3"/>
        <v>#N/A</v>
      </c>
      <c r="AB33" s="1815" t="e">
        <f t="shared" si="4"/>
        <v>#N/A</v>
      </c>
      <c r="AC33" s="1815"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41"/>
      <c r="Q34" s="1814" t="str">
        <f t="shared" si="11"/>
        <v>建筑结构</v>
      </c>
      <c r="R34" s="774" t="s">
        <v>17</v>
      </c>
      <c r="S34" s="775">
        <f t="shared" si="12"/>
        <v>100</v>
      </c>
      <c r="T34" s="774" t="s">
        <v>17</v>
      </c>
      <c r="U34" s="775">
        <f t="shared" si="13"/>
        <v>100</v>
      </c>
      <c r="V34" s="774" t="s">
        <v>17</v>
      </c>
      <c r="W34" s="775">
        <f t="shared" si="14"/>
        <v>100</v>
      </c>
      <c r="X34" s="1817"/>
      <c r="Y34" s="3229"/>
      <c r="Z34" s="1818" t="str">
        <f t="shared" si="15"/>
        <v>建筑结构</v>
      </c>
      <c r="AA34" s="1815">
        <f t="shared" si="3"/>
        <v>1</v>
      </c>
      <c r="AB34" s="1815">
        <f t="shared" si="4"/>
        <v>1</v>
      </c>
      <c r="AC34" s="1815">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41"/>
      <c r="Q35" s="1814" t="str">
        <f t="shared" si="11"/>
        <v>公共部分装修</v>
      </c>
      <c r="R35" s="774" t="s">
        <v>17</v>
      </c>
      <c r="S35" s="775">
        <f t="shared" si="12"/>
        <v>100</v>
      </c>
      <c r="T35" s="774" t="s">
        <v>17</v>
      </c>
      <c r="U35" s="775">
        <f t="shared" si="13"/>
        <v>100</v>
      </c>
      <c r="V35" s="774" t="s">
        <v>17</v>
      </c>
      <c r="W35" s="775">
        <f t="shared" si="14"/>
        <v>100</v>
      </c>
      <c r="X35" s="1817"/>
      <c r="Y35" s="3229"/>
      <c r="Z35" s="1818" t="str">
        <f t="shared" si="15"/>
        <v>公共部分装修</v>
      </c>
      <c r="AA35" s="1815">
        <f t="shared" si="3"/>
        <v>1</v>
      </c>
      <c r="AB35" s="1815">
        <f t="shared" si="4"/>
        <v>1</v>
      </c>
      <c r="AC35" s="1815">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4" t="str">
        <f t="shared" si="11"/>
        <v>成新度</v>
      </c>
      <c r="R36" s="774" t="s">
        <v>17</v>
      </c>
      <c r="S36" s="775" t="e">
        <f t="shared" si="12"/>
        <v>#N/A</v>
      </c>
      <c r="T36" s="774" t="s">
        <v>17</v>
      </c>
      <c r="U36" s="775" t="e">
        <f t="shared" si="13"/>
        <v>#N/A</v>
      </c>
      <c r="V36" s="774" t="s">
        <v>17</v>
      </c>
      <c r="W36" s="775" t="e">
        <f t="shared" si="14"/>
        <v>#N/A</v>
      </c>
      <c r="X36" s="1817"/>
      <c r="Y36" s="3229"/>
      <c r="Z36" s="1818" t="str">
        <f t="shared" si="15"/>
        <v>成新度</v>
      </c>
      <c r="AA36" s="1815" t="e">
        <f t="shared" si="3"/>
        <v>#N/A</v>
      </c>
      <c r="AB36" s="1815" t="e">
        <f t="shared" si="4"/>
        <v>#N/A</v>
      </c>
      <c r="AC36" s="1815" t="e">
        <f t="shared" si="5"/>
        <v>#N/A</v>
      </c>
    </row>
    <row r="37" spans="1:29" s="116" customFormat="1" ht="15">
      <c r="A37" s="473"/>
      <c r="B37" s="422" t="s">
        <v>2662</v>
      </c>
      <c r="C37" s="2613"/>
      <c r="D37" s="135">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41"/>
      <c r="Q37" s="1799"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41" t="s">
        <v>2564</v>
      </c>
      <c r="Q38" s="1814" t="str">
        <f t="shared" si="11"/>
        <v>业态</v>
      </c>
      <c r="R38" s="774" t="s">
        <v>17</v>
      </c>
      <c r="S38" s="775">
        <f t="shared" si="12"/>
        <v>100</v>
      </c>
      <c r="T38" s="774" t="s">
        <v>17</v>
      </c>
      <c r="U38" s="775">
        <f t="shared" si="13"/>
        <v>100</v>
      </c>
      <c r="V38" s="774" t="s">
        <v>17</v>
      </c>
      <c r="W38" s="775">
        <f t="shared" si="14"/>
        <v>100</v>
      </c>
      <c r="X38" s="1817"/>
      <c r="Y38" s="3229" t="s">
        <v>2564</v>
      </c>
      <c r="Z38" s="1818" t="str">
        <f t="shared" si="15"/>
        <v>业态</v>
      </c>
      <c r="AA38" s="1815">
        <f t="shared" si="3"/>
        <v>1</v>
      </c>
      <c r="AB38" s="1815">
        <f t="shared" si="4"/>
        <v>1</v>
      </c>
      <c r="AC38" s="1815">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41"/>
      <c r="Q39" s="1814" t="str">
        <f t="shared" si="11"/>
        <v>层高</v>
      </c>
      <c r="R39" s="774" t="s">
        <v>17</v>
      </c>
      <c r="S39" s="775">
        <f t="shared" si="12"/>
        <v>100</v>
      </c>
      <c r="T39" s="774" t="s">
        <v>17</v>
      </c>
      <c r="U39" s="775">
        <f t="shared" si="13"/>
        <v>100</v>
      </c>
      <c r="V39" s="774" t="s">
        <v>17</v>
      </c>
      <c r="W39" s="775">
        <f t="shared" si="14"/>
        <v>100</v>
      </c>
      <c r="X39" s="1817"/>
      <c r="Y39" s="3229"/>
      <c r="Z39" s="1818" t="str">
        <f t="shared" si="15"/>
        <v>层高</v>
      </c>
      <c r="AA39" s="1815">
        <f t="shared" si="3"/>
        <v>1</v>
      </c>
      <c r="AB39" s="1815">
        <f t="shared" si="4"/>
        <v>1</v>
      </c>
      <c r="AC39" s="1815">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4" t="str">
        <f t="shared" si="11"/>
        <v>单套建筑面积</v>
      </c>
      <c r="R40" s="774" t="s">
        <v>17</v>
      </c>
      <c r="S40" s="775">
        <f t="shared" si="12"/>
        <v>100</v>
      </c>
      <c r="T40" s="774" t="s">
        <v>17</v>
      </c>
      <c r="U40" s="775">
        <f t="shared" si="13"/>
        <v>100</v>
      </c>
      <c r="V40" s="774" t="s">
        <v>17</v>
      </c>
      <c r="W40" s="775">
        <f t="shared" si="14"/>
        <v>100</v>
      </c>
      <c r="X40" s="1817"/>
      <c r="Y40" s="3229"/>
      <c r="Z40" s="1818" t="str">
        <f t="shared" si="15"/>
        <v>单套建筑面积</v>
      </c>
      <c r="AA40" s="1815">
        <f t="shared" si="3"/>
        <v>1</v>
      </c>
      <c r="AB40" s="1815">
        <f t="shared" si="4"/>
        <v>1</v>
      </c>
      <c r="AC40" s="1815">
        <f t="shared" si="5"/>
        <v>1</v>
      </c>
    </row>
    <row r="41" spans="1:29" s="471" customFormat="1" ht="15">
      <c r="A41" s="468"/>
      <c r="B41" s="1816"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5">
        <f t="shared" si="3"/>
        <v>1</v>
      </c>
      <c r="AB41" s="1815">
        <f t="shared" si="4"/>
        <v>1</v>
      </c>
      <c r="AC41" s="1815">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41"/>
      <c r="Q42" s="1814" t="str">
        <f t="shared" si="11"/>
        <v>内部装修</v>
      </c>
      <c r="R42" s="774" t="s">
        <v>17</v>
      </c>
      <c r="S42" s="775">
        <f t="shared" si="12"/>
        <v>100</v>
      </c>
      <c r="T42" s="774" t="s">
        <v>17</v>
      </c>
      <c r="U42" s="775">
        <f t="shared" si="13"/>
        <v>100</v>
      </c>
      <c r="V42" s="774" t="s">
        <v>17</v>
      </c>
      <c r="W42" s="775">
        <f t="shared" si="14"/>
        <v>100</v>
      </c>
      <c r="X42" s="1817"/>
      <c r="Y42" s="3229"/>
      <c r="Z42" s="1818" t="str">
        <f t="shared" si="15"/>
        <v>内部装修</v>
      </c>
      <c r="AA42" s="1815">
        <f t="shared" si="3"/>
        <v>1</v>
      </c>
      <c r="AB42" s="1815">
        <f t="shared" si="4"/>
        <v>1</v>
      </c>
      <c r="AC42" s="1815">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41"/>
      <c r="Q43" s="1814" t="str">
        <f t="shared" si="11"/>
        <v>内部装修维护情况</v>
      </c>
      <c r="R43" s="774" t="s">
        <v>17</v>
      </c>
      <c r="S43" s="775">
        <f t="shared" si="12"/>
        <v>100</v>
      </c>
      <c r="T43" s="774" t="s">
        <v>17</v>
      </c>
      <c r="U43" s="775">
        <f t="shared" si="13"/>
        <v>100</v>
      </c>
      <c r="V43" s="774" t="s">
        <v>17</v>
      </c>
      <c r="W43" s="775">
        <f t="shared" si="14"/>
        <v>100</v>
      </c>
      <c r="X43" s="1817"/>
      <c r="Y43" s="3229"/>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41"/>
      <c r="Q44" s="1799">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4">
        <f t="shared" si="11"/>
        <v>111</v>
      </c>
      <c r="R45" s="774" t="s">
        <v>17</v>
      </c>
      <c r="S45" s="775">
        <f t="shared" si="12"/>
        <v>100</v>
      </c>
      <c r="T45" s="774" t="s">
        <v>17</v>
      </c>
      <c r="U45" s="775">
        <f t="shared" si="13"/>
        <v>100</v>
      </c>
      <c r="V45" s="774" t="s">
        <v>17</v>
      </c>
      <c r="W45" s="775">
        <f t="shared" si="14"/>
        <v>100</v>
      </c>
      <c r="X45" s="1817"/>
      <c r="Y45" s="3229"/>
      <c r="Z45" s="1818">
        <f t="shared" si="15"/>
        <v>111</v>
      </c>
      <c r="AA45" s="1815">
        <f t="shared" si="3"/>
        <v>1</v>
      </c>
      <c r="AB45" s="1815">
        <f t="shared" si="4"/>
        <v>1</v>
      </c>
      <c r="AC45" s="1815">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4">
        <f t="shared" si="11"/>
        <v>111</v>
      </c>
      <c r="R46" s="774" t="s">
        <v>17</v>
      </c>
      <c r="S46" s="775">
        <f t="shared" si="12"/>
        <v>100</v>
      </c>
      <c r="T46" s="774" t="s">
        <v>17</v>
      </c>
      <c r="U46" s="775">
        <f t="shared" si="13"/>
        <v>100</v>
      </c>
      <c r="V46" s="774" t="s">
        <v>17</v>
      </c>
      <c r="W46" s="775">
        <f t="shared" si="14"/>
        <v>100</v>
      </c>
      <c r="X46" s="1817"/>
      <c r="Y46" s="3243"/>
      <c r="Z46" s="1818">
        <f t="shared" si="15"/>
        <v>111</v>
      </c>
      <c r="AA46" s="1815">
        <f t="shared" si="3"/>
        <v>1</v>
      </c>
      <c r="AB46" s="1815">
        <f t="shared" si="4"/>
        <v>1</v>
      </c>
      <c r="AC46" s="1815">
        <f t="shared" si="5"/>
        <v>1</v>
      </c>
    </row>
    <row r="47" spans="1:29" ht="15">
      <c r="A47" s="479" t="s">
        <v>2576</v>
      </c>
      <c r="B47" s="480"/>
      <c r="C47" s="1410" t="s">
        <v>1</v>
      </c>
      <c r="D47" s="1411"/>
      <c r="E47" s="1412"/>
      <c r="F47" s="1413"/>
      <c r="G47" s="1414"/>
      <c r="H47" s="1415"/>
      <c r="I47" s="1412"/>
      <c r="J47" s="1415"/>
      <c r="K47" s="783"/>
      <c r="L47" s="1146"/>
      <c r="M47" s="1147"/>
      <c r="N47" s="1134"/>
      <c r="O47" s="1147"/>
      <c r="P47" s="3211" t="str">
        <f>A47</f>
        <v>成交单价（元/平方米）</v>
      </c>
      <c r="Q47" s="3211"/>
      <c r="R47" s="3224">
        <f>E47</f>
        <v>0</v>
      </c>
      <c r="S47" s="3224"/>
      <c r="T47" s="3224">
        <f>G47</f>
        <v>0</v>
      </c>
      <c r="U47" s="3224"/>
      <c r="V47" s="3224">
        <f>I47</f>
        <v>0</v>
      </c>
      <c r="W47" s="3224"/>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31" t="str">
        <f>A49</f>
        <v>估价对象XX用房的比较价值（楼面单价，元/平方米）</v>
      </c>
      <c r="Q49" s="3232"/>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2547</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28"/>
    </row>
    <row r="60" spans="1:29" s="116" customFormat="1" ht="15.75" thickBot="1">
      <c r="A60" s="515" t="s">
        <v>2584</v>
      </c>
      <c r="B60" s="516"/>
      <c r="C60" s="517"/>
      <c r="D60" s="518"/>
      <c r="E60" s="518"/>
      <c r="F60" s="518"/>
      <c r="G60" s="518"/>
      <c r="H60" s="518"/>
      <c r="I60" s="518"/>
      <c r="J60" s="518"/>
      <c r="K60" s="518"/>
      <c r="L60" s="518"/>
      <c r="M60" s="519"/>
      <c r="N60" s="518"/>
      <c r="O60" s="519"/>
      <c r="P60" s="2628"/>
      <c r="Q60" s="504"/>
    </row>
    <row r="61" spans="1:29" s="116" customFormat="1" ht="15">
      <c r="A61" s="521" t="s">
        <v>2549</v>
      </c>
      <c r="B61" s="510"/>
      <c r="C61" s="522" t="s">
        <v>2651</v>
      </c>
      <c r="D61" s="523"/>
      <c r="E61" s="523"/>
      <c r="F61" s="523"/>
      <c r="G61" s="523"/>
      <c r="H61" s="523"/>
      <c r="I61" s="523"/>
      <c r="J61" s="523"/>
      <c r="K61" s="523"/>
      <c r="L61" s="524"/>
      <c r="M61" s="525"/>
      <c r="N61" s="1154"/>
      <c r="O61" s="1154"/>
      <c r="P61" s="2629"/>
      <c r="Q61" s="504"/>
    </row>
    <row r="62" spans="1:29" s="116"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6" customFormat="1" ht="15.75" thickTop="1">
      <c r="A86" s="579"/>
      <c r="B86" s="538" t="s">
        <v>2679</v>
      </c>
      <c r="C86" s="554"/>
      <c r="D86" s="554"/>
      <c r="E86" s="554"/>
      <c r="F86" s="554"/>
      <c r="G86" s="554"/>
      <c r="H86" s="554"/>
      <c r="I86" s="554"/>
      <c r="J86" s="554"/>
      <c r="K86" s="554"/>
      <c r="L86" s="580"/>
      <c r="M86" s="581"/>
      <c r="N86" s="1154"/>
      <c r="O86" s="1154"/>
      <c r="P86" s="2630"/>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6"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6"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2562</v>
      </c>
      <c r="B100" s="528" t="s">
        <v>2680</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2615</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2681</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2682</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2683</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69" t="s">
        <v>2685</v>
      </c>
      <c r="C1" s="1624" t="s">
        <v>2529</v>
      </c>
      <c r="D1" s="1625"/>
      <c r="E1" s="1634"/>
      <c r="F1" s="2584"/>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IF(C2="——",ROUND(C50*D3/10000,0),ROUND(C50*D3/10000,0)-D2)</f>
        <v>#DIV/0!</v>
      </c>
      <c r="C2" s="2586"/>
      <c r="D2" s="1368" t="e">
        <f ca="1">SUMIF(INDIRECT("'"&amp;F2&amp;"'"&amp;"!A:A"),"承租人权益价值",INDIRECT("'"&amp;F2&amp;"'"&amp;"!c:c"))</f>
        <v>#REF!</v>
      </c>
      <c r="E2" s="2587" t="s">
        <v>2330</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14410.755000000001</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12" t="s">
        <v>2645</v>
      </c>
      <c r="D4" s="3213"/>
      <c r="E4" s="3214" t="s">
        <v>2646</v>
      </c>
      <c r="F4" s="3215"/>
      <c r="G4" s="3212" t="s">
        <v>2647</v>
      </c>
      <c r="H4" s="3213"/>
      <c r="I4" s="3212" t="s">
        <v>2648</v>
      </c>
      <c r="J4" s="3213"/>
      <c r="K4" s="610" t="s">
        <v>2649</v>
      </c>
      <c r="L4" s="1133"/>
      <c r="M4" s="1134"/>
      <c r="N4" s="1134"/>
      <c r="O4" s="1134"/>
      <c r="P4" s="3282" t="s">
        <v>2650</v>
      </c>
      <c r="Q4" s="3283"/>
      <c r="R4" s="3277" t="s">
        <v>2646</v>
      </c>
      <c r="S4" s="3278"/>
      <c r="T4" s="3277" t="s">
        <v>2647</v>
      </c>
      <c r="U4" s="3278"/>
      <c r="V4" s="3286" t="s">
        <v>2648</v>
      </c>
      <c r="W4" s="3286"/>
      <c r="X4" s="2670"/>
      <c r="Y4" s="3277" t="s">
        <v>2650</v>
      </c>
      <c r="Z4" s="3278"/>
      <c r="AA4" s="3276" t="s">
        <v>2646</v>
      </c>
      <c r="AB4" s="3276" t="s">
        <v>2647</v>
      </c>
      <c r="AC4" s="3279" t="s">
        <v>2648</v>
      </c>
    </row>
    <row r="5" spans="1:29" ht="15">
      <c r="A5" s="404"/>
      <c r="B5" s="405"/>
      <c r="C5" s="3274" t="s">
        <v>2541</v>
      </c>
      <c r="D5" s="3204"/>
      <c r="E5" s="3273" t="s">
        <v>2542</v>
      </c>
      <c r="F5" s="3202"/>
      <c r="G5" s="3274" t="s">
        <v>2543</v>
      </c>
      <c r="H5" s="3204"/>
      <c r="I5" s="3274" t="s">
        <v>2544</v>
      </c>
      <c r="J5" s="3204"/>
      <c r="K5" s="610"/>
      <c r="L5" s="1133"/>
      <c r="M5" s="1134"/>
      <c r="N5" s="1134"/>
      <c r="O5" s="1134"/>
      <c r="P5" s="3284"/>
      <c r="Q5" s="3219"/>
      <c r="R5" s="3199"/>
      <c r="S5" s="3200"/>
      <c r="T5" s="3199"/>
      <c r="U5" s="3200"/>
      <c r="V5" s="3224"/>
      <c r="W5" s="3224"/>
      <c r="X5" s="1817"/>
      <c r="Y5" s="3199"/>
      <c r="Z5" s="3200"/>
      <c r="AA5" s="3193"/>
      <c r="AB5" s="3193"/>
      <c r="AC5" s="3280"/>
    </row>
    <row r="6" spans="1:29" ht="15.75" thickBot="1">
      <c r="A6" s="406"/>
      <c r="B6" s="407"/>
      <c r="C6" s="3237" t="s">
        <v>2545</v>
      </c>
      <c r="D6" s="3206"/>
      <c r="E6" s="3275" t="s">
        <v>2545</v>
      </c>
      <c r="F6" s="3209"/>
      <c r="G6" s="3237" t="s">
        <v>2545</v>
      </c>
      <c r="H6" s="3206"/>
      <c r="I6" s="3237" t="s">
        <v>2545</v>
      </c>
      <c r="J6" s="3206"/>
      <c r="K6" s="610" t="s">
        <v>2546</v>
      </c>
      <c r="L6" s="1133"/>
      <c r="M6" s="1134"/>
      <c r="N6" s="1134"/>
      <c r="O6" s="1134"/>
      <c r="P6" s="3285"/>
      <c r="Q6" s="3221"/>
      <c r="R6" s="3199"/>
      <c r="S6" s="3200"/>
      <c r="T6" s="3222"/>
      <c r="U6" s="3223"/>
      <c r="V6" s="3224"/>
      <c r="W6" s="3224"/>
      <c r="X6" s="1817"/>
      <c r="Y6" s="3222"/>
      <c r="Z6" s="3223"/>
      <c r="AA6" s="3194"/>
      <c r="AB6" s="3194"/>
      <c r="AC6" s="3281"/>
    </row>
    <row r="7" spans="1:29" s="116" customFormat="1" ht="15.75" thickBot="1">
      <c r="A7" s="408" t="s">
        <v>2547</v>
      </c>
      <c r="B7" s="409"/>
      <c r="C7" s="410">
        <f>'数据-取费表'!B2</f>
        <v>43049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7" t="s">
        <v>2548</v>
      </c>
      <c r="Q7" s="3225"/>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2671" t="e">
        <f>D7/J7</f>
        <v>#DIV/0!</v>
      </c>
    </row>
    <row r="8" spans="1:29" s="116"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7" t="s">
        <v>2551</v>
      </c>
      <c r="Q8" s="3196"/>
      <c r="R8" s="770" t="s">
        <v>17</v>
      </c>
      <c r="S8" s="771">
        <f t="shared" si="0"/>
        <v>0</v>
      </c>
      <c r="T8" s="770" t="s">
        <v>17</v>
      </c>
      <c r="U8" s="771">
        <f t="shared" si="1"/>
        <v>0</v>
      </c>
      <c r="V8" s="770" t="s">
        <v>17</v>
      </c>
      <c r="W8" s="771">
        <f t="shared" si="2"/>
        <v>0</v>
      </c>
      <c r="X8" s="772"/>
      <c r="Y8" s="3195" t="s">
        <v>2551</v>
      </c>
      <c r="Z8" s="3196"/>
      <c r="AA8" s="773" t="e">
        <f t="shared" ref="AA8:AA47" si="3">D8/F8</f>
        <v>#DIV/0!</v>
      </c>
      <c r="AB8" s="773" t="e">
        <f t="shared" ref="AB8:AB47" si="4">D8/H8</f>
        <v>#DIV/0!</v>
      </c>
      <c r="AC8" s="2671" t="e">
        <f t="shared" ref="AC8:AC47" si="5">D8/J8</f>
        <v>#DIV/0!</v>
      </c>
    </row>
    <row r="9" spans="1:29" s="116" customFormat="1">
      <c r="A9" s="415" t="s">
        <v>2552</v>
      </c>
      <c r="B9" s="71" t="s">
        <v>2553</v>
      </c>
      <c r="C9" s="416"/>
      <c r="D9" s="134">
        <v>100</v>
      </c>
      <c r="E9" s="419"/>
      <c r="F9" s="134">
        <f>SUMIF(64:64,E9,65:65)-SUMIF(64:64,C9,65:65)+100</f>
        <v>100</v>
      </c>
      <c r="G9" s="417"/>
      <c r="H9" s="134">
        <f>SUMIF(64:64,G9,65:65)-SUMIF(64:64,C9,65:65)+100</f>
        <v>100</v>
      </c>
      <c r="I9" s="417"/>
      <c r="J9" s="134">
        <f>SUMIF(64:64,I9,65:65)-SUMIF(64:64,C9,65:65)+100</f>
        <v>100</v>
      </c>
      <c r="K9" s="611"/>
      <c r="L9" s="1135"/>
      <c r="M9" s="1136"/>
      <c r="N9" s="1136"/>
      <c r="O9" s="1136"/>
      <c r="P9" s="3235" t="s">
        <v>2554</v>
      </c>
      <c r="Q9" s="1799"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2671">
        <f t="shared" si="5"/>
        <v>1</v>
      </c>
    </row>
    <row r="10" spans="1:29" s="427" customFormat="1" ht="27">
      <c r="A10" s="421"/>
      <c r="B10" s="422" t="s">
        <v>2556</v>
      </c>
      <c r="C10" s="423"/>
      <c r="D10" s="135">
        <v>100</v>
      </c>
      <c r="E10" s="423"/>
      <c r="F10" s="135">
        <f>SUMIF(66:66,E10,67:67)-SUMIF(66:66,C10,67:67)+100</f>
        <v>100</v>
      </c>
      <c r="G10" s="424"/>
      <c r="H10" s="135">
        <f>SUMIF(66:66,G10,67:67)-SUMIF(66:66,C10,67:67)+100</f>
        <v>100</v>
      </c>
      <c r="I10" s="423"/>
      <c r="J10" s="135">
        <f>SUMIF(66:66,I10,67:67)-SUMIF(66:66,C10,67:67)+100</f>
        <v>100</v>
      </c>
      <c r="K10" s="612"/>
      <c r="L10" s="1138"/>
      <c r="M10" s="1139"/>
      <c r="N10" s="1139"/>
      <c r="O10" s="1139"/>
      <c r="P10" s="3235"/>
      <c r="Q10" s="1799"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2671">
        <f t="shared" si="5"/>
        <v>1</v>
      </c>
    </row>
    <row r="11" spans="1:29" ht="15">
      <c r="A11" s="428"/>
      <c r="B11" s="422" t="s">
        <v>2557</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41"/>
      <c r="M11" s="1134"/>
      <c r="N11" s="1134"/>
      <c r="O11" s="1134"/>
      <c r="P11" s="3235"/>
      <c r="Q11" s="1799"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2671" t="e">
        <f t="shared" si="5"/>
        <v>#N/A</v>
      </c>
    </row>
    <row r="12" spans="1:29" s="116" customFormat="1" ht="15">
      <c r="A12" s="431"/>
      <c r="B12" s="2600">
        <v>111</v>
      </c>
      <c r="C12" s="432"/>
      <c r="D12" s="433">
        <v>100</v>
      </c>
      <c r="E12" s="432"/>
      <c r="F12" s="135">
        <f>SUMIF(71:71,E12,72:72)-SUMIF(71:71,C12,72:72)+100</f>
        <v>100</v>
      </c>
      <c r="G12" s="2672"/>
      <c r="H12" s="135">
        <f>SUMIF(71:71,G12,72:72)-SUMIF(71:71,C12,72:72)+100</f>
        <v>100</v>
      </c>
      <c r="I12" s="432"/>
      <c r="J12" s="135">
        <f>SUMIF(71:71,I12,72:72)-SUMIF(71:71,C12,72:72)+100</f>
        <v>100</v>
      </c>
      <c r="K12" s="613"/>
      <c r="L12" s="1135"/>
      <c r="M12" s="1136"/>
      <c r="N12" s="1136"/>
      <c r="O12" s="1136"/>
      <c r="P12" s="3235"/>
      <c r="Q12" s="1799">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2671">
        <f>D12/J12</f>
        <v>1</v>
      </c>
    </row>
    <row r="13" spans="1:29" ht="15">
      <c r="A13" s="428"/>
      <c r="B13" s="2600">
        <v>111</v>
      </c>
      <c r="C13" s="434"/>
      <c r="D13" s="435">
        <v>100</v>
      </c>
      <c r="E13" s="432"/>
      <c r="F13" s="135">
        <f>SUMIF(73:73,E13,74:74)-SUMIF(73:73,C13,74:74)+100</f>
        <v>100</v>
      </c>
      <c r="G13" s="2672"/>
      <c r="H13" s="435">
        <f>SUMIF(73:73,G13,74:74)-SUMIF(73:73,C13,74:74)+100</f>
        <v>100</v>
      </c>
      <c r="I13" s="432"/>
      <c r="J13" s="435">
        <f>SUMIF(73:73,I13,74:74)-SUMIF(73:73,C13,74:74)+100</f>
        <v>100</v>
      </c>
      <c r="K13" s="613"/>
      <c r="L13" s="1143"/>
      <c r="M13" s="1134"/>
      <c r="N13" s="1134"/>
      <c r="O13" s="1134"/>
      <c r="P13" s="3235"/>
      <c r="Q13" s="1799">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35"/>
      <c r="Q14" s="1799">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4" t="s">
        <v>2559</v>
      </c>
      <c r="Q15" s="1814" t="str">
        <f t="shared" si="6"/>
        <v>办公集聚程度</v>
      </c>
      <c r="R15" s="774" t="s">
        <v>17</v>
      </c>
      <c r="S15" s="775">
        <f t="shared" si="0"/>
        <v>100</v>
      </c>
      <c r="T15" s="774" t="s">
        <v>17</v>
      </c>
      <c r="U15" s="775">
        <f t="shared" si="1"/>
        <v>100</v>
      </c>
      <c r="V15" s="774" t="s">
        <v>17</v>
      </c>
      <c r="W15" s="775">
        <f t="shared" si="2"/>
        <v>100</v>
      </c>
      <c r="X15" s="1817"/>
      <c r="Y15" s="3226" t="s">
        <v>2559</v>
      </c>
      <c r="Z15" s="1818" t="str">
        <f t="shared" si="7"/>
        <v>办公集聚程度</v>
      </c>
      <c r="AA15" s="1815">
        <f t="shared" si="3"/>
        <v>1</v>
      </c>
      <c r="AB15" s="1815">
        <f t="shared" si="4"/>
        <v>1</v>
      </c>
      <c r="AC15" s="2674">
        <f t="shared" si="5"/>
        <v>1</v>
      </c>
    </row>
    <row r="16" spans="1:29" ht="15">
      <c r="A16" s="428"/>
      <c r="B16" s="630"/>
      <c r="C16" s="2611"/>
      <c r="D16" s="448"/>
      <c r="E16" s="447"/>
      <c r="F16" s="448"/>
      <c r="G16" s="2611"/>
      <c r="H16" s="450"/>
      <c r="I16" s="447"/>
      <c r="J16" s="448"/>
      <c r="K16" s="615"/>
      <c r="L16" s="1143"/>
      <c r="M16" s="1134"/>
      <c r="N16" s="1134"/>
      <c r="O16" s="1134"/>
      <c r="P16" s="3245"/>
      <c r="Q16" s="1814"/>
      <c r="R16" s="774"/>
      <c r="S16" s="775"/>
      <c r="T16" s="774"/>
      <c r="U16" s="775"/>
      <c r="V16" s="774"/>
      <c r="W16" s="775"/>
      <c r="X16" s="1817"/>
      <c r="Y16" s="3227"/>
      <c r="Z16" s="1818"/>
      <c r="AA16" s="1815">
        <v>1</v>
      </c>
      <c r="AB16" s="1815">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5"/>
      <c r="Q17" s="1814" t="str">
        <f>B17</f>
        <v>交通便捷度</v>
      </c>
      <c r="R17" s="774" t="s">
        <v>17</v>
      </c>
      <c r="S17" s="775">
        <f>F17</f>
        <v>100</v>
      </c>
      <c r="T17" s="774" t="s">
        <v>17</v>
      </c>
      <c r="U17" s="775">
        <f>H17</f>
        <v>100</v>
      </c>
      <c r="V17" s="774" t="s">
        <v>17</v>
      </c>
      <c r="W17" s="775">
        <f>J17</f>
        <v>100</v>
      </c>
      <c r="X17" s="1817"/>
      <c r="Y17" s="3227"/>
      <c r="Z17" s="1818" t="str">
        <f>Q17</f>
        <v>交通便捷度</v>
      </c>
      <c r="AA17" s="1815">
        <f t="shared" si="3"/>
        <v>1</v>
      </c>
      <c r="AB17" s="1815">
        <f t="shared" si="4"/>
        <v>1</v>
      </c>
      <c r="AC17" s="2674">
        <f t="shared" si="5"/>
        <v>1</v>
      </c>
    </row>
    <row r="18" spans="1:29" ht="15">
      <c r="A18" s="428"/>
      <c r="B18" s="632"/>
      <c r="C18" s="2676"/>
      <c r="D18" s="450"/>
      <c r="E18" s="2609"/>
      <c r="F18" s="450"/>
      <c r="G18" s="2610"/>
      <c r="H18" s="448"/>
      <c r="I18" s="2610"/>
      <c r="J18" s="448"/>
      <c r="K18" s="615"/>
      <c r="L18" s="1143"/>
      <c r="M18" s="1134"/>
      <c r="N18" s="1134"/>
      <c r="O18" s="1134"/>
      <c r="P18" s="3245"/>
      <c r="Q18" s="1814"/>
      <c r="R18" s="774"/>
      <c r="S18" s="775"/>
      <c r="T18" s="774"/>
      <c r="U18" s="775"/>
      <c r="V18" s="774"/>
      <c r="W18" s="775"/>
      <c r="X18" s="1817"/>
      <c r="Y18" s="3227"/>
      <c r="Z18" s="1818"/>
      <c r="AA18" s="1815">
        <v>1</v>
      </c>
      <c r="AB18" s="1815">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5"/>
      <c r="Q19" s="1814" t="str">
        <f>B19</f>
        <v>公共配套设施</v>
      </c>
      <c r="R19" s="774" t="s">
        <v>17</v>
      </c>
      <c r="S19" s="775">
        <f>F19</f>
        <v>100</v>
      </c>
      <c r="T19" s="774" t="s">
        <v>17</v>
      </c>
      <c r="U19" s="775">
        <f>H19</f>
        <v>100</v>
      </c>
      <c r="V19" s="774" t="s">
        <v>17</v>
      </c>
      <c r="W19" s="775">
        <f>J19</f>
        <v>100</v>
      </c>
      <c r="X19" s="1817"/>
      <c r="Y19" s="3227"/>
      <c r="Z19" s="1818" t="str">
        <f>Q19</f>
        <v>公共配套设施</v>
      </c>
      <c r="AA19" s="1815">
        <f t="shared" si="3"/>
        <v>1</v>
      </c>
      <c r="AB19" s="1815">
        <f t="shared" si="4"/>
        <v>1</v>
      </c>
      <c r="AC19" s="2674">
        <f t="shared" si="5"/>
        <v>1</v>
      </c>
    </row>
    <row r="20" spans="1:29" ht="15">
      <c r="A20" s="428"/>
      <c r="B20" s="632"/>
      <c r="C20" s="2611"/>
      <c r="D20" s="448"/>
      <c r="E20" s="2604"/>
      <c r="F20" s="448"/>
      <c r="G20" s="2605"/>
      <c r="H20" s="448"/>
      <c r="I20" s="2605"/>
      <c r="J20" s="448"/>
      <c r="K20" s="615"/>
      <c r="L20" s="1143"/>
      <c r="M20" s="1134"/>
      <c r="N20" s="1134"/>
      <c r="O20" s="1134"/>
      <c r="P20" s="3245"/>
      <c r="Q20" s="1814"/>
      <c r="R20" s="774"/>
      <c r="S20" s="775"/>
      <c r="T20" s="774"/>
      <c r="U20" s="775"/>
      <c r="V20" s="774"/>
      <c r="W20" s="775"/>
      <c r="X20" s="1817"/>
      <c r="Y20" s="3227"/>
      <c r="Z20" s="1818"/>
      <c r="AA20" s="1815">
        <v>1</v>
      </c>
      <c r="AB20" s="1815">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27"/>
      <c r="Z21" s="1818" t="str">
        <f>Q21</f>
        <v>基础设施水平</v>
      </c>
      <c r="AA21" s="1815">
        <f t="shared" ref="AA21" si="8">D21/F21</f>
        <v>1</v>
      </c>
      <c r="AB21" s="1815">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45"/>
      <c r="Q22" s="1814"/>
      <c r="R22" s="774"/>
      <c r="S22" s="775"/>
      <c r="T22" s="774"/>
      <c r="U22" s="775"/>
      <c r="V22" s="774"/>
      <c r="W22" s="775"/>
      <c r="X22" s="1817"/>
      <c r="Y22" s="3227"/>
      <c r="Z22" s="1818"/>
      <c r="AA22" s="1815">
        <v>1</v>
      </c>
      <c r="AB22" s="1815">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5"/>
      <c r="Q23" s="1814" t="str">
        <f>B23</f>
        <v>环境质量</v>
      </c>
      <c r="R23" s="774" t="s">
        <v>17</v>
      </c>
      <c r="S23" s="775">
        <f>F23</f>
        <v>100</v>
      </c>
      <c r="T23" s="774" t="s">
        <v>17</v>
      </c>
      <c r="U23" s="775">
        <f>H23</f>
        <v>100</v>
      </c>
      <c r="V23" s="774" t="s">
        <v>17</v>
      </c>
      <c r="W23" s="775">
        <f>J23</f>
        <v>100</v>
      </c>
      <c r="X23" s="1817"/>
      <c r="Y23" s="3227"/>
      <c r="Z23" s="1818" t="str">
        <f>Q23</f>
        <v>环境质量</v>
      </c>
      <c r="AA23" s="1815">
        <f t="shared" si="3"/>
        <v>1</v>
      </c>
      <c r="AB23" s="1815">
        <f t="shared" si="4"/>
        <v>1</v>
      </c>
      <c r="AC23" s="2674">
        <f t="shared" si="5"/>
        <v>1</v>
      </c>
    </row>
    <row r="24" spans="1:29" ht="15">
      <c r="A24" s="428"/>
      <c r="B24" s="633"/>
      <c r="C24" s="2611"/>
      <c r="D24" s="448"/>
      <c r="E24" s="2604"/>
      <c r="F24" s="448"/>
      <c r="G24" s="2605"/>
      <c r="H24" s="448"/>
      <c r="I24" s="2605"/>
      <c r="J24" s="448"/>
      <c r="K24" s="615"/>
      <c r="L24" s="1143"/>
      <c r="M24" s="1134"/>
      <c r="N24" s="1134"/>
      <c r="O24" s="1134"/>
      <c r="P24" s="3245"/>
      <c r="Q24" s="1814"/>
      <c r="R24" s="774"/>
      <c r="S24" s="775"/>
      <c r="T24" s="774"/>
      <c r="U24" s="775"/>
      <c r="V24" s="774"/>
      <c r="W24" s="775"/>
      <c r="X24" s="1817"/>
      <c r="Y24" s="3227"/>
      <c r="Z24" s="1818"/>
      <c r="AA24" s="1815">
        <v>1</v>
      </c>
      <c r="AB24" s="1815">
        <v>1</v>
      </c>
      <c r="AC24" s="2674">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45"/>
      <c r="Q25" s="1814" t="str">
        <f>B25</f>
        <v>毗邻道路的类型与等级</v>
      </c>
      <c r="R25" s="774" t="s">
        <v>17</v>
      </c>
      <c r="S25" s="775">
        <f>F25</f>
        <v>100</v>
      </c>
      <c r="T25" s="774" t="s">
        <v>17</v>
      </c>
      <c r="U25" s="775">
        <f>H25</f>
        <v>100</v>
      </c>
      <c r="V25" s="774" t="s">
        <v>17</v>
      </c>
      <c r="W25" s="775">
        <f>J25</f>
        <v>100</v>
      </c>
      <c r="X25" s="1817"/>
      <c r="Y25" s="3227"/>
      <c r="Z25" s="1818" t="str">
        <f>Q25</f>
        <v>毗邻道路的类型与等级</v>
      </c>
      <c r="AA25" s="1815">
        <f t="shared" si="3"/>
        <v>1</v>
      </c>
      <c r="AB25" s="1815">
        <f t="shared" si="4"/>
        <v>1</v>
      </c>
      <c r="AC25" s="2674">
        <f t="shared" si="5"/>
        <v>1</v>
      </c>
    </row>
    <row r="26" spans="1:29" ht="15">
      <c r="A26" s="404"/>
      <c r="B26" s="632"/>
      <c r="C26" s="634"/>
      <c r="D26" s="435"/>
      <c r="E26" s="616"/>
      <c r="F26" s="435"/>
      <c r="G26" s="634"/>
      <c r="H26" s="435"/>
      <c r="I26" s="616"/>
      <c r="J26" s="435"/>
      <c r="K26" s="615"/>
      <c r="L26" s="1143"/>
      <c r="M26" s="1134"/>
      <c r="N26" s="1134"/>
      <c r="O26" s="1134"/>
      <c r="P26" s="3245"/>
      <c r="Q26" s="1814"/>
      <c r="R26" s="774"/>
      <c r="S26" s="775"/>
      <c r="T26" s="774"/>
      <c r="U26" s="775"/>
      <c r="V26" s="774"/>
      <c r="W26" s="775"/>
      <c r="X26" s="1817"/>
      <c r="Y26" s="3227"/>
      <c r="Z26" s="1818"/>
      <c r="AA26" s="1815">
        <v>1</v>
      </c>
      <c r="AB26" s="1815">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4" t="str">
        <f t="shared" ref="Q27:Q47" si="11">B27</f>
        <v>楼层</v>
      </c>
      <c r="R27" s="774" t="s">
        <v>17</v>
      </c>
      <c r="S27" s="775">
        <f>F27</f>
        <v>100</v>
      </c>
      <c r="T27" s="774" t="s">
        <v>17</v>
      </c>
      <c r="U27" s="775">
        <f>H27</f>
        <v>100</v>
      </c>
      <c r="V27" s="774" t="s">
        <v>17</v>
      </c>
      <c r="W27" s="775">
        <f>J27</f>
        <v>100</v>
      </c>
      <c r="X27" s="1817"/>
      <c r="Y27" s="3227"/>
      <c r="Z27" s="1818" t="str">
        <f>Q27</f>
        <v>楼层</v>
      </c>
      <c r="AA27" s="1815">
        <f t="shared" si="3"/>
        <v>1</v>
      </c>
      <c r="AB27" s="1815">
        <f t="shared" si="4"/>
        <v>1</v>
      </c>
      <c r="AC27" s="2674">
        <f t="shared" si="5"/>
        <v>1</v>
      </c>
    </row>
    <row r="28" spans="1:29" s="116"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45"/>
      <c r="Q28" s="1799" t="str">
        <f t="shared" si="11"/>
        <v>朝向</v>
      </c>
      <c r="R28" s="770" t="s">
        <v>17</v>
      </c>
      <c r="S28" s="771">
        <f>F28</f>
        <v>100</v>
      </c>
      <c r="T28" s="770" t="s">
        <v>17</v>
      </c>
      <c r="U28" s="771">
        <f>H28</f>
        <v>100</v>
      </c>
      <c r="V28" s="770" t="s">
        <v>17</v>
      </c>
      <c r="W28" s="771">
        <f>J28</f>
        <v>100</v>
      </c>
      <c r="X28" s="772"/>
      <c r="Y28" s="3227"/>
      <c r="Z28" s="55" t="str">
        <f>Q28</f>
        <v>朝向</v>
      </c>
      <c r="AA28" s="1815">
        <f>D28/F28</f>
        <v>1</v>
      </c>
      <c r="AB28" s="1815">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45"/>
      <c r="Q29" s="1814">
        <f t="shared" si="11"/>
        <v>111</v>
      </c>
      <c r="R29" s="774" t="s">
        <v>17</v>
      </c>
      <c r="S29" s="775">
        <f t="shared" ref="S29:S47" si="12">F29</f>
        <v>100</v>
      </c>
      <c r="T29" s="774" t="s">
        <v>17</v>
      </c>
      <c r="U29" s="775">
        <f t="shared" ref="U29:U47" si="13">H29</f>
        <v>100</v>
      </c>
      <c r="V29" s="774" t="s">
        <v>17</v>
      </c>
      <c r="W29" s="775">
        <f t="shared" ref="W29:W47" si="14">J29</f>
        <v>100</v>
      </c>
      <c r="X29" s="1817"/>
      <c r="Y29" s="3227"/>
      <c r="Z29" s="1818">
        <f t="shared" ref="Z29:Z47" si="15">Q29</f>
        <v>111</v>
      </c>
      <c r="AA29" s="1815">
        <f t="shared" si="3"/>
        <v>1</v>
      </c>
      <c r="AB29" s="1815">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227"/>
      <c r="Z30" s="1818">
        <f t="shared" si="15"/>
        <v>111</v>
      </c>
      <c r="AA30" s="1815">
        <f t="shared" si="3"/>
        <v>1</v>
      </c>
      <c r="AB30" s="1815">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227"/>
      <c r="Z31" s="1818">
        <f t="shared" si="15"/>
        <v>111</v>
      </c>
      <c r="AA31" s="1815">
        <f t="shared" si="3"/>
        <v>1</v>
      </c>
      <c r="AB31" s="1815">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45"/>
      <c r="Q32" s="1814">
        <f t="shared" si="11"/>
        <v>111</v>
      </c>
      <c r="R32" s="774" t="s">
        <v>17</v>
      </c>
      <c r="S32" s="775">
        <f t="shared" si="12"/>
        <v>100</v>
      </c>
      <c r="T32" s="774" t="s">
        <v>17</v>
      </c>
      <c r="U32" s="775">
        <f t="shared" si="13"/>
        <v>100</v>
      </c>
      <c r="V32" s="774" t="s">
        <v>17</v>
      </c>
      <c r="W32" s="775">
        <f t="shared" si="14"/>
        <v>100</v>
      </c>
      <c r="X32" s="1817"/>
      <c r="Y32" s="3227"/>
      <c r="Z32" s="1818">
        <f t="shared" si="15"/>
        <v>111</v>
      </c>
      <c r="AA32" s="1815">
        <f t="shared" si="3"/>
        <v>1</v>
      </c>
      <c r="AB32" s="1815">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0" t="s">
        <v>2564</v>
      </c>
      <c r="Q33" s="1814" t="str">
        <f t="shared" si="11"/>
        <v>建筑类型</v>
      </c>
      <c r="R33" s="774" t="s">
        <v>17</v>
      </c>
      <c r="S33" s="775">
        <f t="shared" si="12"/>
        <v>100</v>
      </c>
      <c r="T33" s="774" t="s">
        <v>17</v>
      </c>
      <c r="U33" s="775">
        <f t="shared" si="13"/>
        <v>100</v>
      </c>
      <c r="V33" s="774" t="s">
        <v>17</v>
      </c>
      <c r="W33" s="775">
        <f t="shared" si="14"/>
        <v>100</v>
      </c>
      <c r="X33" s="1817"/>
      <c r="Y33" s="3229" t="s">
        <v>2564</v>
      </c>
      <c r="Z33" s="1818" t="str">
        <f t="shared" si="15"/>
        <v>建筑类型</v>
      </c>
      <c r="AA33" s="1815">
        <f t="shared" si="3"/>
        <v>1</v>
      </c>
      <c r="AB33" s="1815">
        <f t="shared" si="4"/>
        <v>1</v>
      </c>
      <c r="AC33" s="2674">
        <f t="shared" si="5"/>
        <v>1</v>
      </c>
    </row>
    <row r="34" spans="1:29" s="471" customFormat="1" ht="15">
      <c r="A34" s="468"/>
      <c r="B34" s="422" t="s">
        <v>2565</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229"/>
      <c r="Z34" s="780" t="str">
        <f t="shared" si="15"/>
        <v>项目建筑规模</v>
      </c>
      <c r="AA34" s="1815" t="e">
        <f t="shared" si="3"/>
        <v>#N/A</v>
      </c>
      <c r="AB34" s="1815"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4" t="str">
        <f t="shared" si="11"/>
        <v>建筑结构</v>
      </c>
      <c r="R35" s="774" t="s">
        <v>17</v>
      </c>
      <c r="S35" s="775">
        <f t="shared" si="12"/>
        <v>100</v>
      </c>
      <c r="T35" s="774" t="s">
        <v>17</v>
      </c>
      <c r="U35" s="775">
        <f t="shared" si="13"/>
        <v>100</v>
      </c>
      <c r="V35" s="774" t="s">
        <v>17</v>
      </c>
      <c r="W35" s="775">
        <f t="shared" si="14"/>
        <v>100</v>
      </c>
      <c r="X35" s="1817"/>
      <c r="Y35" s="3229"/>
      <c r="Z35" s="1818" t="str">
        <f t="shared" si="15"/>
        <v>建筑结构</v>
      </c>
      <c r="AA35" s="1815">
        <f t="shared" si="3"/>
        <v>1</v>
      </c>
      <c r="AB35" s="1815">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4" t="str">
        <f t="shared" si="11"/>
        <v>公共部分装修</v>
      </c>
      <c r="R36" s="774" t="s">
        <v>17</v>
      </c>
      <c r="S36" s="775">
        <f t="shared" si="12"/>
        <v>100</v>
      </c>
      <c r="T36" s="774" t="s">
        <v>17</v>
      </c>
      <c r="U36" s="775">
        <f t="shared" si="13"/>
        <v>100</v>
      </c>
      <c r="V36" s="774" t="s">
        <v>17</v>
      </c>
      <c r="W36" s="775">
        <f t="shared" si="14"/>
        <v>100</v>
      </c>
      <c r="X36" s="1817"/>
      <c r="Y36" s="3229"/>
      <c r="Z36" s="1818" t="str">
        <f t="shared" si="15"/>
        <v>公共部分装修</v>
      </c>
      <c r="AA36" s="1815">
        <f t="shared" si="3"/>
        <v>1</v>
      </c>
      <c r="AB36" s="1815">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4" t="str">
        <f t="shared" si="11"/>
        <v>成新度</v>
      </c>
      <c r="R37" s="774" t="s">
        <v>17</v>
      </c>
      <c r="S37" s="775" t="e">
        <f t="shared" si="12"/>
        <v>#N/A</v>
      </c>
      <c r="T37" s="774" t="s">
        <v>17</v>
      </c>
      <c r="U37" s="775" t="e">
        <f t="shared" si="13"/>
        <v>#N/A</v>
      </c>
      <c r="V37" s="774" t="s">
        <v>17</v>
      </c>
      <c r="W37" s="775" t="e">
        <f t="shared" si="14"/>
        <v>#N/A</v>
      </c>
      <c r="X37" s="1817"/>
      <c r="Y37" s="3229"/>
      <c r="Z37" s="1818" t="str">
        <f t="shared" si="15"/>
        <v>成新度</v>
      </c>
      <c r="AA37" s="1815" t="e">
        <f t="shared" si="3"/>
        <v>#N/A</v>
      </c>
      <c r="AB37" s="1815" t="e">
        <f t="shared" si="4"/>
        <v>#N/A</v>
      </c>
      <c r="AC37" s="2674" t="e">
        <f t="shared" si="5"/>
        <v>#N/A</v>
      </c>
    </row>
    <row r="38" spans="1:29" s="116" customFormat="1" ht="15">
      <c r="A38" s="473"/>
      <c r="B38" s="422" t="s">
        <v>2693</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9"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2564</v>
      </c>
      <c r="Q39" s="1814" t="str">
        <f t="shared" si="11"/>
        <v>物业管理</v>
      </c>
      <c r="R39" s="774" t="s">
        <v>17</v>
      </c>
      <c r="S39" s="775">
        <f t="shared" si="12"/>
        <v>100</v>
      </c>
      <c r="T39" s="774" t="s">
        <v>17</v>
      </c>
      <c r="U39" s="775">
        <f t="shared" si="13"/>
        <v>100</v>
      </c>
      <c r="V39" s="774" t="s">
        <v>17</v>
      </c>
      <c r="W39" s="775">
        <f t="shared" si="14"/>
        <v>100</v>
      </c>
      <c r="X39" s="1817"/>
      <c r="Y39" s="3229" t="s">
        <v>2564</v>
      </c>
      <c r="Z39" s="1818" t="str">
        <f t="shared" si="15"/>
        <v>物业管理</v>
      </c>
      <c r="AA39" s="1815">
        <f t="shared" si="3"/>
        <v>1</v>
      </c>
      <c r="AB39" s="1815">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4" t="str">
        <f t="shared" si="11"/>
        <v>市政基础设施</v>
      </c>
      <c r="R40" s="774" t="s">
        <v>17</v>
      </c>
      <c r="S40" s="775">
        <f t="shared" si="12"/>
        <v>100</v>
      </c>
      <c r="T40" s="774" t="s">
        <v>17</v>
      </c>
      <c r="U40" s="775">
        <f t="shared" si="13"/>
        <v>100</v>
      </c>
      <c r="V40" s="774" t="s">
        <v>17</v>
      </c>
      <c r="W40" s="775">
        <f t="shared" si="14"/>
        <v>100</v>
      </c>
      <c r="X40" s="1817"/>
      <c r="Y40" s="3229"/>
      <c r="Z40" s="1818" t="str">
        <f t="shared" si="15"/>
        <v>市政基础设施</v>
      </c>
      <c r="AA40" s="1815">
        <f t="shared" si="3"/>
        <v>1</v>
      </c>
      <c r="AB40" s="1815">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4" t="str">
        <f t="shared" si="11"/>
        <v>层高</v>
      </c>
      <c r="R41" s="774" t="s">
        <v>17</v>
      </c>
      <c r="S41" s="775">
        <f t="shared" si="12"/>
        <v>100</v>
      </c>
      <c r="T41" s="774" t="s">
        <v>17</v>
      </c>
      <c r="U41" s="775">
        <f t="shared" si="13"/>
        <v>100</v>
      </c>
      <c r="V41" s="774" t="s">
        <v>17</v>
      </c>
      <c r="W41" s="775">
        <f t="shared" si="14"/>
        <v>100</v>
      </c>
      <c r="X41" s="1817"/>
      <c r="Y41" s="3229"/>
      <c r="Z41" s="1818" t="str">
        <f t="shared" si="15"/>
        <v>层高</v>
      </c>
      <c r="AA41" s="1815">
        <f t="shared" si="3"/>
        <v>1</v>
      </c>
      <c r="AB41" s="1815">
        <f t="shared" si="4"/>
        <v>1</v>
      </c>
      <c r="AC41" s="2674">
        <f t="shared" si="5"/>
        <v>1</v>
      </c>
    </row>
    <row r="42" spans="1:29" s="471" customFormat="1" ht="15">
      <c r="A42" s="468"/>
      <c r="B42" s="1816"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5">
        <f t="shared" si="3"/>
        <v>1</v>
      </c>
      <c r="AB42" s="1815">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4" t="str">
        <f t="shared" si="11"/>
        <v>内部装修</v>
      </c>
      <c r="R43" s="774" t="s">
        <v>17</v>
      </c>
      <c r="S43" s="775">
        <f t="shared" si="12"/>
        <v>100</v>
      </c>
      <c r="T43" s="774" t="s">
        <v>17</v>
      </c>
      <c r="U43" s="775">
        <f t="shared" si="13"/>
        <v>100</v>
      </c>
      <c r="V43" s="774" t="s">
        <v>17</v>
      </c>
      <c r="W43" s="775">
        <f t="shared" si="14"/>
        <v>100</v>
      </c>
      <c r="X43" s="1817"/>
      <c r="Y43" s="3229"/>
      <c r="Z43" s="1818" t="str">
        <f t="shared" si="15"/>
        <v>内部装修</v>
      </c>
      <c r="AA43" s="1815">
        <f t="shared" si="3"/>
        <v>1</v>
      </c>
      <c r="AB43" s="1815">
        <f t="shared" si="4"/>
        <v>1</v>
      </c>
      <c r="AC43" s="2674">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41"/>
      <c r="Q44" s="1814" t="str">
        <f t="shared" si="11"/>
        <v>内部装修维护情况</v>
      </c>
      <c r="R44" s="774" t="s">
        <v>17</v>
      </c>
      <c r="S44" s="775">
        <f t="shared" si="12"/>
        <v>100</v>
      </c>
      <c r="T44" s="774" t="s">
        <v>17</v>
      </c>
      <c r="U44" s="775">
        <f t="shared" si="13"/>
        <v>100</v>
      </c>
      <c r="V44" s="774" t="s">
        <v>17</v>
      </c>
      <c r="W44" s="775">
        <f t="shared" si="14"/>
        <v>100</v>
      </c>
      <c r="X44" s="1817"/>
      <c r="Y44" s="3229"/>
      <c r="Z44" s="1818" t="str">
        <f t="shared" si="15"/>
        <v>内部装修维护情况</v>
      </c>
      <c r="AA44" s="1815">
        <f t="shared" si="3"/>
        <v>1</v>
      </c>
      <c r="AB44" s="1815">
        <f t="shared" si="4"/>
        <v>1</v>
      </c>
      <c r="AC44" s="2674">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1"/>
      <c r="Q45" s="1799">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4">
        <f t="shared" si="11"/>
        <v>111</v>
      </c>
      <c r="R46" s="774" t="s">
        <v>17</v>
      </c>
      <c r="S46" s="775">
        <f t="shared" si="12"/>
        <v>100</v>
      </c>
      <c r="T46" s="774" t="s">
        <v>17</v>
      </c>
      <c r="U46" s="775">
        <f t="shared" si="13"/>
        <v>100</v>
      </c>
      <c r="V46" s="774" t="s">
        <v>17</v>
      </c>
      <c r="W46" s="775">
        <f t="shared" si="14"/>
        <v>100</v>
      </c>
      <c r="X46" s="1817"/>
      <c r="Y46" s="3229"/>
      <c r="Z46" s="1818">
        <f t="shared" si="15"/>
        <v>111</v>
      </c>
      <c r="AA46" s="1815">
        <f t="shared" si="3"/>
        <v>1</v>
      </c>
      <c r="AB46" s="1815">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4">
        <f t="shared" si="11"/>
        <v>111</v>
      </c>
      <c r="R47" s="774" t="s">
        <v>17</v>
      </c>
      <c r="S47" s="775">
        <f t="shared" si="12"/>
        <v>100</v>
      </c>
      <c r="T47" s="774" t="s">
        <v>17</v>
      </c>
      <c r="U47" s="775">
        <f t="shared" si="13"/>
        <v>100</v>
      </c>
      <c r="V47" s="774" t="s">
        <v>17</v>
      </c>
      <c r="W47" s="775">
        <f t="shared" si="14"/>
        <v>100</v>
      </c>
      <c r="X47" s="1817"/>
      <c r="Y47" s="3243"/>
      <c r="Z47" s="1818">
        <f t="shared" si="15"/>
        <v>111</v>
      </c>
      <c r="AA47" s="1815">
        <f t="shared" si="3"/>
        <v>1</v>
      </c>
      <c r="AB47" s="1815">
        <f t="shared" si="4"/>
        <v>1</v>
      </c>
      <c r="AC47" s="2674">
        <f t="shared" si="5"/>
        <v>1</v>
      </c>
    </row>
    <row r="48" spans="1:29" ht="15">
      <c r="A48" s="479" t="s">
        <v>2576</v>
      </c>
      <c r="B48" s="480"/>
      <c r="C48" s="1410" t="s">
        <v>1</v>
      </c>
      <c r="D48" s="1411"/>
      <c r="E48" s="1412"/>
      <c r="F48" s="1413"/>
      <c r="G48" s="1414"/>
      <c r="H48" s="1415"/>
      <c r="I48" s="1412"/>
      <c r="J48" s="485"/>
      <c r="K48" s="783"/>
      <c r="L48" s="1146"/>
      <c r="M48" s="1134"/>
      <c r="N48" s="1134"/>
      <c r="O48" s="1134"/>
      <c r="P48" s="3235" t="str">
        <f>A48</f>
        <v>成交单价（元/平方米）</v>
      </c>
      <c r="Q48" s="3211"/>
      <c r="R48" s="3239">
        <f>E48</f>
        <v>0</v>
      </c>
      <c r="S48" s="3239"/>
      <c r="T48" s="3239">
        <f>G48</f>
        <v>0</v>
      </c>
      <c r="U48" s="3239"/>
      <c r="V48" s="3239">
        <f>I48</f>
        <v>0</v>
      </c>
      <c r="W48" s="3239"/>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35" t="str">
        <f>A49</f>
        <v>比较价值（元/平方米）</v>
      </c>
      <c r="Q49" s="3211"/>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88" t="str">
        <f>A50</f>
        <v>估价对象XX用房的比较价值（楼面单价，元/平方米）</v>
      </c>
      <c r="Q50" s="3289"/>
      <c r="R50" s="3290" t="e">
        <f>IF(F1="售价",ROUND(AVERAGE(R49:V49),0),ROUND(AVERAGE(R49:V49),1))</f>
        <v>#DIV/0!</v>
      </c>
      <c r="S50" s="3290"/>
      <c r="T50" s="3290"/>
      <c r="U50" s="3290"/>
      <c r="V50" s="3290"/>
      <c r="W50" s="3290"/>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1"/>
      <c r="Q58" s="504"/>
    </row>
    <row r="59" spans="1:29" s="508" customFormat="1" ht="15">
      <c r="A59" s="505" t="s">
        <v>2547</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c r="E60" s="512"/>
      <c r="F60" s="512"/>
      <c r="G60" s="512"/>
      <c r="H60" s="512"/>
      <c r="I60" s="512"/>
      <c r="J60" s="512"/>
      <c r="K60" s="512"/>
      <c r="L60" s="512"/>
      <c r="M60" s="513"/>
      <c r="N60" s="512"/>
      <c r="O60" s="513"/>
      <c r="P60" s="2682"/>
    </row>
    <row r="61" spans="1:29" s="116" customFormat="1" ht="15.75" thickBot="1">
      <c r="A61" s="515" t="s">
        <v>2584</v>
      </c>
      <c r="B61" s="516"/>
      <c r="C61" s="517"/>
      <c r="D61" s="518"/>
      <c r="E61" s="518"/>
      <c r="F61" s="518"/>
      <c r="G61" s="518"/>
      <c r="H61" s="518"/>
      <c r="I61" s="518"/>
      <c r="J61" s="518"/>
      <c r="K61" s="518"/>
      <c r="L61" s="518"/>
      <c r="M61" s="519"/>
      <c r="N61" s="518"/>
      <c r="O61" s="519"/>
      <c r="P61" s="2682"/>
      <c r="Q61" s="504"/>
    </row>
    <row r="62" spans="1:29" s="116" customFormat="1" ht="15">
      <c r="A62" s="521" t="s">
        <v>2549</v>
      </c>
      <c r="B62" s="510"/>
      <c r="C62" s="522" t="s">
        <v>2651</v>
      </c>
      <c r="D62" s="523"/>
      <c r="E62" s="523"/>
      <c r="F62" s="523"/>
      <c r="G62" s="523"/>
      <c r="H62" s="523"/>
      <c r="I62" s="523"/>
      <c r="J62" s="523"/>
      <c r="K62" s="523"/>
      <c r="L62" s="524"/>
      <c r="M62" s="525"/>
      <c r="N62" s="1154"/>
      <c r="O62" s="1154"/>
      <c r="P62" s="2683"/>
      <c r="Q62" s="504"/>
    </row>
    <row r="63" spans="1:29" s="116"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2587</v>
      </c>
      <c r="B64" s="528" t="s">
        <v>2553</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6" customFormat="1" ht="27.75" thickTop="1">
      <c r="A87" s="579"/>
      <c r="B87" s="538" t="s">
        <v>2698</v>
      </c>
      <c r="C87" s="554"/>
      <c r="D87" s="554"/>
      <c r="E87" s="554"/>
      <c r="F87" s="554"/>
      <c r="G87" s="554"/>
      <c r="H87" s="554"/>
      <c r="I87" s="554"/>
      <c r="J87" s="554"/>
      <c r="K87" s="554"/>
      <c r="L87" s="580"/>
      <c r="M87" s="581"/>
      <c r="N87" s="1154"/>
      <c r="O87" s="1154"/>
      <c r="P87" s="2684"/>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6"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2562</v>
      </c>
      <c r="B101" s="528" t="s">
        <v>2611</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2613</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2615</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2616</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2617</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2700</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2619</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河北旭嘉房地产开发有限公司：</v>
      </c>
    </row>
    <row r="4" spans="1:1" ht="54">
      <c r="A4" s="1951" t="str">
        <f>"受贵公司委托，我公司对"&amp;项目基本情况!S1&amp;"进行了预评估。"</f>
        <v>受贵公司委托，我公司对河北省保定市涞水县涞水镇东关村府前街2号桥北侧20#A、20#B住宅、商业用房出让国有建设用地使用权及在建建筑物房地产抵押价值进行了预评估。</v>
      </c>
    </row>
    <row r="5" spans="1:1" ht="18.75">
      <c r="A5" s="1952" t="s">
        <v>1614</v>
      </c>
    </row>
    <row r="6" spans="1:1" ht="18.75">
      <c r="A6" s="1953" t="s">
        <v>1615</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涞水镇东关村府前街2号桥北侧20#A、20#B住宅、商业用房出让国有建设用地使用权及在建建筑物房地产，为河北旭嘉房地产开发有限公司所有。根据《国有土地使用证》[保涞水国用（2015）第00032号]，估价对象（分摊）出让国有建设用地使用权面积为5708.86平方米，建筑面积为14410.755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涞水镇东关村府前街2号桥北侧20#A、20#B住宅、商业用房出让国有建设用地使用权及在建建筑物房地产,属河北旭嘉房地产开发有限公司开发建设的居住项目，该项目尚在开发建设中。根据《国有土地使用证》[保涞水国用（2015）第00032号]，估价对象（分摊）出让国有建设用地使用权面积为5708.86平方米，规划建筑面积为14410.755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为估价委托人在向华鑫国际信托有限公司办理贷款手续过程中，确定房地产抵押贷款额度提供参考依据而评估房地产抵押价值。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2017年11月10日（评估专业人员实地查勘之日）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住宅，土地取得方式为出让，出让国有建设用地使用权剩余土地使用年限为住宅66.1年,商业36.1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66.1年,商业36.1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69" t="s">
        <v>2701</v>
      </c>
      <c r="C1" s="1624" t="s">
        <v>2529</v>
      </c>
      <c r="D1" s="1625"/>
      <c r="E1" s="1634"/>
      <c r="F1" s="2584"/>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IF(C2="——",ROUND(C43*D3/10000,0),ROUND(C43*D3/10000,0)-D2)</f>
        <v>#DIV/0!</v>
      </c>
      <c r="C2" s="2586"/>
      <c r="D2" s="1127" t="e">
        <f ca="1">SUMIF(INDIRECT("'"&amp;F2&amp;"'"&amp;"!A:A"),"承租人权益价值",INDIRECT("'"&amp;F2&amp;"'"&amp;"!c:c"))</f>
        <v>#REF!</v>
      </c>
      <c r="E2" s="2587" t="s">
        <v>2330</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14410.755000000001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12" t="s">
        <v>2645</v>
      </c>
      <c r="D4" s="3213"/>
      <c r="E4" s="3214" t="s">
        <v>2646</v>
      </c>
      <c r="F4" s="3215"/>
      <c r="G4" s="3212" t="s">
        <v>2647</v>
      </c>
      <c r="H4" s="3213"/>
      <c r="I4" s="3212" t="s">
        <v>2648</v>
      </c>
      <c r="J4" s="3213"/>
      <c r="K4" s="610" t="s">
        <v>2649</v>
      </c>
      <c r="L4" s="1133"/>
      <c r="M4" s="1134"/>
      <c r="N4" s="1134"/>
      <c r="O4" s="1134"/>
      <c r="P4" s="3216" t="s">
        <v>2650</v>
      </c>
      <c r="Q4" s="3217"/>
      <c r="R4" s="3197" t="s">
        <v>2646</v>
      </c>
      <c r="S4" s="3198"/>
      <c r="T4" s="3197" t="s">
        <v>2647</v>
      </c>
      <c r="U4" s="3198"/>
      <c r="V4" s="3224" t="s">
        <v>2648</v>
      </c>
      <c r="W4" s="3224"/>
      <c r="X4" s="1817"/>
      <c r="Y4" s="3197" t="s">
        <v>2650</v>
      </c>
      <c r="Z4" s="3198"/>
      <c r="AA4" s="3192" t="s">
        <v>2646</v>
      </c>
      <c r="AB4" s="3193" t="s">
        <v>2647</v>
      </c>
      <c r="AC4" s="3192" t="s">
        <v>2648</v>
      </c>
    </row>
    <row r="5" spans="1:29" ht="15">
      <c r="A5" s="404"/>
      <c r="B5" s="405"/>
      <c r="C5" s="3274" t="s">
        <v>2541</v>
      </c>
      <c r="D5" s="3204"/>
      <c r="E5" s="3273" t="s">
        <v>2542</v>
      </c>
      <c r="F5" s="3202"/>
      <c r="G5" s="3274" t="s">
        <v>2543</v>
      </c>
      <c r="H5" s="3204"/>
      <c r="I5" s="3274" t="s">
        <v>2544</v>
      </c>
      <c r="J5" s="3204"/>
      <c r="K5" s="610"/>
      <c r="L5" s="1133"/>
      <c r="M5" s="1134"/>
      <c r="N5" s="1134"/>
      <c r="O5" s="1134"/>
      <c r="P5" s="3218"/>
      <c r="Q5" s="3219"/>
      <c r="R5" s="3199"/>
      <c r="S5" s="3200"/>
      <c r="T5" s="3199"/>
      <c r="U5" s="3200"/>
      <c r="V5" s="3224"/>
      <c r="W5" s="3224"/>
      <c r="X5" s="1817"/>
      <c r="Y5" s="3199"/>
      <c r="Z5" s="3200"/>
      <c r="AA5" s="3193"/>
      <c r="AB5" s="3193"/>
      <c r="AC5" s="3193"/>
    </row>
    <row r="6" spans="1:29" ht="15.75" thickBot="1">
      <c r="A6" s="406"/>
      <c r="B6" s="407"/>
      <c r="C6" s="3237" t="s">
        <v>2545</v>
      </c>
      <c r="D6" s="3206"/>
      <c r="E6" s="3275" t="s">
        <v>2545</v>
      </c>
      <c r="F6" s="3209"/>
      <c r="G6" s="3237" t="s">
        <v>2545</v>
      </c>
      <c r="H6" s="3206"/>
      <c r="I6" s="3237" t="s">
        <v>2545</v>
      </c>
      <c r="J6" s="3206"/>
      <c r="K6" s="610" t="s">
        <v>2546</v>
      </c>
      <c r="L6" s="1133"/>
      <c r="M6" s="1134"/>
      <c r="N6" s="1134"/>
      <c r="O6" s="1134"/>
      <c r="P6" s="3220"/>
      <c r="Q6" s="3221"/>
      <c r="R6" s="3199"/>
      <c r="S6" s="3200"/>
      <c r="T6" s="3222"/>
      <c r="U6" s="3223"/>
      <c r="V6" s="3224"/>
      <c r="W6" s="3224"/>
      <c r="X6" s="1817"/>
      <c r="Y6" s="3222"/>
      <c r="Z6" s="3223"/>
      <c r="AA6" s="3194"/>
      <c r="AB6" s="3194"/>
      <c r="AC6" s="3194"/>
    </row>
    <row r="7" spans="1:29" s="116" customFormat="1" ht="15.75" thickBot="1">
      <c r="A7" s="408" t="s">
        <v>2547</v>
      </c>
      <c r="B7" s="409"/>
      <c r="C7" s="410">
        <f>'数据-取费表'!B2</f>
        <v>43049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5" t="s">
        <v>2548</v>
      </c>
      <c r="Q7" s="3225"/>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6"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6" customFormat="1">
      <c r="A9" s="415" t="s">
        <v>2552</v>
      </c>
      <c r="B9" s="71" t="s">
        <v>2553</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11" t="s">
        <v>2554</v>
      </c>
      <c r="Q9" s="1799"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11"/>
      <c r="Q10" s="1799"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422" t="s">
        <v>2557</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11"/>
      <c r="Q11" s="1799"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6" customFormat="1" ht="15">
      <c r="A12" s="431"/>
      <c r="B12" s="2600">
        <v>111</v>
      </c>
      <c r="C12" s="432"/>
      <c r="D12" s="433">
        <v>100</v>
      </c>
      <c r="E12" s="434"/>
      <c r="F12" s="135">
        <f>SUMIF(64:64,E12,65:65)-SUMIF(64:64,C12,65:65)+100</f>
        <v>100</v>
      </c>
      <c r="G12" s="2692"/>
      <c r="H12" s="135">
        <f>SUMIF(64:64,G12,65:65)-SUMIF(64:64,C12,65:65)+100</f>
        <v>100</v>
      </c>
      <c r="I12" s="469"/>
      <c r="J12" s="135">
        <f>SUMIF(64:64,I12,65:65)-SUMIF(64:64,C12,65:65)+100</f>
        <v>100</v>
      </c>
      <c r="K12" s="613"/>
      <c r="L12" s="1135"/>
      <c r="M12" s="1136"/>
      <c r="N12" s="1136"/>
      <c r="O12" s="1137"/>
      <c r="P12" s="3211"/>
      <c r="Q12" s="1799">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0">
        <v>111</v>
      </c>
      <c r="C13" s="434"/>
      <c r="D13" s="435">
        <v>100</v>
      </c>
      <c r="E13" s="434"/>
      <c r="F13" s="135">
        <f>SUMIF(66:66,E13,67:67)-SUMIF(66:66,C13,67:67)+100</f>
        <v>100</v>
      </c>
      <c r="G13" s="2692"/>
      <c r="H13" s="435">
        <f>SUMIF(66:66,G13,67:67)-SUMIF(66:66,C13,67:67)+100</f>
        <v>100</v>
      </c>
      <c r="I13" s="469"/>
      <c r="J13" s="435">
        <f>SUMIF(66:66,I13,67:67)-SUMIF(66:66,C13,67:67)+100</f>
        <v>100</v>
      </c>
      <c r="K13" s="613"/>
      <c r="L13" s="1143"/>
      <c r="M13" s="1134"/>
      <c r="N13" s="1134"/>
      <c r="O13" s="1142"/>
      <c r="P13" s="3211"/>
      <c r="Q13" s="1799">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11"/>
      <c r="Q14" s="1799">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2558</v>
      </c>
      <c r="B15" s="69" t="s">
        <v>2702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6" t="s">
        <v>2559</v>
      </c>
      <c r="Q15" s="1814" t="str">
        <f t="shared" si="6"/>
        <v>产业集聚程度</v>
      </c>
      <c r="R15" s="774" t="s">
        <v>17</v>
      </c>
      <c r="S15" s="775">
        <f t="shared" si="0"/>
        <v>100</v>
      </c>
      <c r="T15" s="774" t="s">
        <v>17</v>
      </c>
      <c r="U15" s="775">
        <f t="shared" si="1"/>
        <v>100</v>
      </c>
      <c r="V15" s="774" t="s">
        <v>17</v>
      </c>
      <c r="W15" s="775">
        <f t="shared" si="2"/>
        <v>100</v>
      </c>
      <c r="X15" s="1817"/>
      <c r="Y15" s="3226" t="s">
        <v>2559</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27"/>
      <c r="Q16" s="1814"/>
      <c r="R16" s="774"/>
      <c r="S16" s="775"/>
      <c r="T16" s="774"/>
      <c r="U16" s="775"/>
      <c r="V16" s="774"/>
      <c r="W16" s="775"/>
      <c r="X16" s="1817"/>
      <c r="Y16" s="3227"/>
      <c r="Z16" s="1818"/>
      <c r="AA16" s="1815">
        <v>1</v>
      </c>
      <c r="AB16" s="1815">
        <v>1</v>
      </c>
      <c r="AC16" s="1815">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7"/>
      <c r="Q17" s="1814" t="str">
        <f>B17</f>
        <v>交通便捷度</v>
      </c>
      <c r="R17" s="774" t="s">
        <v>17</v>
      </c>
      <c r="S17" s="775">
        <f>F17</f>
        <v>100</v>
      </c>
      <c r="T17" s="774" t="s">
        <v>17</v>
      </c>
      <c r="U17" s="775">
        <f>H17</f>
        <v>100</v>
      </c>
      <c r="V17" s="774" t="s">
        <v>17</v>
      </c>
      <c r="W17" s="775">
        <f>J17</f>
        <v>100</v>
      </c>
      <c r="X17" s="1817"/>
      <c r="Y17" s="3227"/>
      <c r="Z17" s="1818" t="str">
        <f>Q17</f>
        <v>交通便捷度</v>
      </c>
      <c r="AA17" s="1815">
        <f t="shared" si="3"/>
        <v>1</v>
      </c>
      <c r="AB17" s="1815">
        <f t="shared" si="4"/>
        <v>1</v>
      </c>
      <c r="AC17" s="1815">
        <f t="shared" si="5"/>
        <v>1</v>
      </c>
    </row>
    <row r="18" spans="1:29" ht="15">
      <c r="A18" s="428"/>
      <c r="B18" s="456"/>
      <c r="C18" s="2608"/>
      <c r="D18" s="450"/>
      <c r="E18" s="2610"/>
      <c r="F18" s="453"/>
      <c r="G18" s="2609"/>
      <c r="H18" s="448"/>
      <c r="I18" s="2610"/>
      <c r="J18" s="448"/>
      <c r="K18" s="615"/>
      <c r="L18" s="1143"/>
      <c r="M18" s="1134"/>
      <c r="N18" s="1134"/>
      <c r="O18" s="1142"/>
      <c r="P18" s="3227"/>
      <c r="Q18" s="1814"/>
      <c r="R18" s="774"/>
      <c r="S18" s="775"/>
      <c r="T18" s="774"/>
      <c r="U18" s="775"/>
      <c r="V18" s="774"/>
      <c r="W18" s="775"/>
      <c r="X18" s="1817"/>
      <c r="Y18" s="3227"/>
      <c r="Z18" s="1818"/>
      <c r="AA18" s="1815">
        <v>1</v>
      </c>
      <c r="AB18" s="1815">
        <v>1</v>
      </c>
      <c r="AC18" s="1815">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7"/>
      <c r="Q19" s="1814" t="str">
        <f>B19</f>
        <v>公共配套设施</v>
      </c>
      <c r="R19" s="774" t="s">
        <v>17</v>
      </c>
      <c r="S19" s="775">
        <f>F19</f>
        <v>100</v>
      </c>
      <c r="T19" s="774" t="s">
        <v>17</v>
      </c>
      <c r="U19" s="775">
        <f>H19</f>
        <v>100</v>
      </c>
      <c r="V19" s="774" t="s">
        <v>17</v>
      </c>
      <c r="W19" s="775">
        <f>J19</f>
        <v>100</v>
      </c>
      <c r="X19" s="1817"/>
      <c r="Y19" s="3227"/>
      <c r="Z19" s="1818" t="str">
        <f>Q19</f>
        <v>公共配套设施</v>
      </c>
      <c r="AA19" s="1815">
        <f t="shared" si="3"/>
        <v>1</v>
      </c>
      <c r="AB19" s="1815">
        <f t="shared" si="4"/>
        <v>1</v>
      </c>
      <c r="AC19" s="1815">
        <f t="shared" si="5"/>
        <v>1</v>
      </c>
    </row>
    <row r="20" spans="1:29" ht="15">
      <c r="A20" s="428"/>
      <c r="B20" s="456"/>
      <c r="C20" s="447"/>
      <c r="D20" s="448"/>
      <c r="E20" s="2605"/>
      <c r="F20" s="449"/>
      <c r="G20" s="2604"/>
      <c r="H20" s="448"/>
      <c r="I20" s="2605"/>
      <c r="J20" s="448"/>
      <c r="K20" s="615"/>
      <c r="L20" s="1143"/>
      <c r="M20" s="1134"/>
      <c r="N20" s="1134"/>
      <c r="O20" s="1142"/>
      <c r="P20" s="3227"/>
      <c r="Q20" s="1814"/>
      <c r="R20" s="774"/>
      <c r="S20" s="775"/>
      <c r="T20" s="774"/>
      <c r="U20" s="775"/>
      <c r="V20" s="774"/>
      <c r="W20" s="775"/>
      <c r="X20" s="1817"/>
      <c r="Y20" s="3227"/>
      <c r="Z20" s="1818"/>
      <c r="AA20" s="1815">
        <v>1</v>
      </c>
      <c r="AB20" s="1815">
        <v>1</v>
      </c>
      <c r="AC20" s="1815">
        <v>1</v>
      </c>
    </row>
    <row r="21" spans="1:29" ht="28.5">
      <c r="A21" s="428"/>
      <c r="B21" s="1387"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7"/>
      <c r="Q21" s="1814" t="str">
        <f>B21</f>
        <v>基础设施水平</v>
      </c>
      <c r="R21" s="774" t="s">
        <v>17</v>
      </c>
      <c r="S21" s="775">
        <f>F21</f>
        <v>100</v>
      </c>
      <c r="T21" s="774" t="s">
        <v>17</v>
      </c>
      <c r="U21" s="775">
        <f>H21</f>
        <v>100</v>
      </c>
      <c r="V21" s="774" t="s">
        <v>17</v>
      </c>
      <c r="W21" s="775">
        <f>J21</f>
        <v>100</v>
      </c>
      <c r="X21" s="1817"/>
      <c r="Y21" s="3227"/>
      <c r="Z21" s="1818" t="str">
        <f>Q21</f>
        <v>基础设施水平</v>
      </c>
      <c r="AA21" s="1815">
        <f t="shared" ref="AA21" si="8">D21/F21</f>
        <v>1</v>
      </c>
      <c r="AB21" s="1815">
        <f t="shared" ref="AB21" si="9">D21/H21</f>
        <v>1</v>
      </c>
      <c r="AC21" s="1815">
        <f t="shared" ref="AC21" si="10">D21/J21</f>
        <v>1</v>
      </c>
    </row>
    <row r="22" spans="1:29" ht="15">
      <c r="A22" s="428"/>
      <c r="B22" s="1387"/>
      <c r="C22" s="2608"/>
      <c r="D22" s="448"/>
      <c r="E22" s="447"/>
      <c r="F22" s="449"/>
      <c r="G22" s="447"/>
      <c r="H22" s="448"/>
      <c r="I22" s="447"/>
      <c r="J22" s="448"/>
      <c r="K22" s="1386"/>
      <c r="L22" s="1143"/>
      <c r="M22" s="1134"/>
      <c r="N22" s="1134"/>
      <c r="O22" s="1142"/>
      <c r="P22" s="3227"/>
      <c r="Q22" s="1814"/>
      <c r="R22" s="774"/>
      <c r="S22" s="775"/>
      <c r="T22" s="774"/>
      <c r="U22" s="775"/>
      <c r="V22" s="774"/>
      <c r="W22" s="775"/>
      <c r="X22" s="1817"/>
      <c r="Y22" s="3227"/>
      <c r="Z22" s="1818"/>
      <c r="AA22" s="1815">
        <v>1</v>
      </c>
      <c r="AB22" s="1815">
        <v>1</v>
      </c>
      <c r="AC22" s="1815">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7"/>
      <c r="Q23" s="1814" t="str">
        <f>B23</f>
        <v>环境质量</v>
      </c>
      <c r="R23" s="774" t="s">
        <v>17</v>
      </c>
      <c r="S23" s="775">
        <f>F23</f>
        <v>100</v>
      </c>
      <c r="T23" s="774" t="s">
        <v>17</v>
      </c>
      <c r="U23" s="775">
        <f>H23</f>
        <v>100</v>
      </c>
      <c r="V23" s="774" t="s">
        <v>17</v>
      </c>
      <c r="W23" s="775">
        <f>J23</f>
        <v>100</v>
      </c>
      <c r="X23" s="1817"/>
      <c r="Y23" s="3227"/>
      <c r="Z23" s="1818" t="str">
        <f>Q23</f>
        <v>环境质量</v>
      </c>
      <c r="AA23" s="1815">
        <f t="shared" si="3"/>
        <v>1</v>
      </c>
      <c r="AB23" s="1815">
        <f t="shared" si="4"/>
        <v>1</v>
      </c>
      <c r="AC23" s="1815">
        <f t="shared" si="5"/>
        <v>1</v>
      </c>
    </row>
    <row r="24" spans="1:29" ht="15">
      <c r="A24" s="428"/>
      <c r="B24" s="1387"/>
      <c r="C24" s="447"/>
      <c r="D24" s="448"/>
      <c r="E24" s="2605"/>
      <c r="F24" s="449"/>
      <c r="G24" s="2604"/>
      <c r="H24" s="448"/>
      <c r="I24" s="2605"/>
      <c r="J24" s="448"/>
      <c r="K24" s="615"/>
      <c r="L24" s="1143"/>
      <c r="M24" s="1134"/>
      <c r="N24" s="1134"/>
      <c r="O24" s="1142"/>
      <c r="P24" s="3227"/>
      <c r="Q24" s="1814"/>
      <c r="R24" s="774"/>
      <c r="S24" s="775"/>
      <c r="T24" s="774"/>
      <c r="U24" s="775"/>
      <c r="V24" s="774"/>
      <c r="W24" s="775"/>
      <c r="X24" s="1817"/>
      <c r="Y24" s="322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7"/>
      <c r="Q25" s="1814">
        <f>B25</f>
        <v>111</v>
      </c>
      <c r="R25" s="774" t="s">
        <v>17</v>
      </c>
      <c r="S25" s="775">
        <f>F25</f>
        <v>100</v>
      </c>
      <c r="T25" s="774" t="s">
        <v>17</v>
      </c>
      <c r="U25" s="775">
        <f>H25</f>
        <v>100</v>
      </c>
      <c r="V25" s="774" t="s">
        <v>17</v>
      </c>
      <c r="W25" s="775">
        <f>J25</f>
        <v>100</v>
      </c>
      <c r="X25" s="1817"/>
      <c r="Y25" s="322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7"/>
      <c r="Q26" s="1814">
        <f t="shared" ref="Q26:Q40" si="11">B26</f>
        <v>111</v>
      </c>
      <c r="R26" s="774" t="s">
        <v>17</v>
      </c>
      <c r="S26" s="775">
        <f>F26</f>
        <v>100</v>
      </c>
      <c r="T26" s="774" t="s">
        <v>17</v>
      </c>
      <c r="U26" s="775">
        <f>H26</f>
        <v>100</v>
      </c>
      <c r="V26" s="774" t="s">
        <v>17</v>
      </c>
      <c r="W26" s="775">
        <f>J26</f>
        <v>100</v>
      </c>
      <c r="X26" s="1817"/>
      <c r="Y26" s="3227"/>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7"/>
      <c r="Q27" s="1799">
        <f t="shared" si="11"/>
        <v>111</v>
      </c>
      <c r="R27" s="770" t="s">
        <v>17</v>
      </c>
      <c r="S27" s="771">
        <f>F27</f>
        <v>100</v>
      </c>
      <c r="T27" s="770" t="s">
        <v>17</v>
      </c>
      <c r="U27" s="771">
        <f>H27</f>
        <v>100</v>
      </c>
      <c r="V27" s="770" t="s">
        <v>17</v>
      </c>
      <c r="W27" s="771">
        <f>J27</f>
        <v>100</v>
      </c>
      <c r="X27" s="772"/>
      <c r="Y27" s="3227"/>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7"/>
      <c r="Q28" s="1814">
        <f t="shared" si="11"/>
        <v>111</v>
      </c>
      <c r="R28" s="774" t="s">
        <v>17</v>
      </c>
      <c r="S28" s="775">
        <f t="shared" ref="S28:S40" si="12">F28</f>
        <v>100</v>
      </c>
      <c r="T28" s="774" t="s">
        <v>17</v>
      </c>
      <c r="U28" s="775">
        <f t="shared" ref="U28:U40" si="13">H28</f>
        <v>100</v>
      </c>
      <c r="V28" s="774" t="s">
        <v>17</v>
      </c>
      <c r="W28" s="775">
        <f t="shared" ref="W28:W40" si="14">J28</f>
        <v>100</v>
      </c>
      <c r="X28" s="1817"/>
      <c r="Y28" s="3227"/>
      <c r="Z28" s="1818">
        <f t="shared" ref="Z28:Z40" si="15">Q28</f>
        <v>111</v>
      </c>
      <c r="AA28" s="1815">
        <f t="shared" si="3"/>
        <v>1</v>
      </c>
      <c r="AB28" s="1815">
        <f t="shared" si="4"/>
        <v>1</v>
      </c>
      <c r="AC28" s="1815">
        <f t="shared" si="5"/>
        <v>1</v>
      </c>
    </row>
    <row r="29" spans="1:29" ht="1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28" t="s">
        <v>2564</v>
      </c>
      <c r="Q29" s="1814" t="str">
        <f t="shared" si="11"/>
        <v>建筑类型</v>
      </c>
      <c r="R29" s="774" t="s">
        <v>17</v>
      </c>
      <c r="S29" s="775">
        <f t="shared" si="12"/>
        <v>100</v>
      </c>
      <c r="T29" s="774" t="s">
        <v>17</v>
      </c>
      <c r="U29" s="775">
        <f t="shared" si="13"/>
        <v>100</v>
      </c>
      <c r="V29" s="774" t="s">
        <v>17</v>
      </c>
      <c r="W29" s="775">
        <f t="shared" si="14"/>
        <v>100</v>
      </c>
      <c r="X29" s="1817"/>
      <c r="Y29" s="3229" t="s">
        <v>2564</v>
      </c>
      <c r="Z29" s="1818" t="str">
        <f t="shared" si="15"/>
        <v>建筑类型</v>
      </c>
      <c r="AA29" s="1815">
        <f t="shared" si="3"/>
        <v>1</v>
      </c>
      <c r="AB29" s="1815">
        <f t="shared" si="4"/>
        <v>1</v>
      </c>
      <c r="AC29" s="1815">
        <f t="shared" si="5"/>
        <v>1</v>
      </c>
    </row>
    <row r="30" spans="1:29" s="471" customFormat="1" ht="15">
      <c r="A30" s="468"/>
      <c r="B30" s="422" t="s">
        <v>2565</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5" t="e">
        <f t="shared" si="3"/>
        <v>#N/A</v>
      </c>
      <c r="AB30" s="1815" t="e">
        <f t="shared" si="4"/>
        <v>#N/A</v>
      </c>
      <c r="AC30" s="1815"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4" t="str">
        <f t="shared" si="11"/>
        <v>建筑结构</v>
      </c>
      <c r="R31" s="774" t="s">
        <v>17</v>
      </c>
      <c r="S31" s="775">
        <f t="shared" si="12"/>
        <v>100</v>
      </c>
      <c r="T31" s="774" t="s">
        <v>17</v>
      </c>
      <c r="U31" s="775">
        <f t="shared" si="13"/>
        <v>100</v>
      </c>
      <c r="V31" s="774" t="s">
        <v>17</v>
      </c>
      <c r="W31" s="775">
        <f t="shared" si="14"/>
        <v>100</v>
      </c>
      <c r="X31" s="1817"/>
      <c r="Y31" s="3229"/>
      <c r="Z31" s="1818" t="str">
        <f t="shared" si="15"/>
        <v>建筑结构</v>
      </c>
      <c r="AA31" s="1815">
        <f t="shared" si="3"/>
        <v>1</v>
      </c>
      <c r="AB31" s="1815">
        <f t="shared" si="4"/>
        <v>1</v>
      </c>
      <c r="AC31" s="1815">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4" t="str">
        <f t="shared" si="11"/>
        <v>公共部分装修</v>
      </c>
      <c r="R32" s="774" t="s">
        <v>17</v>
      </c>
      <c r="S32" s="775">
        <f t="shared" si="12"/>
        <v>100</v>
      </c>
      <c r="T32" s="774" t="s">
        <v>17</v>
      </c>
      <c r="U32" s="775">
        <f t="shared" si="13"/>
        <v>100</v>
      </c>
      <c r="V32" s="774" t="s">
        <v>17</v>
      </c>
      <c r="W32" s="775">
        <f t="shared" si="14"/>
        <v>100</v>
      </c>
      <c r="X32" s="1817"/>
      <c r="Y32" s="3229"/>
      <c r="Z32" s="1818" t="str">
        <f t="shared" si="15"/>
        <v>公共部分装修</v>
      </c>
      <c r="AA32" s="1815">
        <f t="shared" si="3"/>
        <v>1</v>
      </c>
      <c r="AB32" s="1815">
        <f t="shared" si="4"/>
        <v>1</v>
      </c>
      <c r="AC32" s="1815">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4" t="str">
        <f t="shared" si="11"/>
        <v>成新度</v>
      </c>
      <c r="R33" s="774" t="s">
        <v>17</v>
      </c>
      <c r="S33" s="775" t="e">
        <f t="shared" si="12"/>
        <v>#N/A</v>
      </c>
      <c r="T33" s="774" t="s">
        <v>17</v>
      </c>
      <c r="U33" s="775" t="e">
        <f t="shared" si="13"/>
        <v>#N/A</v>
      </c>
      <c r="V33" s="774" t="s">
        <v>17</v>
      </c>
      <c r="W33" s="775" t="e">
        <f t="shared" si="14"/>
        <v>#N/A</v>
      </c>
      <c r="X33" s="1817"/>
      <c r="Y33" s="3229"/>
      <c r="Z33" s="1818" t="str">
        <f t="shared" si="15"/>
        <v>成新度</v>
      </c>
      <c r="AA33" s="1815" t="e">
        <f t="shared" si="3"/>
        <v>#N/A</v>
      </c>
      <c r="AB33" s="1815" t="e">
        <f t="shared" si="4"/>
        <v>#N/A</v>
      </c>
      <c r="AC33" s="1815" t="e">
        <f t="shared" si="5"/>
        <v>#N/A</v>
      </c>
    </row>
    <row r="34" spans="1:29" s="116" customFormat="1" ht="15">
      <c r="A34" s="473"/>
      <c r="B34" s="422" t="s">
        <v>2694</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9"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2564</v>
      </c>
      <c r="Q35" s="1814" t="str">
        <f t="shared" si="11"/>
        <v>市政基础设施</v>
      </c>
      <c r="R35" s="774" t="s">
        <v>17</v>
      </c>
      <c r="S35" s="775">
        <f t="shared" si="12"/>
        <v>100</v>
      </c>
      <c r="T35" s="774" t="s">
        <v>17</v>
      </c>
      <c r="U35" s="775">
        <f t="shared" si="13"/>
        <v>100</v>
      </c>
      <c r="V35" s="774" t="s">
        <v>17</v>
      </c>
      <c r="W35" s="775">
        <f t="shared" si="14"/>
        <v>100</v>
      </c>
      <c r="X35" s="1817"/>
      <c r="Y35" s="3229" t="s">
        <v>2564</v>
      </c>
      <c r="Z35" s="1818" t="str">
        <f t="shared" si="15"/>
        <v>市政基础设施</v>
      </c>
      <c r="AA35" s="1815">
        <f t="shared" si="3"/>
        <v>1</v>
      </c>
      <c r="AB35" s="1815">
        <f t="shared" si="4"/>
        <v>1</v>
      </c>
      <c r="AC35" s="1815">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4" t="str">
        <f t="shared" si="11"/>
        <v>内部装修</v>
      </c>
      <c r="R36" s="774" t="s">
        <v>17</v>
      </c>
      <c r="S36" s="775">
        <f t="shared" si="12"/>
        <v>100</v>
      </c>
      <c r="T36" s="774" t="s">
        <v>17</v>
      </c>
      <c r="U36" s="775">
        <f t="shared" si="13"/>
        <v>100</v>
      </c>
      <c r="V36" s="774" t="s">
        <v>17</v>
      </c>
      <c r="W36" s="775">
        <f t="shared" si="14"/>
        <v>100</v>
      </c>
      <c r="X36" s="1817"/>
      <c r="Y36" s="3229"/>
      <c r="Z36" s="1818" t="str">
        <f t="shared" si="15"/>
        <v>内部装修</v>
      </c>
      <c r="AA36" s="1815">
        <f t="shared" si="3"/>
        <v>1</v>
      </c>
      <c r="AB36" s="1815">
        <f t="shared" si="4"/>
        <v>1</v>
      </c>
      <c r="AC36" s="1815">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4" t="str">
        <f t="shared" si="11"/>
        <v>内部装修状况</v>
      </c>
      <c r="R37" s="774" t="s">
        <v>17</v>
      </c>
      <c r="S37" s="775">
        <f t="shared" si="12"/>
        <v>100</v>
      </c>
      <c r="T37" s="774" t="s">
        <v>17</v>
      </c>
      <c r="U37" s="775">
        <f t="shared" si="13"/>
        <v>100</v>
      </c>
      <c r="V37" s="774" t="s">
        <v>17</v>
      </c>
      <c r="W37" s="775">
        <f t="shared" si="14"/>
        <v>100</v>
      </c>
      <c r="X37" s="1817"/>
      <c r="Y37" s="3229"/>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4">
        <f t="shared" si="11"/>
        <v>111</v>
      </c>
      <c r="R39" s="774" t="s">
        <v>17</v>
      </c>
      <c r="S39" s="775">
        <f t="shared" si="12"/>
        <v>100</v>
      </c>
      <c r="T39" s="774" t="s">
        <v>17</v>
      </c>
      <c r="U39" s="775">
        <f t="shared" si="13"/>
        <v>100</v>
      </c>
      <c r="V39" s="774" t="s">
        <v>17</v>
      </c>
      <c r="W39" s="775">
        <f t="shared" si="14"/>
        <v>100</v>
      </c>
      <c r="X39" s="1817"/>
      <c r="Y39" s="3229"/>
      <c r="Z39" s="1818">
        <f t="shared" si="15"/>
        <v>111</v>
      </c>
      <c r="AA39" s="1815">
        <f t="shared" si="3"/>
        <v>1</v>
      </c>
      <c r="AB39" s="1815">
        <f t="shared" si="4"/>
        <v>1</v>
      </c>
      <c r="AC39" s="1815">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3"/>
      <c r="Q40" s="1814">
        <f t="shared" si="11"/>
        <v>111</v>
      </c>
      <c r="R40" s="774" t="s">
        <v>17</v>
      </c>
      <c r="S40" s="775">
        <f t="shared" si="12"/>
        <v>100</v>
      </c>
      <c r="T40" s="774" t="s">
        <v>17</v>
      </c>
      <c r="U40" s="775">
        <f t="shared" si="13"/>
        <v>100</v>
      </c>
      <c r="V40" s="774" t="s">
        <v>17</v>
      </c>
      <c r="W40" s="775">
        <f t="shared" si="14"/>
        <v>100</v>
      </c>
      <c r="X40" s="1817"/>
      <c r="Y40" s="3243"/>
      <c r="Z40" s="1818">
        <f t="shared" si="15"/>
        <v>111</v>
      </c>
      <c r="AA40" s="1815">
        <f t="shared" si="3"/>
        <v>1</v>
      </c>
      <c r="AB40" s="1815">
        <f t="shared" si="4"/>
        <v>1</v>
      </c>
      <c r="AC40" s="1815">
        <f t="shared" si="5"/>
        <v>1</v>
      </c>
    </row>
    <row r="41" spans="1:29" ht="15">
      <c r="A41" s="479" t="s">
        <v>2576</v>
      </c>
      <c r="B41" s="480"/>
      <c r="C41" s="1410" t="s">
        <v>1</v>
      </c>
      <c r="D41" s="1411"/>
      <c r="E41" s="1412"/>
      <c r="F41" s="1413"/>
      <c r="G41" s="1414"/>
      <c r="H41" s="1415"/>
      <c r="I41" s="1412"/>
      <c r="J41" s="1415"/>
      <c r="K41" s="783"/>
      <c r="L41" s="1146"/>
      <c r="M41" s="1147"/>
      <c r="N41" s="1134"/>
      <c r="O41" s="1147"/>
      <c r="P41" s="3211" t="str">
        <f>A41</f>
        <v>成交单价（元/平方米）</v>
      </c>
      <c r="Q41" s="3211"/>
      <c r="R41" s="3239">
        <f>E41</f>
        <v>0</v>
      </c>
      <c r="S41" s="3239"/>
      <c r="T41" s="3239">
        <f>G41</f>
        <v>0</v>
      </c>
      <c r="U41" s="3239"/>
      <c r="V41" s="3239">
        <f>I41</f>
        <v>0</v>
      </c>
      <c r="W41" s="3239"/>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2584</v>
      </c>
      <c r="B54" s="516"/>
      <c r="C54" s="517"/>
      <c r="D54" s="518"/>
      <c r="E54" s="518"/>
      <c r="F54" s="518"/>
      <c r="G54" s="518"/>
      <c r="H54" s="518"/>
      <c r="I54" s="518"/>
      <c r="J54" s="518"/>
      <c r="K54" s="518"/>
      <c r="L54" s="518"/>
      <c r="M54" s="519"/>
      <c r="N54" s="518"/>
      <c r="O54" s="520"/>
      <c r="P54" s="504"/>
      <c r="Q54" s="504"/>
    </row>
    <row r="55" spans="1:17" s="116" customFormat="1" ht="15">
      <c r="A55" s="521" t="s">
        <v>2549</v>
      </c>
      <c r="B55" s="510"/>
      <c r="C55" s="522" t="s">
        <v>2651</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6" customFormat="1" ht="15.75" thickTop="1">
      <c r="A80" s="579"/>
      <c r="B80" s="538">
        <f>B25</f>
        <v>111</v>
      </c>
      <c r="C80" s="554"/>
      <c r="D80" s="554"/>
      <c r="E80" s="554"/>
      <c r="F80" s="554"/>
      <c r="G80" s="554"/>
      <c r="H80" s="554"/>
      <c r="I80" s="554"/>
      <c r="J80" s="554"/>
      <c r="K80" s="554"/>
      <c r="L80" s="580"/>
      <c r="M80" s="581"/>
      <c r="N80" s="1154"/>
      <c r="O80" s="1154"/>
      <c r="P80" s="45"/>
      <c r="Q80" s="504"/>
    </row>
    <row r="81" spans="1:17" s="116" customFormat="1" ht="15.75" thickBot="1">
      <c r="A81" s="579"/>
      <c r="B81" s="543"/>
      <c r="C81" s="560"/>
      <c r="D81" s="536"/>
      <c r="E81" s="536"/>
      <c r="F81" s="536"/>
      <c r="G81" s="536"/>
      <c r="H81" s="536"/>
      <c r="I81" s="536"/>
      <c r="J81" s="536"/>
      <c r="K81" s="536"/>
      <c r="L81" s="536"/>
      <c r="M81" s="537"/>
      <c r="N81" s="1156"/>
      <c r="O81" s="1156"/>
      <c r="P81" s="45"/>
      <c r="Q81" s="504"/>
    </row>
    <row r="82" spans="1:17" s="116" customFormat="1" ht="15.75" thickTop="1">
      <c r="A82" s="579"/>
      <c r="B82" s="538">
        <f>B26</f>
        <v>111</v>
      </c>
      <c r="C82" s="554"/>
      <c r="D82" s="554"/>
      <c r="E82" s="554"/>
      <c r="F82" s="554"/>
      <c r="G82" s="554"/>
      <c r="H82" s="554"/>
      <c r="I82" s="554"/>
      <c r="J82" s="554"/>
      <c r="K82" s="554"/>
      <c r="L82" s="580"/>
      <c r="M82" s="581"/>
      <c r="N82" s="1154"/>
      <c r="O82" s="1154"/>
      <c r="P82" s="45"/>
      <c r="Q82" s="504"/>
    </row>
    <row r="83" spans="1:17" s="116"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26"/>
      <c r="F1" s="2584"/>
      <c r="G1" s="1627" t="s">
        <v>2642</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2329</v>
      </c>
      <c r="B2" s="1421" t="e">
        <f ca="1">IF(C2="——",IF(B37="元/平方米",ROUND(C39*D3/10000,0),ROUND(F3*C39/10000,0)),IF(B37="元/平方米",ROUND(C39*D3/10000,0),ROUND(F3*C39/10000,0))-D2)</f>
        <v>#DIV/0!</v>
      </c>
      <c r="C2" s="2586"/>
      <c r="D2" s="1127" t="e">
        <f ca="1">SUMIF(INDIRECT("'"&amp;F2&amp;"'"&amp;"!A:A"),"承租人权益价值",INDIRECT("'"&amp;F2&amp;"'"&amp;"!c:c"))</f>
        <v>#REF!</v>
      </c>
      <c r="E2" s="2587" t="s">
        <v>2330</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12" t="s">
        <v>2645</v>
      </c>
      <c r="D4" s="3213"/>
      <c r="E4" s="3214" t="s">
        <v>2646</v>
      </c>
      <c r="F4" s="3215"/>
      <c r="G4" s="3212" t="s">
        <v>2647</v>
      </c>
      <c r="H4" s="3213"/>
      <c r="I4" s="3212" t="s">
        <v>2648</v>
      </c>
      <c r="J4" s="3213"/>
      <c r="K4" s="610" t="s">
        <v>2649</v>
      </c>
      <c r="L4" s="1133"/>
      <c r="M4" s="1134"/>
      <c r="N4" s="1134"/>
      <c r="O4" s="1134"/>
      <c r="P4" s="3216" t="s">
        <v>2650</v>
      </c>
      <c r="Q4" s="3217"/>
      <c r="R4" s="3197" t="s">
        <v>2646</v>
      </c>
      <c r="S4" s="3198"/>
      <c r="T4" s="3197" t="s">
        <v>2647</v>
      </c>
      <c r="U4" s="3198"/>
      <c r="V4" s="3224" t="s">
        <v>2648</v>
      </c>
      <c r="W4" s="3224"/>
      <c r="X4" s="1817"/>
      <c r="Y4" s="3197" t="s">
        <v>2650</v>
      </c>
      <c r="Z4" s="3198"/>
      <c r="AA4" s="3192" t="s">
        <v>2646</v>
      </c>
      <c r="AB4" s="3193" t="s">
        <v>2647</v>
      </c>
      <c r="AC4" s="3192" t="s">
        <v>2648</v>
      </c>
    </row>
    <row r="5" spans="1:29" ht="15">
      <c r="A5" s="404"/>
      <c r="B5" s="405"/>
      <c r="C5" s="3274" t="s">
        <v>2541</v>
      </c>
      <c r="D5" s="3204"/>
      <c r="E5" s="3273" t="s">
        <v>2542</v>
      </c>
      <c r="F5" s="3202"/>
      <c r="G5" s="3274" t="s">
        <v>2543</v>
      </c>
      <c r="H5" s="3204"/>
      <c r="I5" s="3274" t="s">
        <v>2544</v>
      </c>
      <c r="J5" s="3204"/>
      <c r="K5" s="610"/>
      <c r="L5" s="1133"/>
      <c r="M5" s="1134"/>
      <c r="N5" s="1134"/>
      <c r="O5" s="1134"/>
      <c r="P5" s="3218"/>
      <c r="Q5" s="3219"/>
      <c r="R5" s="3199"/>
      <c r="S5" s="3200"/>
      <c r="T5" s="3199"/>
      <c r="U5" s="3200"/>
      <c r="V5" s="3224"/>
      <c r="W5" s="3224"/>
      <c r="X5" s="1817"/>
      <c r="Y5" s="3199"/>
      <c r="Z5" s="3200"/>
      <c r="AA5" s="3193"/>
      <c r="AB5" s="3193"/>
      <c r="AC5" s="3193"/>
    </row>
    <row r="6" spans="1:29" ht="15.75" thickBot="1">
      <c r="A6" s="406"/>
      <c r="B6" s="407"/>
      <c r="C6" s="3237" t="s">
        <v>2545</v>
      </c>
      <c r="D6" s="3206"/>
      <c r="E6" s="3275" t="s">
        <v>2545</v>
      </c>
      <c r="F6" s="3209"/>
      <c r="G6" s="3237" t="s">
        <v>2545</v>
      </c>
      <c r="H6" s="3206"/>
      <c r="I6" s="3237" t="s">
        <v>2545</v>
      </c>
      <c r="J6" s="3206"/>
      <c r="K6" s="610" t="s">
        <v>2546</v>
      </c>
      <c r="L6" s="1133"/>
      <c r="M6" s="1134"/>
      <c r="N6" s="1134"/>
      <c r="O6" s="1134"/>
      <c r="P6" s="3220"/>
      <c r="Q6" s="3221"/>
      <c r="R6" s="3199"/>
      <c r="S6" s="3200"/>
      <c r="T6" s="3222"/>
      <c r="U6" s="3223"/>
      <c r="V6" s="3224"/>
      <c r="W6" s="3224"/>
      <c r="X6" s="1817"/>
      <c r="Y6" s="3222"/>
      <c r="Z6" s="3223"/>
      <c r="AA6" s="3194"/>
      <c r="AB6" s="3194"/>
      <c r="AC6" s="3194"/>
    </row>
    <row r="7" spans="1:29" s="116" customFormat="1" ht="15.75" thickBot="1">
      <c r="A7" s="408" t="s">
        <v>2547</v>
      </c>
      <c r="B7" s="409"/>
      <c r="C7" s="410">
        <f>'数据-取费表'!B2</f>
        <v>43049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5" t="s">
        <v>2548</v>
      </c>
      <c r="Q7" s="3225"/>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6"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36" si="3">D8/F8</f>
        <v>#DIV/0!</v>
      </c>
      <c r="AB8" s="773" t="e">
        <f t="shared" ref="AB8:AB36" si="4">D8/H8</f>
        <v>#DIV/0!</v>
      </c>
      <c r="AC8" s="773" t="e">
        <f t="shared" ref="AC8:AC36" si="5">D8/J8</f>
        <v>#DIV/0!</v>
      </c>
    </row>
    <row r="9" spans="1:29" s="116" customFormat="1">
      <c r="A9" s="68" t="s">
        <v>2552</v>
      </c>
      <c r="B9" s="640" t="s">
        <v>2553</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11" t="s">
        <v>2554</v>
      </c>
      <c r="Q9" s="1799" t="str">
        <f t="shared" ref="Q9:Q14" si="6">B9</f>
        <v>用途</v>
      </c>
      <c r="R9" s="770" t="s">
        <v>17</v>
      </c>
      <c r="S9" s="771">
        <f t="shared" si="0"/>
        <v>100</v>
      </c>
      <c r="T9" s="770" t="s">
        <v>17</v>
      </c>
      <c r="U9" s="771">
        <f t="shared" si="1"/>
        <v>100</v>
      </c>
      <c r="V9" s="770" t="s">
        <v>17</v>
      </c>
      <c r="W9" s="771">
        <f t="shared" si="2"/>
        <v>100</v>
      </c>
      <c r="X9" s="772"/>
      <c r="Y9" s="3069" t="s">
        <v>2555</v>
      </c>
      <c r="Z9" s="55" t="str">
        <f t="shared" ref="Z9:Z14" si="7">Q9</f>
        <v>用途</v>
      </c>
      <c r="AA9" s="773">
        <f t="shared" si="3"/>
        <v>1</v>
      </c>
      <c r="AB9" s="773">
        <f t="shared" si="4"/>
        <v>1</v>
      </c>
      <c r="AC9" s="773">
        <f t="shared" si="5"/>
        <v>1</v>
      </c>
    </row>
    <row r="10" spans="1:29" s="427" customFormat="1" ht="27">
      <c r="A10" s="641"/>
      <c r="B10" s="642" t="s">
        <v>2556</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11"/>
      <c r="Q10" s="1799"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11"/>
      <c r="Q11" s="1799">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11"/>
      <c r="Q12" s="1799">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11"/>
      <c r="Q13" s="1799">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6" t="s">
        <v>2559</v>
      </c>
      <c r="Q14" s="1814" t="str">
        <f t="shared" si="6"/>
        <v>交通便捷度</v>
      </c>
      <c r="R14" s="774" t="s">
        <v>17</v>
      </c>
      <c r="S14" s="775">
        <f t="shared" si="0"/>
        <v>100</v>
      </c>
      <c r="T14" s="774" t="s">
        <v>17</v>
      </c>
      <c r="U14" s="775">
        <f t="shared" si="1"/>
        <v>100</v>
      </c>
      <c r="V14" s="774" t="s">
        <v>17</v>
      </c>
      <c r="W14" s="775">
        <f t="shared" si="2"/>
        <v>100</v>
      </c>
      <c r="X14" s="1817"/>
      <c r="Y14" s="3226" t="s">
        <v>2559</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27"/>
      <c r="Q15" s="1814"/>
      <c r="R15" s="774"/>
      <c r="S15" s="775"/>
      <c r="T15" s="774"/>
      <c r="U15" s="775"/>
      <c r="V15" s="774"/>
      <c r="W15" s="775"/>
      <c r="X15" s="1817"/>
      <c r="Y15" s="3227"/>
      <c r="Z15" s="1818"/>
      <c r="AA15" s="1815">
        <v>1</v>
      </c>
      <c r="AB15" s="1815">
        <v>1</v>
      </c>
      <c r="AC15" s="1815">
        <v>1</v>
      </c>
    </row>
    <row r="16" spans="1:29" ht="42.75">
      <c r="A16" s="404"/>
      <c r="B16" s="631" t="s">
        <v>2687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7"/>
      <c r="Q16" s="1814" t="str">
        <f>B16</f>
        <v>公共配套设施</v>
      </c>
      <c r="R16" s="774" t="s">
        <v>17</v>
      </c>
      <c r="S16" s="775">
        <f>F16</f>
        <v>100</v>
      </c>
      <c r="T16" s="774" t="s">
        <v>17</v>
      </c>
      <c r="U16" s="775">
        <f>H16</f>
        <v>100</v>
      </c>
      <c r="V16" s="774" t="s">
        <v>17</v>
      </c>
      <c r="W16" s="775">
        <f>J16</f>
        <v>100</v>
      </c>
      <c r="X16" s="1817"/>
      <c r="Y16" s="3227"/>
      <c r="Z16" s="1818" t="str">
        <f>Q16</f>
        <v>公共配套设施</v>
      </c>
      <c r="AA16" s="1815">
        <f t="shared" si="3"/>
        <v>1</v>
      </c>
      <c r="AB16" s="1815">
        <f t="shared" si="4"/>
        <v>1</v>
      </c>
      <c r="AC16" s="1815">
        <f t="shared" si="5"/>
        <v>1</v>
      </c>
    </row>
    <row r="17" spans="1:29" ht="15">
      <c r="A17" s="404"/>
      <c r="B17" s="632"/>
      <c r="C17" s="2608"/>
      <c r="D17" s="448"/>
      <c r="E17" s="447"/>
      <c r="F17" s="449"/>
      <c r="G17" s="447"/>
      <c r="H17" s="448"/>
      <c r="I17" s="447"/>
      <c r="J17" s="448"/>
      <c r="K17" s="615"/>
      <c r="L17" s="1143"/>
      <c r="M17" s="1134"/>
      <c r="N17" s="1134"/>
      <c r="O17" s="1134"/>
      <c r="P17" s="3227"/>
      <c r="Q17" s="1814"/>
      <c r="R17" s="774"/>
      <c r="S17" s="775"/>
      <c r="T17" s="774"/>
      <c r="U17" s="775"/>
      <c r="V17" s="774"/>
      <c r="W17" s="775"/>
      <c r="X17" s="1817"/>
      <c r="Y17" s="3227"/>
      <c r="Z17" s="1818"/>
      <c r="AA17" s="1815">
        <v>1</v>
      </c>
      <c r="AB17" s="1815">
        <v>1</v>
      </c>
      <c r="AC17" s="1815">
        <v>1</v>
      </c>
    </row>
    <row r="18" spans="1:29" ht="28.5">
      <c r="A18" s="404"/>
      <c r="B18" s="633" t="s">
        <v>2688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7"/>
      <c r="Q18" s="1814" t="str">
        <f>B18</f>
        <v>基础设施水平</v>
      </c>
      <c r="R18" s="774" t="s">
        <v>17</v>
      </c>
      <c r="S18" s="775">
        <f>F18</f>
        <v>100</v>
      </c>
      <c r="T18" s="774" t="s">
        <v>17</v>
      </c>
      <c r="U18" s="775">
        <f>H18</f>
        <v>100</v>
      </c>
      <c r="V18" s="774" t="s">
        <v>17</v>
      </c>
      <c r="W18" s="775">
        <f>J18</f>
        <v>100</v>
      </c>
      <c r="X18" s="1817"/>
      <c r="Y18" s="3227"/>
      <c r="Z18" s="1818" t="str">
        <f>Q18</f>
        <v>基础设施水平</v>
      </c>
      <c r="AA18" s="1815">
        <f t="shared" ref="AA18" si="8">D18/F18</f>
        <v>1</v>
      </c>
      <c r="AB18" s="1815">
        <f t="shared" ref="AB18" si="9">D18/H18</f>
        <v>1</v>
      </c>
      <c r="AC18" s="1815">
        <f t="shared" ref="AC18" si="10">D18/J18</f>
        <v>1</v>
      </c>
    </row>
    <row r="19" spans="1:29" ht="15">
      <c r="A19" s="404"/>
      <c r="B19" s="633"/>
      <c r="C19" s="2608"/>
      <c r="D19" s="450"/>
      <c r="E19" s="2608"/>
      <c r="F19" s="453"/>
      <c r="G19" s="2608"/>
      <c r="H19" s="448"/>
      <c r="I19" s="447"/>
      <c r="J19" s="448"/>
      <c r="K19" s="1386"/>
      <c r="L19" s="1143"/>
      <c r="M19" s="1134"/>
      <c r="N19" s="1134"/>
      <c r="O19" s="1134"/>
      <c r="P19" s="3227"/>
      <c r="Q19" s="1814"/>
      <c r="R19" s="774"/>
      <c r="S19" s="775"/>
      <c r="T19" s="774"/>
      <c r="U19" s="775"/>
      <c r="V19" s="774"/>
      <c r="W19" s="775"/>
      <c r="X19" s="1817"/>
      <c r="Y19" s="3227"/>
      <c r="Z19" s="1818"/>
      <c r="AA19" s="1815">
        <v>1</v>
      </c>
      <c r="AB19" s="1815">
        <v>1</v>
      </c>
      <c r="AC19" s="1815">
        <v>1</v>
      </c>
    </row>
    <row r="20" spans="1:29" ht="57">
      <c r="A20" s="404"/>
      <c r="B20" s="631" t="s">
        <v>2709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7"/>
      <c r="Q20" s="1814" t="str">
        <f>B20</f>
        <v>自然及人文环境</v>
      </c>
      <c r="R20" s="774" t="s">
        <v>17</v>
      </c>
      <c r="S20" s="775">
        <f>F20</f>
        <v>100</v>
      </c>
      <c r="T20" s="774" t="s">
        <v>17</v>
      </c>
      <c r="U20" s="775">
        <f>H20</f>
        <v>100</v>
      </c>
      <c r="V20" s="774" t="s">
        <v>17</v>
      </c>
      <c r="W20" s="775">
        <f>J20</f>
        <v>100</v>
      </c>
      <c r="X20" s="1817"/>
      <c r="Y20" s="322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27"/>
      <c r="Q21" s="1814"/>
      <c r="R21" s="774"/>
      <c r="S21" s="775"/>
      <c r="T21" s="774"/>
      <c r="U21" s="775"/>
      <c r="V21" s="774"/>
      <c r="W21" s="775"/>
      <c r="X21" s="1817"/>
      <c r="Y21" s="3227"/>
      <c r="Z21" s="1818"/>
      <c r="AA21" s="1815">
        <v>1</v>
      </c>
      <c r="AB21" s="1815">
        <v>1</v>
      </c>
      <c r="AC21" s="1815">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7"/>
      <c r="Q22" s="1814" t="str">
        <f>B22</f>
        <v>楼层</v>
      </c>
      <c r="R22" s="774" t="s">
        <v>17</v>
      </c>
      <c r="S22" s="775">
        <f>F22</f>
        <v>100</v>
      </c>
      <c r="T22" s="774" t="s">
        <v>17</v>
      </c>
      <c r="U22" s="775">
        <f>H22</f>
        <v>100</v>
      </c>
      <c r="V22" s="774" t="s">
        <v>17</v>
      </c>
      <c r="W22" s="775">
        <f>J22</f>
        <v>100</v>
      </c>
      <c r="X22" s="1817"/>
      <c r="Y22" s="322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7"/>
      <c r="Q23" s="1814">
        <f>B23</f>
        <v>111</v>
      </c>
      <c r="R23" s="774" t="s">
        <v>17</v>
      </c>
      <c r="S23" s="775">
        <f>F23</f>
        <v>100</v>
      </c>
      <c r="T23" s="774" t="s">
        <v>17</v>
      </c>
      <c r="U23" s="775">
        <f>H23</f>
        <v>100</v>
      </c>
      <c r="V23" s="774" t="s">
        <v>17</v>
      </c>
      <c r="W23" s="775">
        <f>J23</f>
        <v>100</v>
      </c>
      <c r="X23" s="1817"/>
      <c r="Y23" s="322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7"/>
      <c r="Q24" s="1814">
        <f t="shared" ref="Q24:Q36" si="11">B24</f>
        <v>111</v>
      </c>
      <c r="R24" s="774" t="s">
        <v>17</v>
      </c>
      <c r="S24" s="775">
        <f>F24</f>
        <v>100</v>
      </c>
      <c r="T24" s="774" t="s">
        <v>17</v>
      </c>
      <c r="U24" s="775">
        <f>H24</f>
        <v>100</v>
      </c>
      <c r="V24" s="774" t="s">
        <v>17</v>
      </c>
      <c r="W24" s="775">
        <f>J24</f>
        <v>100</v>
      </c>
      <c r="X24" s="1817"/>
      <c r="Y24" s="3227"/>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7"/>
      <c r="Q25" s="1799">
        <f t="shared" si="11"/>
        <v>111</v>
      </c>
      <c r="R25" s="770" t="s">
        <v>17</v>
      </c>
      <c r="S25" s="771">
        <f>F25</f>
        <v>100</v>
      </c>
      <c r="T25" s="770" t="s">
        <v>17</v>
      </c>
      <c r="U25" s="771">
        <f>H25</f>
        <v>100</v>
      </c>
      <c r="V25" s="770" t="s">
        <v>17</v>
      </c>
      <c r="W25" s="771">
        <f>J25</f>
        <v>100</v>
      </c>
      <c r="X25" s="772"/>
      <c r="Y25" s="3227"/>
      <c r="Z25" s="55">
        <f>Q25</f>
        <v>111</v>
      </c>
      <c r="AA25" s="1815">
        <f>D25/F25</f>
        <v>1</v>
      </c>
      <c r="AB25" s="1815">
        <f>D25/H25</f>
        <v>1</v>
      </c>
      <c r="AC25" s="1815">
        <f>D25/J25</f>
        <v>1</v>
      </c>
    </row>
    <row r="26" spans="1:29" ht="1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8" t="s">
        <v>2564</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29" t="s">
        <v>2564</v>
      </c>
      <c r="Z26" s="1818" t="str">
        <f t="shared" ref="Z26:Z36" si="15">Q26</f>
        <v>配套类型</v>
      </c>
      <c r="AA26" s="1815">
        <f t="shared" si="3"/>
        <v>1</v>
      </c>
      <c r="AB26" s="1815">
        <f t="shared" si="4"/>
        <v>1</v>
      </c>
      <c r="AC26" s="1815">
        <f t="shared" si="5"/>
        <v>1</v>
      </c>
    </row>
    <row r="27" spans="1:29" s="471" customFormat="1" ht="15">
      <c r="A27" s="653"/>
      <c r="B27" s="654" t="s">
        <v>2712</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5">
        <f t="shared" si="3"/>
        <v>1</v>
      </c>
      <c r="AB27" s="1815">
        <f t="shared" si="4"/>
        <v>1</v>
      </c>
      <c r="AC27" s="1815">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14" t="str">
        <f t="shared" si="11"/>
        <v>公共部分装修</v>
      </c>
      <c r="R28" s="774" t="s">
        <v>17</v>
      </c>
      <c r="S28" s="775">
        <f t="shared" si="12"/>
        <v>100</v>
      </c>
      <c r="T28" s="774" t="s">
        <v>17</v>
      </c>
      <c r="U28" s="775">
        <f t="shared" si="13"/>
        <v>100</v>
      </c>
      <c r="V28" s="774" t="s">
        <v>17</v>
      </c>
      <c r="W28" s="775">
        <f t="shared" si="14"/>
        <v>100</v>
      </c>
      <c r="X28" s="1817"/>
      <c r="Y28" s="3229"/>
      <c r="Z28" s="1818" t="str">
        <f t="shared" si="15"/>
        <v>公共部分装修</v>
      </c>
      <c r="AA28" s="1815">
        <f t="shared" si="3"/>
        <v>1</v>
      </c>
      <c r="AB28" s="1815">
        <f t="shared" si="4"/>
        <v>1</v>
      </c>
      <c r="AC28" s="1815">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14" t="str">
        <f t="shared" si="11"/>
        <v>成新率</v>
      </c>
      <c r="R29" s="774" t="s">
        <v>17</v>
      </c>
      <c r="S29" s="775" t="e">
        <f t="shared" si="12"/>
        <v>#N/A</v>
      </c>
      <c r="T29" s="774" t="s">
        <v>17</v>
      </c>
      <c r="U29" s="775" t="e">
        <f t="shared" si="13"/>
        <v>#N/A</v>
      </c>
      <c r="V29" s="774" t="s">
        <v>17</v>
      </c>
      <c r="W29" s="775" t="e">
        <f t="shared" si="14"/>
        <v>#N/A</v>
      </c>
      <c r="X29" s="1817"/>
      <c r="Y29" s="3229"/>
      <c r="Z29" s="1818" t="str">
        <f t="shared" si="15"/>
        <v>成新率</v>
      </c>
      <c r="AA29" s="1815" t="e">
        <f t="shared" si="3"/>
        <v>#N/A</v>
      </c>
      <c r="AB29" s="1815" t="e">
        <f t="shared" si="4"/>
        <v>#N/A</v>
      </c>
      <c r="AC29" s="1815"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14" t="str">
        <f t="shared" si="11"/>
        <v>物业等级</v>
      </c>
      <c r="R30" s="774" t="s">
        <v>17</v>
      </c>
      <c r="S30" s="775">
        <f t="shared" si="12"/>
        <v>100</v>
      </c>
      <c r="T30" s="774" t="s">
        <v>17</v>
      </c>
      <c r="U30" s="775">
        <f t="shared" si="13"/>
        <v>100</v>
      </c>
      <c r="V30" s="774" t="s">
        <v>17</v>
      </c>
      <c r="W30" s="775">
        <f t="shared" si="14"/>
        <v>100</v>
      </c>
      <c r="X30" s="1817"/>
      <c r="Y30" s="3229"/>
      <c r="Z30" s="1818" t="str">
        <f t="shared" si="15"/>
        <v>物业等级</v>
      </c>
      <c r="AA30" s="1815">
        <f t="shared" si="3"/>
        <v>1</v>
      </c>
      <c r="AB30" s="1815">
        <f t="shared" si="4"/>
        <v>1</v>
      </c>
      <c r="AC30" s="1815">
        <f t="shared" si="5"/>
        <v>1</v>
      </c>
    </row>
    <row r="31" spans="1:29" s="116" customFormat="1" ht="15">
      <c r="A31" s="658"/>
      <c r="B31" s="654" t="s">
        <v>2716</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9"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2564</v>
      </c>
      <c r="Q32" s="1814" t="str">
        <f t="shared" si="11"/>
        <v>车位类型</v>
      </c>
      <c r="R32" s="774" t="s">
        <v>17</v>
      </c>
      <c r="S32" s="775">
        <f t="shared" si="12"/>
        <v>100</v>
      </c>
      <c r="T32" s="774" t="s">
        <v>17</v>
      </c>
      <c r="U32" s="775">
        <f t="shared" si="13"/>
        <v>100</v>
      </c>
      <c r="V32" s="774" t="s">
        <v>17</v>
      </c>
      <c r="W32" s="775">
        <f t="shared" si="14"/>
        <v>100</v>
      </c>
      <c r="X32" s="1817"/>
      <c r="Y32" s="3229" t="s">
        <v>2564</v>
      </c>
      <c r="Z32" s="1818" t="str">
        <f t="shared" si="15"/>
        <v>车位类型</v>
      </c>
      <c r="AA32" s="1815">
        <f t="shared" si="3"/>
        <v>1</v>
      </c>
      <c r="AB32" s="1815">
        <f t="shared" si="4"/>
        <v>1</v>
      </c>
      <c r="AC32" s="1815">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14" t="str">
        <f t="shared" si="11"/>
        <v>是否直接入户</v>
      </c>
      <c r="R33" s="774" t="s">
        <v>17</v>
      </c>
      <c r="S33" s="775">
        <f t="shared" si="12"/>
        <v>100</v>
      </c>
      <c r="T33" s="774" t="s">
        <v>17</v>
      </c>
      <c r="U33" s="775">
        <f t="shared" si="13"/>
        <v>100</v>
      </c>
      <c r="V33" s="774" t="s">
        <v>17</v>
      </c>
      <c r="W33" s="775">
        <f t="shared" si="14"/>
        <v>100</v>
      </c>
      <c r="X33" s="1817"/>
      <c r="Y33" s="3229"/>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4">
        <f t="shared" si="11"/>
        <v>111</v>
      </c>
      <c r="R34" s="774" t="s">
        <v>17</v>
      </c>
      <c r="S34" s="775">
        <f t="shared" si="12"/>
        <v>100</v>
      </c>
      <c r="T34" s="774" t="s">
        <v>17</v>
      </c>
      <c r="U34" s="775">
        <f t="shared" si="13"/>
        <v>100</v>
      </c>
      <c r="V34" s="774" t="s">
        <v>17</v>
      </c>
      <c r="W34" s="775">
        <f t="shared" si="14"/>
        <v>100</v>
      </c>
      <c r="X34" s="1817"/>
      <c r="Y34" s="3229"/>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4">
        <f t="shared" si="11"/>
        <v>111</v>
      </c>
      <c r="R36" s="774" t="s">
        <v>17</v>
      </c>
      <c r="S36" s="775">
        <f t="shared" si="12"/>
        <v>100</v>
      </c>
      <c r="T36" s="774" t="s">
        <v>17</v>
      </c>
      <c r="U36" s="775">
        <f t="shared" si="13"/>
        <v>100</v>
      </c>
      <c r="V36" s="774" t="s">
        <v>17</v>
      </c>
      <c r="W36" s="775">
        <f t="shared" si="14"/>
        <v>100</v>
      </c>
      <c r="X36" s="1817"/>
      <c r="Y36" s="3229"/>
      <c r="Z36" s="1818">
        <f t="shared" si="15"/>
        <v>111</v>
      </c>
      <c r="AA36" s="1815">
        <f t="shared" si="3"/>
        <v>1</v>
      </c>
      <c r="AB36" s="1815">
        <f t="shared" si="4"/>
        <v>1</v>
      </c>
      <c r="AC36" s="1815">
        <f t="shared" si="5"/>
        <v>1</v>
      </c>
    </row>
    <row r="37" spans="1:29" ht="15">
      <c r="A37" s="479" t="s">
        <v>2719</v>
      </c>
      <c r="B37" s="2695" t="s">
        <v>2720</v>
      </c>
      <c r="C37" s="1410" t="s">
        <v>1</v>
      </c>
      <c r="D37" s="1411"/>
      <c r="E37" s="1412"/>
      <c r="F37" s="1413"/>
      <c r="G37" s="1414"/>
      <c r="H37" s="1415"/>
      <c r="I37" s="1412"/>
      <c r="J37" s="1415"/>
      <c r="K37" s="619"/>
      <c r="L37" s="1146"/>
      <c r="M37" s="1147"/>
      <c r="N37" s="1134"/>
      <c r="O37" s="1147"/>
      <c r="P37" s="3211" t="str">
        <f>A37</f>
        <v>成交单价</v>
      </c>
      <c r="Q37" s="3211"/>
      <c r="R37" s="3239">
        <f>E37</f>
        <v>0</v>
      </c>
      <c r="S37" s="3239"/>
      <c r="T37" s="3239">
        <f>G37</f>
        <v>0</v>
      </c>
      <c r="U37" s="3239"/>
      <c r="V37" s="3239">
        <f>I37</f>
        <v>0</v>
      </c>
      <c r="W37" s="3239"/>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31" t="str">
        <f>A39</f>
        <v>估价对象XX用房的比较价值（楼面单价，元/平方米）</v>
      </c>
      <c r="Q39" s="3232"/>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34"/>
      <c r="F1" s="2584"/>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IF(C2="——",ROUND(C37*D3/10000,0),ROUND(C37*D3/10000,0)-D2)</f>
        <v>#DIV/0!</v>
      </c>
      <c r="C2" s="2586"/>
      <c r="D2" s="1127" t="e">
        <f ca="1">SUMIF(INDIRECT("'"&amp;F2&amp;"'"&amp;"!A:A"),"承租人权益价值",INDIRECT("'"&amp;F2&amp;"'"&amp;"!c:c"))</f>
        <v>#REF!</v>
      </c>
      <c r="E2" s="2587" t="s">
        <v>2330</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12" t="s">
        <v>2645</v>
      </c>
      <c r="D4" s="3213"/>
      <c r="E4" s="3214" t="s">
        <v>2646</v>
      </c>
      <c r="F4" s="3215"/>
      <c r="G4" s="3212" t="s">
        <v>2647</v>
      </c>
      <c r="H4" s="3213"/>
      <c r="I4" s="3212" t="s">
        <v>2648</v>
      </c>
      <c r="J4" s="3213"/>
      <c r="K4" s="610" t="s">
        <v>2649</v>
      </c>
      <c r="L4" s="1133"/>
      <c r="M4" s="1134"/>
      <c r="N4" s="1134"/>
      <c r="O4" s="1134"/>
      <c r="P4" s="3216" t="s">
        <v>2650</v>
      </c>
      <c r="Q4" s="3217"/>
      <c r="R4" s="3197" t="s">
        <v>2646</v>
      </c>
      <c r="S4" s="3198"/>
      <c r="T4" s="3197" t="s">
        <v>2647</v>
      </c>
      <c r="U4" s="3198"/>
      <c r="V4" s="3224" t="s">
        <v>2648</v>
      </c>
      <c r="W4" s="3224"/>
      <c r="X4" s="1817"/>
      <c r="Y4" s="3197" t="s">
        <v>2650</v>
      </c>
      <c r="Z4" s="3198"/>
      <c r="AA4" s="3192" t="s">
        <v>2646</v>
      </c>
      <c r="AB4" s="3193" t="s">
        <v>2647</v>
      </c>
      <c r="AC4" s="3192" t="s">
        <v>2648</v>
      </c>
    </row>
    <row r="5" spans="1:29" ht="15">
      <c r="A5" s="404"/>
      <c r="B5" s="405"/>
      <c r="C5" s="3274" t="s">
        <v>2541</v>
      </c>
      <c r="D5" s="3204"/>
      <c r="E5" s="3273" t="s">
        <v>2542</v>
      </c>
      <c r="F5" s="3202"/>
      <c r="G5" s="3274" t="s">
        <v>2543</v>
      </c>
      <c r="H5" s="3204"/>
      <c r="I5" s="3274" t="s">
        <v>2544</v>
      </c>
      <c r="J5" s="3204"/>
      <c r="K5" s="610"/>
      <c r="L5" s="1133"/>
      <c r="M5" s="1134"/>
      <c r="N5" s="1134"/>
      <c r="O5" s="1134"/>
      <c r="P5" s="3218"/>
      <c r="Q5" s="3219"/>
      <c r="R5" s="3199"/>
      <c r="S5" s="3200"/>
      <c r="T5" s="3199"/>
      <c r="U5" s="3200"/>
      <c r="V5" s="3224"/>
      <c r="W5" s="3224"/>
      <c r="X5" s="1817"/>
      <c r="Y5" s="3199"/>
      <c r="Z5" s="3200"/>
      <c r="AA5" s="3193"/>
      <c r="AB5" s="3193"/>
      <c r="AC5" s="3193"/>
    </row>
    <row r="6" spans="1:29" ht="15.75" thickBot="1">
      <c r="A6" s="406"/>
      <c r="B6" s="407"/>
      <c r="C6" s="3237" t="s">
        <v>2545</v>
      </c>
      <c r="D6" s="3206"/>
      <c r="E6" s="3275" t="s">
        <v>2545</v>
      </c>
      <c r="F6" s="3209"/>
      <c r="G6" s="3237" t="s">
        <v>2545</v>
      </c>
      <c r="H6" s="3206"/>
      <c r="I6" s="3237" t="s">
        <v>2545</v>
      </c>
      <c r="J6" s="3206"/>
      <c r="K6" s="610" t="s">
        <v>2546</v>
      </c>
      <c r="L6" s="1133"/>
      <c r="M6" s="1134"/>
      <c r="N6" s="1134"/>
      <c r="O6" s="1134"/>
      <c r="P6" s="3220"/>
      <c r="Q6" s="3221"/>
      <c r="R6" s="3199"/>
      <c r="S6" s="3200"/>
      <c r="T6" s="3222"/>
      <c r="U6" s="3223"/>
      <c r="V6" s="3224"/>
      <c r="W6" s="3224"/>
      <c r="X6" s="1817"/>
      <c r="Y6" s="3222"/>
      <c r="Z6" s="3223"/>
      <c r="AA6" s="3194"/>
      <c r="AB6" s="3194"/>
      <c r="AC6" s="3194"/>
    </row>
    <row r="7" spans="1:29" s="116" customFormat="1" ht="15.75" thickBot="1">
      <c r="A7" s="408" t="s">
        <v>2547</v>
      </c>
      <c r="B7" s="409"/>
      <c r="C7" s="410">
        <f>'数据-取费表'!B2</f>
        <v>43049</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5" t="s">
        <v>2548</v>
      </c>
      <c r="Q7" s="3225"/>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6"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34" si="3">D8/F8</f>
        <v>#DIV/0!</v>
      </c>
      <c r="AB8" s="773" t="e">
        <f t="shared" ref="AB8:AB34" si="4">D8/H8</f>
        <v>#DIV/0!</v>
      </c>
      <c r="AC8" s="773" t="e">
        <f t="shared" ref="AC8:AC34" si="5">D8/J8</f>
        <v>#DIV/0!</v>
      </c>
    </row>
    <row r="9" spans="1:29" s="116" customFormat="1">
      <c r="A9" s="415" t="s">
        <v>2552</v>
      </c>
      <c r="B9" s="71" t="s">
        <v>2553</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11" t="s">
        <v>2554</v>
      </c>
      <c r="Q9" s="1799" t="str">
        <f t="shared" ref="Q9:Q14" si="6">B9</f>
        <v>用途</v>
      </c>
      <c r="R9" s="770" t="s">
        <v>17</v>
      </c>
      <c r="S9" s="771">
        <f t="shared" si="0"/>
        <v>100</v>
      </c>
      <c r="T9" s="770" t="s">
        <v>17</v>
      </c>
      <c r="U9" s="771">
        <f t="shared" si="1"/>
        <v>100</v>
      </c>
      <c r="V9" s="770" t="s">
        <v>17</v>
      </c>
      <c r="W9" s="771">
        <f t="shared" si="2"/>
        <v>100</v>
      </c>
      <c r="X9" s="772"/>
      <c r="Y9" s="3069" t="s">
        <v>2555</v>
      </c>
      <c r="Z9" s="55" t="str">
        <f t="shared" ref="Z9:Z14" si="7">Q9</f>
        <v>用途</v>
      </c>
      <c r="AA9" s="773">
        <f t="shared" si="3"/>
        <v>1</v>
      </c>
      <c r="AB9" s="773">
        <f t="shared" si="4"/>
        <v>1</v>
      </c>
      <c r="AC9" s="773">
        <f t="shared" si="5"/>
        <v>1</v>
      </c>
    </row>
    <row r="10" spans="1:29" s="427" customFormat="1" ht="27">
      <c r="A10" s="421"/>
      <c r="B10" s="422" t="s">
        <v>2556</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11"/>
      <c r="Q10" s="1799" t="str">
        <f t="shared" si="6"/>
        <v>土地使用年限（年）</v>
      </c>
      <c r="R10" s="770" t="s">
        <v>17</v>
      </c>
      <c r="S10" s="771">
        <f t="shared" si="0"/>
        <v>100</v>
      </c>
      <c r="T10" s="770" t="s">
        <v>17</v>
      </c>
      <c r="U10" s="771">
        <f t="shared" si="1"/>
        <v>100</v>
      </c>
      <c r="V10" s="770" t="s">
        <v>17</v>
      </c>
      <c r="W10" s="771">
        <f t="shared" si="2"/>
        <v>100</v>
      </c>
      <c r="X10" s="772"/>
      <c r="Y10" s="3069"/>
      <c r="Z10" s="55" t="str">
        <f t="shared" si="7"/>
        <v>土地使用年限（年）</v>
      </c>
      <c r="AA10" s="773">
        <f t="shared" si="3"/>
        <v>1</v>
      </c>
      <c r="AB10" s="773">
        <f t="shared" si="4"/>
        <v>1</v>
      </c>
      <c r="AC10" s="773">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11"/>
      <c r="Q11" s="1799">
        <f t="shared" si="6"/>
        <v>111</v>
      </c>
      <c r="R11" s="770" t="s">
        <v>17</v>
      </c>
      <c r="S11" s="771">
        <f t="shared" si="0"/>
        <v>100</v>
      </c>
      <c r="T11" s="770" t="s">
        <v>17</v>
      </c>
      <c r="U11" s="771">
        <f t="shared" si="1"/>
        <v>100</v>
      </c>
      <c r="V11" s="770" t="s">
        <v>17</v>
      </c>
      <c r="W11" s="771">
        <f t="shared" si="2"/>
        <v>100</v>
      </c>
      <c r="X11" s="772"/>
      <c r="Y11" s="3069"/>
      <c r="Z11" s="55">
        <f t="shared" si="7"/>
        <v>111</v>
      </c>
      <c r="AA11" s="773">
        <f t="shared" si="3"/>
        <v>1</v>
      </c>
      <c r="AB11" s="773">
        <f t="shared" si="4"/>
        <v>1</v>
      </c>
      <c r="AC11" s="773">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11"/>
      <c r="Q12" s="1799">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11"/>
      <c r="Q13" s="1799">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6" t="s">
        <v>2559</v>
      </c>
      <c r="Q14" s="1814" t="str">
        <f t="shared" si="6"/>
        <v>交通便捷度</v>
      </c>
      <c r="R14" s="774" t="s">
        <v>17</v>
      </c>
      <c r="S14" s="775">
        <f t="shared" si="0"/>
        <v>100</v>
      </c>
      <c r="T14" s="774" t="s">
        <v>17</v>
      </c>
      <c r="U14" s="775">
        <f t="shared" si="1"/>
        <v>100</v>
      </c>
      <c r="V14" s="774" t="s">
        <v>17</v>
      </c>
      <c r="W14" s="775">
        <f t="shared" si="2"/>
        <v>100</v>
      </c>
      <c r="X14" s="1817"/>
      <c r="Y14" s="3226" t="s">
        <v>2559</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27"/>
      <c r="Q15" s="1814"/>
      <c r="R15" s="774"/>
      <c r="S15" s="775"/>
      <c r="T15" s="774"/>
      <c r="U15" s="775"/>
      <c r="V15" s="774"/>
      <c r="W15" s="775"/>
      <c r="X15" s="1817"/>
      <c r="Y15" s="3227"/>
      <c r="Z15" s="1818"/>
      <c r="AA15" s="1815">
        <v>1</v>
      </c>
      <c r="AB15" s="1815">
        <v>1</v>
      </c>
      <c r="AC15" s="1815">
        <v>1</v>
      </c>
    </row>
    <row r="16" spans="1:29" ht="42.75">
      <c r="A16" s="428"/>
      <c r="B16" s="451" t="s">
        <v>2687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7"/>
      <c r="Q16" s="1814" t="str">
        <f>B16</f>
        <v>公共配套设施</v>
      </c>
      <c r="R16" s="774" t="s">
        <v>17</v>
      </c>
      <c r="S16" s="775">
        <f>F16</f>
        <v>100</v>
      </c>
      <c r="T16" s="774" t="s">
        <v>17</v>
      </c>
      <c r="U16" s="775">
        <f>H16</f>
        <v>100</v>
      </c>
      <c r="V16" s="774" t="s">
        <v>17</v>
      </c>
      <c r="W16" s="775">
        <f>J16</f>
        <v>100</v>
      </c>
      <c r="X16" s="1817"/>
      <c r="Y16" s="3227"/>
      <c r="Z16" s="1818" t="str">
        <f>Q16</f>
        <v>公共配套设施</v>
      </c>
      <c r="AA16" s="1815">
        <f t="shared" si="3"/>
        <v>1</v>
      </c>
      <c r="AB16" s="1815">
        <f t="shared" si="4"/>
        <v>1</v>
      </c>
      <c r="AC16" s="1815">
        <f t="shared" si="5"/>
        <v>1</v>
      </c>
    </row>
    <row r="17" spans="1:29" ht="15">
      <c r="A17" s="428"/>
      <c r="B17" s="456"/>
      <c r="C17" s="2608"/>
      <c r="D17" s="448"/>
      <c r="E17" s="447"/>
      <c r="F17" s="449"/>
      <c r="G17" s="447"/>
      <c r="H17" s="448"/>
      <c r="I17" s="447"/>
      <c r="J17" s="448"/>
      <c r="K17" s="615"/>
      <c r="L17" s="1143"/>
      <c r="M17" s="1134"/>
      <c r="N17" s="1134"/>
      <c r="O17" s="1142"/>
      <c r="P17" s="3227"/>
      <c r="Q17" s="1814"/>
      <c r="R17" s="774"/>
      <c r="S17" s="775"/>
      <c r="T17" s="774"/>
      <c r="U17" s="775"/>
      <c r="V17" s="774"/>
      <c r="W17" s="775"/>
      <c r="X17" s="1817"/>
      <c r="Y17" s="3227"/>
      <c r="Z17" s="1818"/>
      <c r="AA17" s="1815">
        <v>1</v>
      </c>
      <c r="AB17" s="1815">
        <v>1</v>
      </c>
      <c r="AC17" s="1815">
        <v>1</v>
      </c>
    </row>
    <row r="18" spans="1:29" ht="28.5">
      <c r="A18" s="428"/>
      <c r="B18" s="1387" t="s">
        <v>2688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7"/>
      <c r="Q18" s="1814" t="str">
        <f>B18</f>
        <v>基础设施水平</v>
      </c>
      <c r="R18" s="774" t="s">
        <v>17</v>
      </c>
      <c r="S18" s="775">
        <f>F18</f>
        <v>100</v>
      </c>
      <c r="T18" s="774" t="s">
        <v>17</v>
      </c>
      <c r="U18" s="775">
        <f>H18</f>
        <v>100</v>
      </c>
      <c r="V18" s="774" t="s">
        <v>17</v>
      </c>
      <c r="W18" s="775">
        <f>J18</f>
        <v>100</v>
      </c>
      <c r="X18" s="1817"/>
      <c r="Y18" s="3227"/>
      <c r="Z18" s="1818" t="str">
        <f>Q18</f>
        <v>基础设施水平</v>
      </c>
      <c r="AA18" s="1815">
        <f t="shared" ref="AA18" si="8">D18/F18</f>
        <v>1</v>
      </c>
      <c r="AB18" s="1815">
        <f t="shared" ref="AB18" si="9">D18/H18</f>
        <v>1</v>
      </c>
      <c r="AC18" s="1815">
        <f t="shared" ref="AC18" si="10">D18/J18</f>
        <v>1</v>
      </c>
    </row>
    <row r="19" spans="1:29" ht="15">
      <c r="A19" s="428"/>
      <c r="B19" s="1387"/>
      <c r="C19" s="2608"/>
      <c r="D19" s="450"/>
      <c r="E19" s="2608"/>
      <c r="F19" s="453"/>
      <c r="G19" s="2608"/>
      <c r="H19" s="448"/>
      <c r="I19" s="447"/>
      <c r="J19" s="448"/>
      <c r="K19" s="1386"/>
      <c r="L19" s="1143"/>
      <c r="M19" s="1134"/>
      <c r="N19" s="1134"/>
      <c r="O19" s="1142"/>
      <c r="P19" s="3227"/>
      <c r="Q19" s="1814"/>
      <c r="R19" s="774"/>
      <c r="S19" s="775"/>
      <c r="T19" s="774"/>
      <c r="U19" s="775"/>
      <c r="V19" s="774"/>
      <c r="W19" s="775"/>
      <c r="X19" s="1817"/>
      <c r="Y19" s="3227"/>
      <c r="Z19" s="1818"/>
      <c r="AA19" s="1815">
        <v>1</v>
      </c>
      <c r="AB19" s="1815">
        <v>1</v>
      </c>
      <c r="AC19" s="1815">
        <v>1</v>
      </c>
    </row>
    <row r="20" spans="1:29" ht="57">
      <c r="A20" s="428"/>
      <c r="B20" s="451" t="s">
        <v>2709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7"/>
      <c r="Q20" s="1814" t="str">
        <f>B20</f>
        <v>自然及人文环境</v>
      </c>
      <c r="R20" s="774" t="s">
        <v>17</v>
      </c>
      <c r="S20" s="775">
        <f>F20</f>
        <v>100</v>
      </c>
      <c r="T20" s="774" t="s">
        <v>17</v>
      </c>
      <c r="U20" s="775">
        <f>H20</f>
        <v>100</v>
      </c>
      <c r="V20" s="774" t="s">
        <v>17</v>
      </c>
      <c r="W20" s="775">
        <f>J20</f>
        <v>100</v>
      </c>
      <c r="X20" s="1817"/>
      <c r="Y20" s="322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27"/>
      <c r="Q21" s="1814"/>
      <c r="R21" s="774"/>
      <c r="S21" s="775"/>
      <c r="T21" s="774"/>
      <c r="U21" s="775"/>
      <c r="V21" s="774"/>
      <c r="W21" s="775"/>
      <c r="X21" s="1817"/>
      <c r="Y21" s="3227"/>
      <c r="Z21" s="1818"/>
      <c r="AA21" s="1815">
        <v>1</v>
      </c>
      <c r="AB21" s="1815">
        <v>1</v>
      </c>
      <c r="AC21" s="1815">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7"/>
      <c r="Q22" s="1814" t="str">
        <f>B22</f>
        <v>楼层</v>
      </c>
      <c r="R22" s="774" t="s">
        <v>17</v>
      </c>
      <c r="S22" s="775">
        <f>F22</f>
        <v>100</v>
      </c>
      <c r="T22" s="774" t="s">
        <v>17</v>
      </c>
      <c r="U22" s="775">
        <f>H22</f>
        <v>100</v>
      </c>
      <c r="V22" s="774" t="s">
        <v>17</v>
      </c>
      <c r="W22" s="775">
        <f>J22</f>
        <v>100</v>
      </c>
      <c r="X22" s="1817"/>
      <c r="Y22" s="3227"/>
      <c r="Z22" s="1818" t="str">
        <f>Q22</f>
        <v>楼层</v>
      </c>
      <c r="AA22" s="1815">
        <f t="shared" si="3"/>
        <v>1</v>
      </c>
      <c r="AB22" s="1815">
        <f t="shared" si="4"/>
        <v>1</v>
      </c>
      <c r="AC22" s="1815">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7"/>
      <c r="Q23" s="1814">
        <f>B23</f>
        <v>111</v>
      </c>
      <c r="R23" s="774" t="s">
        <v>17</v>
      </c>
      <c r="S23" s="775">
        <f>F23</f>
        <v>100</v>
      </c>
      <c r="T23" s="774" t="s">
        <v>17</v>
      </c>
      <c r="U23" s="775">
        <f>H23</f>
        <v>100</v>
      </c>
      <c r="V23" s="774" t="s">
        <v>17</v>
      </c>
      <c r="W23" s="775">
        <f>J23</f>
        <v>100</v>
      </c>
      <c r="X23" s="1817"/>
      <c r="Y23" s="3227"/>
      <c r="Z23" s="1818">
        <f>Q23</f>
        <v>111</v>
      </c>
      <c r="AA23" s="1815">
        <f t="shared" si="3"/>
        <v>1</v>
      </c>
      <c r="AB23" s="1815">
        <f t="shared" si="4"/>
        <v>1</v>
      </c>
      <c r="AC23" s="1815">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7"/>
      <c r="Q24" s="1814">
        <f t="shared" ref="Q24:Q34" si="11">B24</f>
        <v>111</v>
      </c>
      <c r="R24" s="774" t="s">
        <v>17</v>
      </c>
      <c r="S24" s="775">
        <f>F24</f>
        <v>100</v>
      </c>
      <c r="T24" s="774" t="s">
        <v>17</v>
      </c>
      <c r="U24" s="775">
        <f>H24</f>
        <v>100</v>
      </c>
      <c r="V24" s="774" t="s">
        <v>17</v>
      </c>
      <c r="W24" s="775">
        <f>J24</f>
        <v>100</v>
      </c>
      <c r="X24" s="1817"/>
      <c r="Y24" s="3227"/>
      <c r="Z24" s="1818">
        <f>Q24</f>
        <v>111</v>
      </c>
      <c r="AA24" s="1815">
        <f t="shared" si="3"/>
        <v>1</v>
      </c>
      <c r="AB24" s="1815">
        <f t="shared" si="4"/>
        <v>1</v>
      </c>
      <c r="AC24" s="1815">
        <f t="shared" si="5"/>
        <v>1</v>
      </c>
    </row>
    <row r="25" spans="1:29" s="116"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27"/>
      <c r="Q25" s="1799">
        <f t="shared" si="11"/>
        <v>111</v>
      </c>
      <c r="R25" s="770" t="s">
        <v>17</v>
      </c>
      <c r="S25" s="771">
        <f>F25</f>
        <v>100</v>
      </c>
      <c r="T25" s="770" t="s">
        <v>17</v>
      </c>
      <c r="U25" s="771">
        <f>H25</f>
        <v>100</v>
      </c>
      <c r="V25" s="770" t="s">
        <v>17</v>
      </c>
      <c r="W25" s="771">
        <f>J25</f>
        <v>100</v>
      </c>
      <c r="X25" s="772"/>
      <c r="Y25" s="3227"/>
      <c r="Z25" s="55">
        <f>Q25</f>
        <v>111</v>
      </c>
      <c r="AA25" s="1815">
        <f>D25/F25</f>
        <v>1</v>
      </c>
      <c r="AB25" s="1815">
        <f>D25/H25</f>
        <v>1</v>
      </c>
      <c r="AC25" s="1815">
        <f>D25/J25</f>
        <v>1</v>
      </c>
    </row>
    <row r="26" spans="1:29" ht="1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28" t="s">
        <v>2564</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29" t="s">
        <v>2564</v>
      </c>
      <c r="Z26" s="1818" t="str">
        <f t="shared" ref="Z26:Z34" si="15">Q26</f>
        <v>公共部分装修</v>
      </c>
      <c r="AA26" s="1815">
        <f t="shared" si="3"/>
        <v>1</v>
      </c>
      <c r="AB26" s="1815">
        <f t="shared" si="4"/>
        <v>1</v>
      </c>
      <c r="AC26" s="1815">
        <f t="shared" si="5"/>
        <v>1</v>
      </c>
    </row>
    <row r="27" spans="1:29" s="471" customFormat="1" ht="15">
      <c r="A27" s="468"/>
      <c r="B27" s="422" t="s">
        <v>2714</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5" t="e">
        <f t="shared" si="3"/>
        <v>#N/A</v>
      </c>
      <c r="AB27" s="1815" t="e">
        <f t="shared" si="4"/>
        <v>#N/A</v>
      </c>
      <c r="AC27" s="1815"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4" t="str">
        <f t="shared" si="11"/>
        <v>物业等级</v>
      </c>
      <c r="R28" s="774" t="s">
        <v>17</v>
      </c>
      <c r="S28" s="775">
        <f t="shared" si="12"/>
        <v>100</v>
      </c>
      <c r="T28" s="774" t="s">
        <v>17</v>
      </c>
      <c r="U28" s="775">
        <f t="shared" si="13"/>
        <v>100</v>
      </c>
      <c r="V28" s="774" t="s">
        <v>17</v>
      </c>
      <c r="W28" s="775">
        <f t="shared" si="14"/>
        <v>100</v>
      </c>
      <c r="X28" s="1817"/>
      <c r="Y28" s="3229"/>
      <c r="Z28" s="1818" t="str">
        <f t="shared" si="15"/>
        <v>物业等级</v>
      </c>
      <c r="AA28" s="1815">
        <f t="shared" si="3"/>
        <v>1</v>
      </c>
      <c r="AB28" s="1815">
        <f t="shared" si="4"/>
        <v>1</v>
      </c>
      <c r="AC28" s="1815">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4" t="str">
        <f t="shared" si="11"/>
        <v>有无电梯</v>
      </c>
      <c r="R29" s="774" t="s">
        <v>17</v>
      </c>
      <c r="S29" s="775">
        <f t="shared" si="12"/>
        <v>100</v>
      </c>
      <c r="T29" s="774" t="s">
        <v>17</v>
      </c>
      <c r="U29" s="775">
        <f t="shared" si="13"/>
        <v>100</v>
      </c>
      <c r="V29" s="774" t="s">
        <v>17</v>
      </c>
      <c r="W29" s="775">
        <f t="shared" si="14"/>
        <v>100</v>
      </c>
      <c r="X29" s="1817"/>
      <c r="Y29" s="3229"/>
      <c r="Z29" s="1818" t="str">
        <f t="shared" si="15"/>
        <v>有无电梯</v>
      </c>
      <c r="AA29" s="1815">
        <f t="shared" si="3"/>
        <v>1</v>
      </c>
      <c r="AB29" s="1815">
        <f t="shared" si="4"/>
        <v>1</v>
      </c>
      <c r="AC29" s="1815">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4" t="str">
        <f t="shared" si="11"/>
        <v>建筑面积</v>
      </c>
      <c r="R30" s="774" t="s">
        <v>17</v>
      </c>
      <c r="S30" s="775" t="e">
        <f t="shared" si="12"/>
        <v>#N/A</v>
      </c>
      <c r="T30" s="774" t="s">
        <v>17</v>
      </c>
      <c r="U30" s="775" t="e">
        <f t="shared" si="13"/>
        <v>#N/A</v>
      </c>
      <c r="V30" s="774" t="s">
        <v>17</v>
      </c>
      <c r="W30" s="775" t="e">
        <f t="shared" si="14"/>
        <v>#N/A</v>
      </c>
      <c r="X30" s="1817"/>
      <c r="Y30" s="3229"/>
      <c r="Z30" s="1818" t="str">
        <f t="shared" si="15"/>
        <v>建筑面积</v>
      </c>
      <c r="AA30" s="1815" t="e">
        <f t="shared" si="3"/>
        <v>#N/A</v>
      </c>
      <c r="AB30" s="1815" t="e">
        <f t="shared" si="4"/>
        <v>#N/A</v>
      </c>
      <c r="AC30" s="1815" t="e">
        <f t="shared" si="5"/>
        <v>#N/A</v>
      </c>
    </row>
    <row r="31" spans="1:29" s="116" customFormat="1" ht="15">
      <c r="A31" s="473"/>
      <c r="B31" s="422" t="s">
        <v>2738</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9"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2564</v>
      </c>
      <c r="Q32" s="1814">
        <f t="shared" si="11"/>
        <v>111</v>
      </c>
      <c r="R32" s="774" t="s">
        <v>17</v>
      </c>
      <c r="S32" s="775">
        <f t="shared" si="12"/>
        <v>100</v>
      </c>
      <c r="T32" s="774" t="s">
        <v>17</v>
      </c>
      <c r="U32" s="775">
        <f t="shared" si="13"/>
        <v>100</v>
      </c>
      <c r="V32" s="774" t="s">
        <v>17</v>
      </c>
      <c r="W32" s="775">
        <f t="shared" si="14"/>
        <v>100</v>
      </c>
      <c r="X32" s="1817"/>
      <c r="Y32" s="3229" t="s">
        <v>2564</v>
      </c>
      <c r="Z32" s="1818">
        <f t="shared" si="15"/>
        <v>111</v>
      </c>
      <c r="AA32" s="1815">
        <f t="shared" si="3"/>
        <v>1</v>
      </c>
      <c r="AB32" s="1815">
        <f t="shared" si="4"/>
        <v>1</v>
      </c>
      <c r="AC32" s="1815">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4">
        <f t="shared" si="11"/>
        <v>111</v>
      </c>
      <c r="R33" s="774" t="s">
        <v>17</v>
      </c>
      <c r="S33" s="775">
        <f t="shared" si="12"/>
        <v>100</v>
      </c>
      <c r="T33" s="774" t="s">
        <v>17</v>
      </c>
      <c r="U33" s="775">
        <f t="shared" si="13"/>
        <v>100</v>
      </c>
      <c r="V33" s="774" t="s">
        <v>17</v>
      </c>
      <c r="W33" s="775">
        <f t="shared" si="14"/>
        <v>100</v>
      </c>
      <c r="X33" s="1817"/>
      <c r="Y33" s="3229"/>
      <c r="Z33" s="1818">
        <f t="shared" si="15"/>
        <v>111</v>
      </c>
      <c r="AA33" s="1815">
        <f t="shared" si="3"/>
        <v>1</v>
      </c>
      <c r="AB33" s="1815">
        <f t="shared" si="4"/>
        <v>1</v>
      </c>
      <c r="AC33" s="1815">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29"/>
      <c r="Q34" s="1814">
        <f t="shared" si="11"/>
        <v>111</v>
      </c>
      <c r="R34" s="774" t="s">
        <v>17</v>
      </c>
      <c r="S34" s="775">
        <f t="shared" si="12"/>
        <v>100</v>
      </c>
      <c r="T34" s="774" t="s">
        <v>17</v>
      </c>
      <c r="U34" s="775">
        <f t="shared" si="13"/>
        <v>100</v>
      </c>
      <c r="V34" s="774" t="s">
        <v>17</v>
      </c>
      <c r="W34" s="775">
        <f t="shared" si="14"/>
        <v>100</v>
      </c>
      <c r="X34" s="1817"/>
      <c r="Y34" s="3229"/>
      <c r="Z34" s="1818">
        <f t="shared" si="15"/>
        <v>111</v>
      </c>
      <c r="AA34" s="1815">
        <f t="shared" si="3"/>
        <v>1</v>
      </c>
      <c r="AB34" s="1815">
        <f t="shared" si="4"/>
        <v>1</v>
      </c>
      <c r="AC34" s="1815">
        <f t="shared" si="5"/>
        <v>1</v>
      </c>
    </row>
    <row r="35" spans="1:29" ht="15">
      <c r="A35" s="479" t="s">
        <v>2576</v>
      </c>
      <c r="B35" s="480"/>
      <c r="C35" s="1410" t="s">
        <v>1</v>
      </c>
      <c r="D35" s="1411"/>
      <c r="E35" s="1412"/>
      <c r="F35" s="1413"/>
      <c r="G35" s="1414"/>
      <c r="H35" s="1415"/>
      <c r="I35" s="1412"/>
      <c r="J35" s="1415"/>
      <c r="K35" s="783"/>
      <c r="L35" s="1146"/>
      <c r="M35" s="1147"/>
      <c r="N35" s="1134"/>
      <c r="O35" s="1147"/>
      <c r="P35" s="3211" t="str">
        <f>A35</f>
        <v>成交单价（元/平方米）</v>
      </c>
      <c r="Q35" s="3211"/>
      <c r="R35" s="3239">
        <f>E35</f>
        <v>0</v>
      </c>
      <c r="S35" s="3239"/>
      <c r="T35" s="3239">
        <f>G35</f>
        <v>0</v>
      </c>
      <c r="U35" s="3239"/>
      <c r="V35" s="3239">
        <f>I35</f>
        <v>0</v>
      </c>
      <c r="W35" s="3239"/>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2584</v>
      </c>
      <c r="B48" s="516"/>
      <c r="C48" s="517"/>
      <c r="D48" s="518"/>
      <c r="E48" s="518"/>
      <c r="F48" s="518"/>
      <c r="G48" s="518"/>
      <c r="H48" s="518"/>
      <c r="I48" s="518"/>
      <c r="J48" s="518"/>
      <c r="K48" s="518"/>
      <c r="L48" s="518"/>
      <c r="M48" s="519"/>
      <c r="N48" s="518"/>
      <c r="O48" s="520"/>
      <c r="P48" s="504"/>
      <c r="Q48" s="504"/>
    </row>
    <row r="49" spans="1:17" s="116" customFormat="1" ht="15">
      <c r="A49" s="521" t="s">
        <v>2549</v>
      </c>
      <c r="B49" s="510"/>
      <c r="C49" s="522" t="s">
        <v>2651</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6" customFormat="1" ht="15.75" thickTop="1">
      <c r="A71" s="579"/>
      <c r="B71" s="538">
        <f>B23</f>
        <v>111</v>
      </c>
      <c r="C71" s="549"/>
      <c r="D71" s="549"/>
      <c r="E71" s="549"/>
      <c r="F71" s="549"/>
      <c r="G71" s="554"/>
      <c r="H71" s="554"/>
      <c r="I71" s="554"/>
      <c r="J71" s="554"/>
      <c r="K71" s="554"/>
      <c r="L71" s="580"/>
      <c r="M71" s="581"/>
      <c r="N71" s="1154"/>
      <c r="O71" s="1154"/>
      <c r="P71" s="45"/>
      <c r="Q71" s="504"/>
    </row>
    <row r="72" spans="1:17" s="116" customFormat="1" ht="15.75" thickBot="1">
      <c r="A72" s="579"/>
      <c r="B72" s="543"/>
      <c r="C72" s="560"/>
      <c r="D72" s="536"/>
      <c r="E72" s="536"/>
      <c r="F72" s="536"/>
      <c r="G72" s="536"/>
      <c r="H72" s="536"/>
      <c r="I72" s="536"/>
      <c r="J72" s="536"/>
      <c r="K72" s="536"/>
      <c r="L72" s="536"/>
      <c r="M72" s="537"/>
      <c r="N72" s="1156"/>
      <c r="O72" s="1156"/>
      <c r="P72" s="45"/>
      <c r="Q72" s="504"/>
    </row>
    <row r="73" spans="1:17" s="116" customFormat="1" ht="15.75" thickTop="1">
      <c r="A73" s="579"/>
      <c r="B73" s="538">
        <f>B24</f>
        <v>111</v>
      </c>
      <c r="C73" s="549"/>
      <c r="D73" s="549"/>
      <c r="E73" s="549"/>
      <c r="F73" s="549"/>
      <c r="G73" s="554"/>
      <c r="H73" s="554"/>
      <c r="I73" s="554"/>
      <c r="J73" s="554"/>
      <c r="K73" s="554"/>
      <c r="L73" s="554"/>
      <c r="M73" s="581"/>
      <c r="N73" s="1154"/>
      <c r="O73" s="1154"/>
      <c r="P73" s="45"/>
      <c r="Q73" s="504"/>
    </row>
    <row r="74" spans="1:17" s="116"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12" t="s">
        <v>2645</v>
      </c>
      <c r="D4" s="3213"/>
      <c r="E4" s="3214" t="s">
        <v>2646</v>
      </c>
      <c r="F4" s="3215"/>
      <c r="G4" s="3212" t="s">
        <v>2647</v>
      </c>
      <c r="H4" s="3213"/>
      <c r="I4" s="3212" t="s">
        <v>2648</v>
      </c>
      <c r="J4" s="3213"/>
      <c r="K4" s="610" t="s">
        <v>2649</v>
      </c>
      <c r="L4" s="1133"/>
      <c r="M4" s="1134"/>
      <c r="N4" s="1134"/>
      <c r="O4" s="1134"/>
      <c r="P4" s="3216" t="s">
        <v>2650</v>
      </c>
      <c r="Q4" s="3217"/>
      <c r="R4" s="3197" t="s">
        <v>2646</v>
      </c>
      <c r="S4" s="3198"/>
      <c r="T4" s="3197" t="s">
        <v>2647</v>
      </c>
      <c r="U4" s="3198"/>
      <c r="V4" s="3224" t="s">
        <v>2648</v>
      </c>
      <c r="W4" s="3224"/>
      <c r="X4" s="1817"/>
      <c r="Y4" s="3197" t="s">
        <v>2650</v>
      </c>
      <c r="Z4" s="3198"/>
      <c r="AA4" s="3192" t="s">
        <v>2646</v>
      </c>
      <c r="AB4" s="3193" t="s">
        <v>2647</v>
      </c>
      <c r="AC4" s="3192" t="s">
        <v>2648</v>
      </c>
    </row>
    <row r="5" spans="1:29" ht="15">
      <c r="A5" s="404"/>
      <c r="B5" s="405"/>
      <c r="C5" s="3274" t="s">
        <v>2541</v>
      </c>
      <c r="D5" s="3204"/>
      <c r="E5" s="3273" t="s">
        <v>2542</v>
      </c>
      <c r="F5" s="3202"/>
      <c r="G5" s="3274" t="s">
        <v>2543</v>
      </c>
      <c r="H5" s="3204"/>
      <c r="I5" s="3274" t="s">
        <v>2544</v>
      </c>
      <c r="J5" s="3204"/>
      <c r="K5" s="610"/>
      <c r="L5" s="1133"/>
      <c r="M5" s="1134"/>
      <c r="N5" s="1134"/>
      <c r="O5" s="1134"/>
      <c r="P5" s="3218"/>
      <c r="Q5" s="3219"/>
      <c r="R5" s="3199"/>
      <c r="S5" s="3200"/>
      <c r="T5" s="3199"/>
      <c r="U5" s="3200"/>
      <c r="V5" s="3224"/>
      <c r="W5" s="3224"/>
      <c r="X5" s="1817"/>
      <c r="Y5" s="3199"/>
      <c r="Z5" s="3200"/>
      <c r="AA5" s="3193"/>
      <c r="AB5" s="3193"/>
      <c r="AC5" s="3193"/>
    </row>
    <row r="6" spans="1:29" ht="15.75" thickBot="1">
      <c r="A6" s="406"/>
      <c r="B6" s="407"/>
      <c r="C6" s="3291" t="s">
        <v>2796</v>
      </c>
      <c r="D6" s="3292"/>
      <c r="E6" s="3293" t="s">
        <v>2796</v>
      </c>
      <c r="F6" s="3294"/>
      <c r="G6" s="3291" t="s">
        <v>2796</v>
      </c>
      <c r="H6" s="3292"/>
      <c r="I6" s="3291" t="s">
        <v>2796</v>
      </c>
      <c r="J6" s="3292"/>
      <c r="K6" s="610" t="s">
        <v>2546</v>
      </c>
      <c r="L6" s="1133"/>
      <c r="M6" s="1134"/>
      <c r="N6" s="1134"/>
      <c r="O6" s="1134"/>
      <c r="P6" s="3220"/>
      <c r="Q6" s="3221"/>
      <c r="R6" s="3199"/>
      <c r="S6" s="3200"/>
      <c r="T6" s="3222"/>
      <c r="U6" s="3223"/>
      <c r="V6" s="3224"/>
      <c r="W6" s="3224"/>
      <c r="X6" s="1817"/>
      <c r="Y6" s="3222"/>
      <c r="Z6" s="3223"/>
      <c r="AA6" s="3194"/>
      <c r="AB6" s="3194"/>
      <c r="AC6" s="3194"/>
    </row>
    <row r="7" spans="1:29" s="116" customFormat="1" ht="15.75" thickBot="1">
      <c r="A7" s="408" t="s">
        <v>2547</v>
      </c>
      <c r="B7" s="409"/>
      <c r="C7" s="410">
        <f>'数据-取费表'!B2</f>
        <v>43049</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95" t="s">
        <v>2548</v>
      </c>
      <c r="Q7" s="3225"/>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6"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6" customFormat="1">
      <c r="A9" s="415" t="s">
        <v>2552</v>
      </c>
      <c r="B9" s="71" t="s">
        <v>2553</v>
      </c>
      <c r="C9" s="2699"/>
      <c r="D9" s="134">
        <v>100</v>
      </c>
      <c r="E9" s="2699"/>
      <c r="F9" s="134">
        <f>SUMIF(70:70,E9,71:71)-SUMIF(70:70,C9,71:71)+100</f>
        <v>100</v>
      </c>
      <c r="G9" s="2699"/>
      <c r="H9" s="134">
        <f>SUMIF(70:70,G9,71:71)-SUMIF(70:70,C9,71:71)+100</f>
        <v>100</v>
      </c>
      <c r="I9" s="2699"/>
      <c r="J9" s="134">
        <f>SUMIF(70:70,I9,71:71)-SUMIF(70:70,C9,71:71)+100</f>
        <v>100</v>
      </c>
      <c r="K9" s="611"/>
      <c r="L9" s="1135"/>
      <c r="M9" s="1136"/>
      <c r="N9" s="1136"/>
      <c r="O9" s="1137"/>
      <c r="P9" s="3211" t="s">
        <v>2554</v>
      </c>
      <c r="Q9" s="1799" t="str">
        <f t="shared" ref="Q9:Q15" si="6">B9</f>
        <v>用途</v>
      </c>
      <c r="R9" s="770" t="s">
        <v>17</v>
      </c>
      <c r="S9" s="771">
        <f t="shared" si="0"/>
        <v>100</v>
      </c>
      <c r="T9" s="770" t="s">
        <v>17</v>
      </c>
      <c r="U9" s="771">
        <f t="shared" si="1"/>
        <v>100</v>
      </c>
      <c r="V9" s="770" t="s">
        <v>17</v>
      </c>
      <c r="W9" s="771">
        <f t="shared" si="2"/>
        <v>100</v>
      </c>
      <c r="X9" s="772"/>
      <c r="Y9" s="3069" t="s">
        <v>2555</v>
      </c>
      <c r="Z9" s="55" t="str">
        <f t="shared" ref="Z9:Z15" si="7">Q9</f>
        <v>用途</v>
      </c>
      <c r="AA9" s="773">
        <f t="shared" si="3"/>
        <v>1</v>
      </c>
      <c r="AB9" s="773">
        <f t="shared" si="4"/>
        <v>1</v>
      </c>
      <c r="AC9" s="773">
        <f t="shared" si="5"/>
        <v>1</v>
      </c>
    </row>
    <row r="10" spans="1:29" s="427" customFormat="1" ht="27">
      <c r="A10" s="421"/>
      <c r="B10" s="422" t="s">
        <v>2556</v>
      </c>
      <c r="C10" s="432"/>
      <c r="D10" s="135">
        <v>100</v>
      </c>
      <c r="E10" s="432"/>
      <c r="F10" s="135">
        <f>ROUND(100/'数据-取费表'!G16,0)</f>
        <v>102</v>
      </c>
      <c r="G10" s="432"/>
      <c r="H10" s="135">
        <f>ROUND(100/'数据-取费表'!G16,0)</f>
        <v>102</v>
      </c>
      <c r="I10" s="432"/>
      <c r="J10" s="135">
        <f>ROUND(100/'数据-取费表'!G16,0)</f>
        <v>102</v>
      </c>
      <c r="K10" s="672"/>
      <c r="L10" s="1138"/>
      <c r="M10" s="1139"/>
      <c r="N10" s="1139"/>
      <c r="O10" s="1140"/>
      <c r="P10" s="3211"/>
      <c r="Q10" s="1799" t="str">
        <f t="shared" si="6"/>
        <v>土地使用年限（年）</v>
      </c>
      <c r="R10" s="770" t="s">
        <v>17</v>
      </c>
      <c r="S10" s="771">
        <f t="shared" si="0"/>
        <v>102</v>
      </c>
      <c r="T10" s="770" t="s">
        <v>17</v>
      </c>
      <c r="U10" s="771">
        <f t="shared" si="1"/>
        <v>102</v>
      </c>
      <c r="V10" s="770" t="s">
        <v>17</v>
      </c>
      <c r="W10" s="771">
        <f t="shared" si="2"/>
        <v>102</v>
      </c>
      <c r="X10" s="772"/>
      <c r="Y10" s="3069"/>
      <c r="Z10" s="55" t="str">
        <f t="shared" si="7"/>
        <v>土地使用年限（年）</v>
      </c>
      <c r="AA10" s="773">
        <f t="shared" si="3"/>
        <v>0.98039215686274506</v>
      </c>
      <c r="AB10" s="773">
        <f t="shared" si="4"/>
        <v>0.98039215686274506</v>
      </c>
      <c r="AC10" s="773">
        <f t="shared" si="5"/>
        <v>0.98039215686274506</v>
      </c>
    </row>
    <row r="11" spans="1:29" ht="15">
      <c r="A11" s="428"/>
      <c r="B11" s="422" t="s">
        <v>2557</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11"/>
      <c r="Q11" s="1799" t="str">
        <f t="shared" si="6"/>
        <v>容积率</v>
      </c>
      <c r="R11" s="770" t="s">
        <v>17</v>
      </c>
      <c r="S11" s="771" t="e">
        <f t="shared" si="0"/>
        <v>#N/A</v>
      </c>
      <c r="T11" s="770" t="s">
        <v>17</v>
      </c>
      <c r="U11" s="771" t="e">
        <f t="shared" si="1"/>
        <v>#N/A</v>
      </c>
      <c r="V11" s="770" t="s">
        <v>17</v>
      </c>
      <c r="W11" s="771" t="e">
        <f t="shared" si="2"/>
        <v>#N/A</v>
      </c>
      <c r="X11" s="772"/>
      <c r="Y11" s="3069"/>
      <c r="Z11" s="55" t="str">
        <f t="shared" si="7"/>
        <v>容积率</v>
      </c>
      <c r="AA11" s="773" t="e">
        <f t="shared" si="3"/>
        <v>#N/A</v>
      </c>
      <c r="AB11" s="773" t="e">
        <f t="shared" si="4"/>
        <v>#N/A</v>
      </c>
      <c r="AC11" s="773" t="e">
        <f t="shared" si="5"/>
        <v>#N/A</v>
      </c>
    </row>
    <row r="12" spans="1:29" s="116" customFormat="1" ht="15">
      <c r="A12" s="431"/>
      <c r="B12" s="2600">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11"/>
      <c r="Q12" s="1799">
        <f t="shared" si="6"/>
        <v>111</v>
      </c>
      <c r="R12" s="770" t="s">
        <v>17</v>
      </c>
      <c r="S12" s="771">
        <f t="shared" si="0"/>
        <v>100</v>
      </c>
      <c r="T12" s="770" t="s">
        <v>17</v>
      </c>
      <c r="U12" s="771">
        <f t="shared" si="1"/>
        <v>100</v>
      </c>
      <c r="V12" s="770" t="s">
        <v>17</v>
      </c>
      <c r="W12" s="771">
        <f t="shared" si="2"/>
        <v>100</v>
      </c>
      <c r="X12" s="772"/>
      <c r="Y12" s="3069"/>
      <c r="Z12" s="55">
        <f t="shared" si="7"/>
        <v>111</v>
      </c>
      <c r="AA12" s="773">
        <f>D12/F12</f>
        <v>1</v>
      </c>
      <c r="AB12" s="773">
        <f>D12/H12</f>
        <v>1</v>
      </c>
      <c r="AC12" s="773">
        <f>D12/J12</f>
        <v>1</v>
      </c>
    </row>
    <row r="13" spans="1:29" ht="15">
      <c r="A13" s="428"/>
      <c r="B13" s="2600">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11"/>
      <c r="Q13" s="1799">
        <f t="shared" si="6"/>
        <v>111</v>
      </c>
      <c r="R13" s="770" t="s">
        <v>17</v>
      </c>
      <c r="S13" s="771">
        <f t="shared" si="0"/>
        <v>100</v>
      </c>
      <c r="T13" s="770" t="s">
        <v>17</v>
      </c>
      <c r="U13" s="771">
        <f t="shared" si="1"/>
        <v>100</v>
      </c>
      <c r="V13" s="770" t="s">
        <v>17</v>
      </c>
      <c r="W13" s="771">
        <f t="shared" si="2"/>
        <v>100</v>
      </c>
      <c r="X13" s="772"/>
      <c r="Y13" s="306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9">
        <f t="shared" si="6"/>
        <v>111</v>
      </c>
      <c r="R14" s="770" t="s">
        <v>17</v>
      </c>
      <c r="S14" s="771">
        <f t="shared" si="0"/>
        <v>100</v>
      </c>
      <c r="T14" s="770" t="s">
        <v>17</v>
      </c>
      <c r="U14" s="771">
        <f t="shared" si="1"/>
        <v>100</v>
      </c>
      <c r="V14" s="770" t="s">
        <v>17</v>
      </c>
      <c r="W14" s="771">
        <f t="shared" si="2"/>
        <v>100</v>
      </c>
      <c r="X14" s="772"/>
      <c r="Y14" s="3069"/>
      <c r="Z14" s="55">
        <f t="shared" si="7"/>
        <v>111</v>
      </c>
      <c r="AA14" s="773">
        <f t="shared" si="3"/>
        <v>1</v>
      </c>
      <c r="AB14" s="773">
        <f t="shared" si="4"/>
        <v>1</v>
      </c>
      <c r="AC14" s="773">
        <f t="shared" si="5"/>
        <v>1</v>
      </c>
    </row>
    <row r="15" spans="1:29" ht="57">
      <c r="A15" s="440" t="s">
        <v>2558</v>
      </c>
      <c r="B15" s="629" t="s">
        <v>2797</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6" t="s">
        <v>2559</v>
      </c>
      <c r="Q15" s="1814" t="str">
        <f t="shared" si="6"/>
        <v>产业集聚程度</v>
      </c>
      <c r="R15" s="774" t="s">
        <v>17</v>
      </c>
      <c r="S15" s="775">
        <f t="shared" si="0"/>
        <v>100</v>
      </c>
      <c r="T15" s="774" t="s">
        <v>17</v>
      </c>
      <c r="U15" s="775">
        <f t="shared" si="1"/>
        <v>100</v>
      </c>
      <c r="V15" s="774" t="s">
        <v>17</v>
      </c>
      <c r="W15" s="775">
        <f t="shared" si="2"/>
        <v>100</v>
      </c>
      <c r="X15" s="1817"/>
      <c r="Y15" s="3226" t="s">
        <v>2559</v>
      </c>
      <c r="Z15" s="1818" t="str">
        <f t="shared" si="7"/>
        <v>产业集聚程度</v>
      </c>
      <c r="AA15" s="1815">
        <f t="shared" si="3"/>
        <v>1</v>
      </c>
      <c r="AB15" s="1815">
        <f t="shared" si="4"/>
        <v>1</v>
      </c>
      <c r="AC15" s="1815">
        <f t="shared" si="5"/>
        <v>1</v>
      </c>
    </row>
    <row r="16" spans="1:29" ht="15">
      <c r="A16" s="428"/>
      <c r="B16" s="630"/>
      <c r="C16" s="447"/>
      <c r="D16" s="448"/>
      <c r="E16" s="2611"/>
      <c r="F16" s="448"/>
      <c r="G16" s="2611"/>
      <c r="H16" s="450"/>
      <c r="I16" s="2611"/>
      <c r="J16" s="448"/>
      <c r="K16" s="672"/>
      <c r="L16" s="1143"/>
      <c r="M16" s="1134"/>
      <c r="N16" s="1134"/>
      <c r="O16" s="1142"/>
      <c r="P16" s="3227"/>
      <c r="Q16" s="1814"/>
      <c r="R16" s="774"/>
      <c r="S16" s="775"/>
      <c r="T16" s="774"/>
      <c r="U16" s="775"/>
      <c r="V16" s="774"/>
      <c r="W16" s="775"/>
      <c r="X16" s="1817"/>
      <c r="Y16" s="3227"/>
      <c r="Z16" s="1818"/>
      <c r="AA16" s="1815">
        <v>1</v>
      </c>
      <c r="AB16" s="1815">
        <v>1</v>
      </c>
      <c r="AC16" s="1815">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7"/>
      <c r="Q17" s="1814" t="str">
        <f>B17</f>
        <v>交通便捷度</v>
      </c>
      <c r="R17" s="774" t="s">
        <v>17</v>
      </c>
      <c r="S17" s="775">
        <f>F17</f>
        <v>100</v>
      </c>
      <c r="T17" s="774" t="s">
        <v>17</v>
      </c>
      <c r="U17" s="775">
        <f>H17</f>
        <v>100</v>
      </c>
      <c r="V17" s="774" t="s">
        <v>17</v>
      </c>
      <c r="W17" s="775">
        <f>J17</f>
        <v>100</v>
      </c>
      <c r="X17" s="1817"/>
      <c r="Y17" s="3227"/>
      <c r="Z17" s="1818" t="str">
        <f>Q17</f>
        <v>交通便捷度</v>
      </c>
      <c r="AA17" s="1815">
        <f t="shared" si="3"/>
        <v>1</v>
      </c>
      <c r="AB17" s="1815">
        <f t="shared" si="4"/>
        <v>1</v>
      </c>
      <c r="AC17" s="1815">
        <f t="shared" si="5"/>
        <v>1</v>
      </c>
    </row>
    <row r="18" spans="1:29" ht="15">
      <c r="A18" s="428"/>
      <c r="B18" s="632"/>
      <c r="C18" s="447"/>
      <c r="D18" s="448"/>
      <c r="E18" s="2605"/>
      <c r="F18" s="448"/>
      <c r="G18" s="2605"/>
      <c r="H18" s="448"/>
      <c r="I18" s="2604"/>
      <c r="J18" s="448"/>
      <c r="K18" s="672"/>
      <c r="L18" s="1143"/>
      <c r="M18" s="1134"/>
      <c r="N18" s="1134"/>
      <c r="O18" s="1142"/>
      <c r="P18" s="3227"/>
      <c r="Q18" s="1814"/>
      <c r="R18" s="774"/>
      <c r="S18" s="775"/>
      <c r="T18" s="774"/>
      <c r="U18" s="775"/>
      <c r="V18" s="774"/>
      <c r="W18" s="775"/>
      <c r="X18" s="1817"/>
      <c r="Y18" s="3227"/>
      <c r="Z18" s="1818"/>
      <c r="AA18" s="1815">
        <v>1</v>
      </c>
      <c r="AB18" s="1815">
        <v>1</v>
      </c>
      <c r="AC18" s="1815">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7"/>
      <c r="Q19" s="1814" t="str">
        <f t="shared" ref="Q19:Q33" si="8">B19</f>
        <v>区域土地利用方向</v>
      </c>
      <c r="R19" s="774" t="s">
        <v>17</v>
      </c>
      <c r="S19" s="775">
        <f>F19</f>
        <v>100</v>
      </c>
      <c r="T19" s="774" t="s">
        <v>17</v>
      </c>
      <c r="U19" s="775">
        <f>H19</f>
        <v>100</v>
      </c>
      <c r="V19" s="774" t="s">
        <v>17</v>
      </c>
      <c r="W19" s="775">
        <f>J19</f>
        <v>100</v>
      </c>
      <c r="X19" s="1817"/>
      <c r="Y19" s="3227"/>
      <c r="Z19" s="1818" t="str">
        <f>Q19</f>
        <v>区域土地利用方向</v>
      </c>
      <c r="AA19" s="1815">
        <f t="shared" si="3"/>
        <v>1</v>
      </c>
      <c r="AB19" s="1815">
        <f t="shared" si="4"/>
        <v>1</v>
      </c>
      <c r="AC19" s="1815">
        <f t="shared" si="5"/>
        <v>1</v>
      </c>
    </row>
    <row r="20" spans="1:29" ht="15">
      <c r="A20" s="404"/>
      <c r="B20" s="632"/>
      <c r="C20" s="447"/>
      <c r="D20" s="448"/>
      <c r="E20" s="2605"/>
      <c r="F20" s="448"/>
      <c r="G20" s="2605"/>
      <c r="H20" s="448"/>
      <c r="I20" s="2605"/>
      <c r="J20" s="448"/>
      <c r="K20" s="812"/>
      <c r="L20" s="1143"/>
      <c r="M20" s="1134"/>
      <c r="N20" s="1134"/>
      <c r="O20" s="1142"/>
      <c r="P20" s="3227"/>
      <c r="Q20" s="1814"/>
      <c r="R20" s="774"/>
      <c r="S20" s="775"/>
      <c r="T20" s="774"/>
      <c r="U20" s="775"/>
      <c r="V20" s="774"/>
      <c r="W20" s="775"/>
      <c r="X20" s="1817"/>
      <c r="Y20" s="3227"/>
      <c r="Z20" s="1818"/>
      <c r="AA20" s="1815"/>
      <c r="AB20" s="1815"/>
      <c r="AC20" s="1815"/>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7"/>
      <c r="Q21" s="1814" t="str">
        <f t="shared" si="8"/>
        <v>环境状况</v>
      </c>
      <c r="R21" s="774" t="s">
        <v>17</v>
      </c>
      <c r="S21" s="775">
        <f>F21</f>
        <v>100</v>
      </c>
      <c r="T21" s="774" t="s">
        <v>17</v>
      </c>
      <c r="U21" s="775">
        <f>H21</f>
        <v>100</v>
      </c>
      <c r="V21" s="774" t="s">
        <v>17</v>
      </c>
      <c r="W21" s="775">
        <f>J21</f>
        <v>100</v>
      </c>
      <c r="X21" s="1817"/>
      <c r="Y21" s="3227"/>
      <c r="Z21" s="1818" t="str">
        <f>Q21</f>
        <v>环境状况</v>
      </c>
      <c r="AA21" s="1815">
        <f t="shared" si="3"/>
        <v>1</v>
      </c>
      <c r="AB21" s="1815">
        <f t="shared" si="4"/>
        <v>1</v>
      </c>
      <c r="AC21" s="1815">
        <f t="shared" si="5"/>
        <v>1</v>
      </c>
    </row>
    <row r="22" spans="1:29" ht="15">
      <c r="A22" s="404"/>
      <c r="B22" s="632"/>
      <c r="C22" s="447"/>
      <c r="D22" s="448"/>
      <c r="E22" s="2611"/>
      <c r="F22" s="448"/>
      <c r="G22" s="2611"/>
      <c r="H22" s="448"/>
      <c r="I22" s="447"/>
      <c r="J22" s="448"/>
      <c r="K22" s="672"/>
      <c r="L22" s="1143"/>
      <c r="M22" s="1134"/>
      <c r="N22" s="1134"/>
      <c r="O22" s="1142"/>
      <c r="P22" s="3227"/>
      <c r="Q22" s="1814"/>
      <c r="R22" s="774"/>
      <c r="S22" s="775"/>
      <c r="T22" s="774"/>
      <c r="U22" s="775"/>
      <c r="V22" s="774"/>
      <c r="W22" s="775"/>
      <c r="X22" s="1817"/>
      <c r="Y22" s="3227"/>
      <c r="Z22" s="1818"/>
      <c r="AA22" s="1815">
        <v>1</v>
      </c>
      <c r="AB22" s="1815">
        <v>1</v>
      </c>
      <c r="AC22" s="1815">
        <v>1</v>
      </c>
    </row>
    <row r="23" spans="1:29" s="116"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7"/>
      <c r="Q23" s="1799" t="str">
        <f t="shared" si="8"/>
        <v>公共配套设施</v>
      </c>
      <c r="R23" s="770" t="s">
        <v>17</v>
      </c>
      <c r="S23" s="771">
        <f>F23</f>
        <v>100</v>
      </c>
      <c r="T23" s="770" t="s">
        <v>17</v>
      </c>
      <c r="U23" s="771">
        <f>H23</f>
        <v>100</v>
      </c>
      <c r="V23" s="770" t="s">
        <v>17</v>
      </c>
      <c r="W23" s="771">
        <f>J23</f>
        <v>100</v>
      </c>
      <c r="X23" s="772"/>
      <c r="Y23" s="3227"/>
      <c r="Z23" s="55" t="str">
        <f>Q23</f>
        <v>公共配套设施</v>
      </c>
      <c r="AA23" s="1815">
        <f>D23/F23</f>
        <v>1</v>
      </c>
      <c r="AB23" s="1815">
        <f>D23/H23</f>
        <v>1</v>
      </c>
      <c r="AC23" s="1815">
        <f>D23/J23</f>
        <v>1</v>
      </c>
    </row>
    <row r="24" spans="1:29" s="116" customFormat="1" ht="15">
      <c r="A24" s="649"/>
      <c r="B24" s="632"/>
      <c r="C24" s="2700"/>
      <c r="D24" s="448"/>
      <c r="E24" s="2611"/>
      <c r="F24" s="448"/>
      <c r="G24" s="2611"/>
      <c r="H24" s="448"/>
      <c r="I24" s="447"/>
      <c r="J24" s="448"/>
      <c r="K24" s="672"/>
      <c r="L24" s="1135"/>
      <c r="M24" s="1136"/>
      <c r="N24" s="1136"/>
      <c r="O24" s="1137"/>
      <c r="P24" s="3227"/>
      <c r="Q24" s="1799"/>
      <c r="R24" s="770"/>
      <c r="S24" s="771"/>
      <c r="T24" s="770"/>
      <c r="U24" s="771"/>
      <c r="V24" s="770"/>
      <c r="W24" s="771"/>
      <c r="X24" s="772"/>
      <c r="Y24" s="3227"/>
      <c r="Z24" s="55"/>
      <c r="AA24" s="773">
        <v>1</v>
      </c>
      <c r="AB24" s="773">
        <v>1</v>
      </c>
      <c r="AC24" s="773">
        <v>1</v>
      </c>
    </row>
    <row r="25" spans="1:29" s="116"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7"/>
      <c r="Q25" s="1799" t="str">
        <f t="shared" ref="Q25" si="9">B25</f>
        <v>基础设施水平</v>
      </c>
      <c r="R25" s="770" t="s">
        <v>17</v>
      </c>
      <c r="S25" s="771">
        <f>F25</f>
        <v>100</v>
      </c>
      <c r="T25" s="770" t="s">
        <v>17</v>
      </c>
      <c r="U25" s="771">
        <f>H25</f>
        <v>100</v>
      </c>
      <c r="V25" s="770" t="s">
        <v>17</v>
      </c>
      <c r="W25" s="771">
        <f>J25</f>
        <v>100</v>
      </c>
      <c r="X25" s="772"/>
      <c r="Y25" s="3227"/>
      <c r="Z25" s="55" t="str">
        <f>Q25</f>
        <v>基础设施水平</v>
      </c>
      <c r="AA25" s="1815">
        <f>D25/F25</f>
        <v>1</v>
      </c>
      <c r="AB25" s="1815">
        <f>D25/H25</f>
        <v>1</v>
      </c>
      <c r="AC25" s="1815">
        <f>D25/J25</f>
        <v>1</v>
      </c>
    </row>
    <row r="26" spans="1:29" s="116" customFormat="1" ht="15">
      <c r="A26" s="649"/>
      <c r="B26" s="632"/>
      <c r="C26" s="2700"/>
      <c r="D26" s="448"/>
      <c r="E26" s="2701"/>
      <c r="F26" s="448"/>
      <c r="G26" s="2701"/>
      <c r="H26" s="448"/>
      <c r="I26" s="2701"/>
      <c r="J26" s="448"/>
      <c r="K26" s="672"/>
      <c r="L26" s="1135"/>
      <c r="M26" s="1136"/>
      <c r="N26" s="1136"/>
      <c r="O26" s="1137"/>
      <c r="P26" s="3227"/>
      <c r="Q26" s="1799"/>
      <c r="R26" s="770"/>
      <c r="S26" s="771"/>
      <c r="T26" s="770"/>
      <c r="U26" s="771"/>
      <c r="V26" s="770"/>
      <c r="W26" s="771"/>
      <c r="X26" s="772"/>
      <c r="Y26" s="322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27"/>
      <c r="Z27" s="1818" t="str">
        <f t="shared" ref="Z27:Z40" si="13">Q27</f>
        <v>临街状况</v>
      </c>
      <c r="AA27" s="1815">
        <f t="shared" si="3"/>
        <v>1</v>
      </c>
      <c r="AB27" s="1815">
        <f t="shared" si="4"/>
        <v>1</v>
      </c>
      <c r="AC27" s="1815">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7"/>
      <c r="Q28" s="1814" t="str">
        <f t="shared" si="8"/>
        <v>毗邻道路的类型与等级</v>
      </c>
      <c r="R28" s="774" t="s">
        <v>17</v>
      </c>
      <c r="S28" s="775">
        <f t="shared" si="10"/>
        <v>100</v>
      </c>
      <c r="T28" s="774" t="s">
        <v>17</v>
      </c>
      <c r="U28" s="775">
        <f t="shared" si="11"/>
        <v>100</v>
      </c>
      <c r="V28" s="774" t="s">
        <v>17</v>
      </c>
      <c r="W28" s="775">
        <f t="shared" si="12"/>
        <v>100</v>
      </c>
      <c r="X28" s="1817"/>
      <c r="Y28" s="3227"/>
      <c r="Z28" s="1818" t="str">
        <f t="shared" si="13"/>
        <v>毗邻道路的类型与等级</v>
      </c>
      <c r="AA28" s="1815">
        <f t="shared" si="3"/>
        <v>1</v>
      </c>
      <c r="AB28" s="1815">
        <f t="shared" si="4"/>
        <v>1</v>
      </c>
      <c r="AC28" s="1815">
        <f t="shared" si="5"/>
        <v>1</v>
      </c>
    </row>
    <row r="29" spans="1:29" ht="15">
      <c r="A29" s="428"/>
      <c r="B29" s="632"/>
      <c r="C29" s="447"/>
      <c r="D29" s="448"/>
      <c r="E29" s="2611"/>
      <c r="F29" s="448"/>
      <c r="G29" s="2611"/>
      <c r="H29" s="448"/>
      <c r="I29" s="2611"/>
      <c r="J29" s="448"/>
      <c r="K29" s="613"/>
      <c r="L29" s="1143"/>
      <c r="M29" s="1134"/>
      <c r="N29" s="1134"/>
      <c r="O29" s="1142"/>
      <c r="P29" s="3227"/>
      <c r="Q29" s="1814"/>
      <c r="R29" s="774"/>
      <c r="S29" s="775"/>
      <c r="T29" s="774"/>
      <c r="U29" s="775"/>
      <c r="V29" s="774"/>
      <c r="W29" s="775"/>
      <c r="X29" s="1817"/>
      <c r="Y29" s="3227"/>
      <c r="Z29" s="1818"/>
      <c r="AA29" s="1815">
        <v>1</v>
      </c>
      <c r="AB29" s="1815">
        <v>1</v>
      </c>
      <c r="AC29" s="1815">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7"/>
      <c r="Q30" s="1814" t="str">
        <f t="shared" si="8"/>
        <v>土地级别</v>
      </c>
      <c r="R30" s="774" t="s">
        <v>17</v>
      </c>
      <c r="S30" s="775">
        <f t="shared" si="10"/>
        <v>100</v>
      </c>
      <c r="T30" s="774" t="s">
        <v>17</v>
      </c>
      <c r="U30" s="775">
        <f t="shared" si="11"/>
        <v>100</v>
      </c>
      <c r="V30" s="774" t="s">
        <v>17</v>
      </c>
      <c r="W30" s="775">
        <f t="shared" si="12"/>
        <v>100</v>
      </c>
      <c r="X30" s="1817"/>
      <c r="Y30" s="3227"/>
      <c r="Z30" s="1818" t="str">
        <f t="shared" si="13"/>
        <v>土地级别</v>
      </c>
      <c r="AA30" s="1815">
        <f t="shared" si="3"/>
        <v>1</v>
      </c>
      <c r="AB30" s="1815">
        <f t="shared" si="4"/>
        <v>1</v>
      </c>
      <c r="AC30" s="1815">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7"/>
      <c r="Q31" s="1814">
        <f t="shared" si="8"/>
        <v>111</v>
      </c>
      <c r="R31" s="774" t="s">
        <v>17</v>
      </c>
      <c r="S31" s="775">
        <f t="shared" si="10"/>
        <v>100</v>
      </c>
      <c r="T31" s="774" t="s">
        <v>17</v>
      </c>
      <c r="U31" s="775">
        <f t="shared" si="11"/>
        <v>100</v>
      </c>
      <c r="V31" s="774" t="s">
        <v>17</v>
      </c>
      <c r="W31" s="775">
        <f t="shared" si="12"/>
        <v>100</v>
      </c>
      <c r="X31" s="1817"/>
      <c r="Y31" s="3227"/>
      <c r="Z31" s="1818">
        <f t="shared" si="13"/>
        <v>111</v>
      </c>
      <c r="AA31" s="1815">
        <f t="shared" si="3"/>
        <v>1</v>
      </c>
      <c r="AB31" s="1815">
        <f t="shared" si="4"/>
        <v>1</v>
      </c>
      <c r="AC31" s="1815">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8" t="s">
        <v>2564</v>
      </c>
      <c r="Q32" s="1814">
        <f t="shared" si="8"/>
        <v>111</v>
      </c>
      <c r="R32" s="774" t="s">
        <v>17</v>
      </c>
      <c r="S32" s="775">
        <f t="shared" si="10"/>
        <v>100</v>
      </c>
      <c r="T32" s="774" t="s">
        <v>17</v>
      </c>
      <c r="U32" s="775">
        <f t="shared" si="11"/>
        <v>100</v>
      </c>
      <c r="V32" s="774" t="s">
        <v>17</v>
      </c>
      <c r="W32" s="775">
        <f t="shared" si="12"/>
        <v>100</v>
      </c>
      <c r="X32" s="1817"/>
      <c r="Y32" s="3229" t="s">
        <v>2564</v>
      </c>
      <c r="Z32" s="1818">
        <f t="shared" si="13"/>
        <v>111</v>
      </c>
      <c r="AA32" s="1815">
        <f t="shared" si="3"/>
        <v>1</v>
      </c>
      <c r="AB32" s="1815">
        <f t="shared" si="4"/>
        <v>1</v>
      </c>
      <c r="AC32" s="1815">
        <f t="shared" si="5"/>
        <v>1</v>
      </c>
    </row>
    <row r="33" spans="1:29" s="471" customFormat="1" ht="15.75" thickBot="1">
      <c r="A33" s="676"/>
      <c r="B33" s="2715">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4">
        <f t="shared" si="8"/>
        <v>111</v>
      </c>
      <c r="R33" s="777" t="s">
        <v>17</v>
      </c>
      <c r="S33" s="778">
        <f t="shared" si="10"/>
        <v>100</v>
      </c>
      <c r="T33" s="777" t="s">
        <v>17</v>
      </c>
      <c r="U33" s="778">
        <f t="shared" si="11"/>
        <v>100</v>
      </c>
      <c r="V33" s="777" t="s">
        <v>17</v>
      </c>
      <c r="W33" s="778">
        <f t="shared" si="12"/>
        <v>100</v>
      </c>
      <c r="X33" s="779"/>
      <c r="Y33" s="3229"/>
      <c r="Z33" s="780">
        <f t="shared" si="13"/>
        <v>111</v>
      </c>
      <c r="AA33" s="1815">
        <f t="shared" si="3"/>
        <v>1</v>
      </c>
      <c r="AB33" s="1815">
        <f t="shared" si="4"/>
        <v>1</v>
      </c>
      <c r="AC33" s="1815">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4" t="str">
        <f>B34</f>
        <v>宗地面积</v>
      </c>
      <c r="R34" s="774" t="s">
        <v>17</v>
      </c>
      <c r="S34" s="775" t="e">
        <f t="shared" si="10"/>
        <v>#N/A</v>
      </c>
      <c r="T34" s="774" t="s">
        <v>17</v>
      </c>
      <c r="U34" s="775" t="e">
        <f t="shared" si="11"/>
        <v>#N/A</v>
      </c>
      <c r="V34" s="774" t="s">
        <v>17</v>
      </c>
      <c r="W34" s="775" t="e">
        <f t="shared" si="12"/>
        <v>#N/A</v>
      </c>
      <c r="X34" s="1817"/>
      <c r="Y34" s="3229"/>
      <c r="Z34" s="1818" t="str">
        <f t="shared" si="13"/>
        <v>宗地面积</v>
      </c>
      <c r="AA34" s="1815" t="e">
        <f t="shared" si="3"/>
        <v>#N/A</v>
      </c>
      <c r="AB34" s="1815" t="e">
        <f t="shared" si="4"/>
        <v>#N/A</v>
      </c>
      <c r="AC34" s="1815"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29"/>
      <c r="Q35" s="1814" t="str">
        <f t="shared" ref="Q35:Q40" si="14">B35</f>
        <v>宗地形状</v>
      </c>
      <c r="R35" s="774" t="s">
        <v>17</v>
      </c>
      <c r="S35" s="775">
        <f t="shared" si="10"/>
        <v>100</v>
      </c>
      <c r="T35" s="774" t="s">
        <v>17</v>
      </c>
      <c r="U35" s="775">
        <f t="shared" si="11"/>
        <v>100</v>
      </c>
      <c r="V35" s="774" t="s">
        <v>17</v>
      </c>
      <c r="W35" s="775">
        <f t="shared" si="12"/>
        <v>100</v>
      </c>
      <c r="X35" s="1817"/>
      <c r="Y35" s="3229"/>
      <c r="Z35" s="1818" t="str">
        <f t="shared" si="13"/>
        <v>宗地形状</v>
      </c>
      <c r="AA35" s="1815">
        <f t="shared" si="3"/>
        <v>1</v>
      </c>
      <c r="AB35" s="1815">
        <f t="shared" si="4"/>
        <v>1</v>
      </c>
      <c r="AC35" s="1815">
        <f t="shared" si="5"/>
        <v>1</v>
      </c>
    </row>
    <row r="36" spans="1:29" s="116" customFormat="1" ht="15">
      <c r="A36" s="473"/>
      <c r="B36" s="422" t="s">
        <v>2753</v>
      </c>
      <c r="C36" s="2702"/>
      <c r="D36" s="135">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29"/>
      <c r="Q36" s="1814"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29" t="s">
        <v>2564</v>
      </c>
      <c r="Q37" s="1814" t="str">
        <f t="shared" si="14"/>
        <v>工程地质条件</v>
      </c>
      <c r="R37" s="774" t="s">
        <v>17</v>
      </c>
      <c r="S37" s="775">
        <f t="shared" si="10"/>
        <v>100</v>
      </c>
      <c r="T37" s="774" t="s">
        <v>17</v>
      </c>
      <c r="U37" s="775">
        <f t="shared" si="11"/>
        <v>100</v>
      </c>
      <c r="V37" s="774" t="s">
        <v>17</v>
      </c>
      <c r="W37" s="775">
        <f t="shared" si="12"/>
        <v>100</v>
      </c>
      <c r="X37" s="1817"/>
      <c r="Y37" s="3229" t="s">
        <v>2564</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4">
        <f t="shared" si="14"/>
        <v>111</v>
      </c>
      <c r="R38" s="774" t="s">
        <v>17</v>
      </c>
      <c r="S38" s="775">
        <f t="shared" si="10"/>
        <v>100</v>
      </c>
      <c r="T38" s="774" t="s">
        <v>17</v>
      </c>
      <c r="U38" s="775">
        <f t="shared" si="11"/>
        <v>100</v>
      </c>
      <c r="V38" s="774" t="s">
        <v>17</v>
      </c>
      <c r="W38" s="775">
        <f t="shared" si="12"/>
        <v>100</v>
      </c>
      <c r="X38" s="1817"/>
      <c r="Y38" s="3229"/>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4">
        <f t="shared" si="14"/>
        <v>111</v>
      </c>
      <c r="R39" s="774" t="s">
        <v>17</v>
      </c>
      <c r="S39" s="775">
        <f t="shared" si="10"/>
        <v>100</v>
      </c>
      <c r="T39" s="774" t="s">
        <v>17</v>
      </c>
      <c r="U39" s="775">
        <f t="shared" si="11"/>
        <v>100</v>
      </c>
      <c r="V39" s="774" t="s">
        <v>17</v>
      </c>
      <c r="W39" s="775">
        <f t="shared" si="12"/>
        <v>100</v>
      </c>
      <c r="X39" s="1817"/>
      <c r="Y39" s="3229"/>
      <c r="Z39" s="1818">
        <f t="shared" si="13"/>
        <v>111</v>
      </c>
      <c r="AA39" s="1815">
        <f t="shared" si="3"/>
        <v>1</v>
      </c>
      <c r="AB39" s="1815">
        <f t="shared" si="4"/>
        <v>1</v>
      </c>
      <c r="AC39" s="1815">
        <f t="shared" si="5"/>
        <v>1</v>
      </c>
    </row>
    <row r="40" spans="1:29" s="471" customFormat="1" ht="15.75" thickBot="1">
      <c r="A40" s="468"/>
      <c r="B40" s="1390">
        <v>111</v>
      </c>
      <c r="C40" s="2703"/>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4">
        <f t="shared" si="14"/>
        <v>111</v>
      </c>
      <c r="R40" s="777" t="s">
        <v>17</v>
      </c>
      <c r="S40" s="778">
        <f t="shared" si="10"/>
        <v>100</v>
      </c>
      <c r="T40" s="777" t="s">
        <v>17</v>
      </c>
      <c r="U40" s="778">
        <f t="shared" si="11"/>
        <v>100</v>
      </c>
      <c r="V40" s="777" t="s">
        <v>17</v>
      </c>
      <c r="W40" s="778">
        <f t="shared" si="12"/>
        <v>100</v>
      </c>
      <c r="X40" s="779"/>
      <c r="Y40" s="3229"/>
      <c r="Z40" s="780">
        <f t="shared" si="13"/>
        <v>111</v>
      </c>
      <c r="AA40" s="1815">
        <f t="shared" si="3"/>
        <v>1</v>
      </c>
      <c r="AB40" s="1815">
        <f t="shared" si="4"/>
        <v>1</v>
      </c>
      <c r="AC40" s="1815">
        <f t="shared" si="5"/>
        <v>1</v>
      </c>
    </row>
    <row r="41" spans="1:29" ht="15">
      <c r="A41" s="479" t="s">
        <v>2719</v>
      </c>
      <c r="B41" s="2704" t="s">
        <v>2799</v>
      </c>
      <c r="C41" s="682" t="s">
        <v>1</v>
      </c>
      <c r="D41" s="481"/>
      <c r="E41" s="482"/>
      <c r="F41" s="483"/>
      <c r="G41" s="484"/>
      <c r="H41" s="485"/>
      <c r="I41" s="482"/>
      <c r="J41" s="485"/>
      <c r="K41" s="783"/>
      <c r="L41" s="1146"/>
      <c r="M41" s="1134"/>
      <c r="N41" s="1134"/>
      <c r="O41" s="1147"/>
      <c r="P41" s="3211" t="str">
        <f>A41</f>
        <v>成交单价</v>
      </c>
      <c r="Q41" s="3211"/>
      <c r="R41" s="3224">
        <f>E41</f>
        <v>0</v>
      </c>
      <c r="S41" s="3224"/>
      <c r="T41" s="3224">
        <f>G41</f>
        <v>0</v>
      </c>
      <c r="U41" s="3224"/>
      <c r="V41" s="3224">
        <f>I41</f>
        <v>0</v>
      </c>
      <c r="W41" s="322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31" t="str">
        <f>A43</f>
        <v>估价对象XX用房的比较价值（楼面单价，元/平方米）</v>
      </c>
      <c r="Q43" s="3232"/>
      <c r="R43" s="3233" t="e">
        <f>ROUND(AVERAGE(R42:V42),0)</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5" t="s">
        <v>2759</v>
      </c>
      <c r="D50" s="2706" t="s">
        <v>2760</v>
      </c>
      <c r="E50" s="686" t="s">
        <v>2761</v>
      </c>
      <c r="F50" s="687" t="s">
        <v>2762</v>
      </c>
      <c r="G50" s="3212" t="s">
        <v>2763</v>
      </c>
      <c r="H50" s="3234"/>
      <c r="I50" s="1818" t="s">
        <v>2800</v>
      </c>
      <c r="J50" s="1818" t="str">
        <f>项目基本情况!F35</f>
        <v>河北省保定市涞水县涞水镇</v>
      </c>
      <c r="K50" s="2708" t="s">
        <v>2765</v>
      </c>
      <c r="L50" s="1109"/>
      <c r="M50" s="1147"/>
      <c r="N50" s="1147"/>
      <c r="O50" s="1147"/>
    </row>
    <row r="51" spans="1:17" s="692" customFormat="1">
      <c r="A51" s="688" t="s">
        <v>2766</v>
      </c>
      <c r="B51" s="689" t="e">
        <f>C43</f>
        <v>#DIV/0!</v>
      </c>
      <c r="C51" s="690">
        <v>1</v>
      </c>
      <c r="D51" s="1166">
        <v>1</v>
      </c>
      <c r="E51" s="690">
        <f>'数据-汇总表'!E8+'数据-汇总表'!E9</f>
        <v>13139.142</v>
      </c>
      <c r="F51" s="691" t="e">
        <f t="shared" ref="F51:F60" si="15">ROUND(B51*E51/10000,0)</f>
        <v>#DIV/0!</v>
      </c>
      <c r="G51" s="3235"/>
      <c r="H51" s="3211"/>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36"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36"/>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36"/>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36"/>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9"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9"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0"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5708.86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1" t="s">
        <v>2781</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6" t="s">
        <v>2801</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2584</v>
      </c>
      <c r="B67" s="516"/>
      <c r="C67" s="517"/>
      <c r="D67" s="518"/>
      <c r="E67" s="518"/>
      <c r="F67" s="518"/>
      <c r="G67" s="518"/>
      <c r="H67" s="518"/>
      <c r="I67" s="518"/>
      <c r="J67" s="518"/>
      <c r="K67" s="518"/>
      <c r="L67" s="518"/>
      <c r="M67" s="519"/>
      <c r="N67" s="519"/>
      <c r="O67" s="520"/>
      <c r="P67" s="504"/>
      <c r="Q67" s="504"/>
    </row>
    <row r="68" spans="1:17" s="116" customFormat="1" ht="15">
      <c r="A68" s="521" t="s">
        <v>2549</v>
      </c>
      <c r="B68" s="510"/>
      <c r="C68" s="522" t="s">
        <v>2651</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6"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6"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6" t="s">
        <v>2806</v>
      </c>
      <c r="S1" s="1606" t="s">
        <v>2807</v>
      </c>
      <c r="T1" s="1606" t="s">
        <v>2808</v>
      </c>
      <c r="U1" s="1606" t="s">
        <v>2809</v>
      </c>
      <c r="V1" s="1606" t="s">
        <v>2810</v>
      </c>
      <c r="W1" s="1610"/>
      <c r="X1" s="1610"/>
      <c r="Y1" s="1610"/>
      <c r="Z1" s="1610"/>
      <c r="AA1" s="1610"/>
      <c r="AB1" s="1610"/>
      <c r="AC1" s="1611"/>
      <c r="AD1" s="1612"/>
      <c r="AE1" s="1612"/>
      <c r="AF1" s="1612"/>
      <c r="AG1" s="1612"/>
      <c r="AH1" s="1612"/>
      <c r="AI1" s="1612"/>
      <c r="AJ1" s="1613"/>
    </row>
    <row r="2" spans="1:36" ht="15.75">
      <c r="A2" s="245" t="s">
        <v>2811</v>
      </c>
      <c r="B2" s="248"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2.34</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309"/>
      <c r="B4" s="3310"/>
      <c r="C4" s="3310"/>
      <c r="D4" s="3311"/>
      <c r="E4" s="3311"/>
      <c r="F4" s="3311"/>
      <c r="G4" s="3311"/>
      <c r="H4" s="3311"/>
      <c r="I4" s="3311"/>
      <c r="J4" s="3312"/>
      <c r="K4" s="1373"/>
      <c r="L4" s="2726" t="s">
        <v>2824</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8" customFormat="1" ht="15.75" thickBot="1">
      <c r="A5" s="2729" t="s">
        <v>807</v>
      </c>
      <c r="B5" s="2730" t="s">
        <v>2825</v>
      </c>
      <c r="C5" s="917" t="e">
        <f>ROUND(IF(E2="商业",IF(F16="增加",C6*C7+C16,C6*C7-C16),IF(E2="住宅",IF(F16="增加",C6*C12+C16,C6*C12-C16),IF(F16="增加",C6+C16,C6-C16))),0)</f>
        <v>#DIV/0!</v>
      </c>
      <c r="D5" s="1791">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v>
      </c>
      <c r="T5" s="1606" t="e">
        <f t="shared" si="0"/>
        <v>#DIV/0!</v>
      </c>
      <c r="U5" s="1607"/>
      <c r="V5" s="1606" t="e">
        <f t="shared" si="1"/>
        <v>#DIV/0!</v>
      </c>
      <c r="W5" s="1610"/>
      <c r="X5" s="1610"/>
      <c r="Y5" s="1610"/>
      <c r="Z5" s="1610"/>
      <c r="AA5" s="1610"/>
      <c r="AB5" s="1610"/>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v>
      </c>
      <c r="T6" s="1606" t="e">
        <f t="shared" si="0"/>
        <v>#DIV/0!</v>
      </c>
      <c r="U6" s="1607"/>
      <c r="V6" s="1606" t="e">
        <f t="shared" si="1"/>
        <v>#DIV/0!</v>
      </c>
      <c r="W6" s="1610"/>
      <c r="X6" s="1610"/>
      <c r="Y6" s="1610"/>
      <c r="Z6" s="1610"/>
      <c r="AA6" s="1610"/>
      <c r="AB6" s="1610"/>
      <c r="AC6" s="2735"/>
      <c r="AD6" s="2736"/>
      <c r="AE6" s="2736"/>
      <c r="AF6" s="2736"/>
      <c r="AG6" s="2736"/>
      <c r="AH6" s="2736"/>
      <c r="AI6" s="2736"/>
      <c r="AJ6" s="2737"/>
    </row>
    <row r="7" spans="1:36" ht="24">
      <c r="A7" s="3295"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v>
      </c>
      <c r="T7" s="1606" t="e">
        <f t="shared" si="0"/>
        <v>#DIV/0!</v>
      </c>
      <c r="U7" s="1607"/>
      <c r="V7" s="1606" t="e">
        <f t="shared" si="1"/>
        <v>#DIV/0!</v>
      </c>
      <c r="W7" s="1820" t="s">
        <v>2834</v>
      </c>
      <c r="X7" s="1608">
        <f>G2</f>
        <v>0</v>
      </c>
      <c r="Y7" s="1608" t="s">
        <v>2835</v>
      </c>
      <c r="Z7" s="1609">
        <f>G3</f>
        <v>2.34</v>
      </c>
      <c r="AA7" s="1610"/>
      <c r="AB7" s="1610"/>
      <c r="AC7" s="1611"/>
      <c r="AD7" s="1612"/>
      <c r="AE7" s="1612"/>
      <c r="AF7" s="1612"/>
      <c r="AG7" s="1612"/>
      <c r="AH7" s="1612"/>
      <c r="AI7" s="1612"/>
      <c r="AJ7" s="1613"/>
    </row>
    <row r="8" spans="1:36" ht="15">
      <c r="A8" s="3296"/>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306" t="s">
        <v>2839</v>
      </c>
      <c r="X8" s="3307"/>
      <c r="Y8" s="1614" t="s">
        <v>2840</v>
      </c>
      <c r="Z8" s="1614" t="s">
        <v>2841</v>
      </c>
      <c r="AA8" s="1614" t="s">
        <v>2842</v>
      </c>
      <c r="AB8" s="1614" t="s">
        <v>2843</v>
      </c>
      <c r="AC8" s="1614" t="s">
        <v>2844</v>
      </c>
      <c r="AD8" s="1614" t="s">
        <v>2845</v>
      </c>
      <c r="AE8" s="1614" t="s">
        <v>2846</v>
      </c>
      <c r="AF8" s="1614" t="s">
        <v>2847</v>
      </c>
      <c r="AG8" s="1614" t="s">
        <v>2848</v>
      </c>
      <c r="AH8" s="1614" t="s">
        <v>2849</v>
      </c>
      <c r="AI8" s="1614" t="s">
        <v>2850</v>
      </c>
      <c r="AJ8" s="1614" t="s">
        <v>2851</v>
      </c>
    </row>
    <row r="9" spans="1:36" ht="15">
      <c r="A9" s="3296"/>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308" t="s">
        <v>2855</v>
      </c>
      <c r="X9" s="1615" t="s">
        <v>2856</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96"/>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308"/>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96"/>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308" t="s">
        <v>2863</v>
      </c>
      <c r="X11" s="1618" t="s">
        <v>2864</v>
      </c>
      <c r="Y11" s="1619">
        <f>$G$3</f>
        <v>2.34</v>
      </c>
      <c r="Z11" s="1619">
        <f t="shared" ref="Z11:AJ11" si="3">$G$3</f>
        <v>2.34</v>
      </c>
      <c r="AA11" s="1619">
        <f t="shared" si="3"/>
        <v>2.34</v>
      </c>
      <c r="AB11" s="1619">
        <f t="shared" si="3"/>
        <v>2.34</v>
      </c>
      <c r="AC11" s="1619">
        <f t="shared" si="3"/>
        <v>2.34</v>
      </c>
      <c r="AD11" s="1619">
        <f t="shared" si="3"/>
        <v>2.34</v>
      </c>
      <c r="AE11" s="1619">
        <f t="shared" si="3"/>
        <v>2.34</v>
      </c>
      <c r="AF11" s="1619">
        <f t="shared" si="3"/>
        <v>2.34</v>
      </c>
      <c r="AG11" s="1619">
        <f t="shared" si="3"/>
        <v>2.34</v>
      </c>
      <c r="AH11" s="1619">
        <f t="shared" si="3"/>
        <v>2.34</v>
      </c>
      <c r="AI11" s="1619">
        <f t="shared" si="3"/>
        <v>2.34</v>
      </c>
      <c r="AJ11" s="1619">
        <f t="shared" si="3"/>
        <v>2.34</v>
      </c>
    </row>
    <row r="12" spans="1:36" ht="25.5" thickBot="1">
      <c r="A12" s="3295"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308"/>
      <c r="X12" s="1620" t="s">
        <v>2869</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13"/>
      <c r="B13" s="2764" t="s">
        <v>2870</v>
      </c>
      <c r="C13" s="2765" t="s">
        <v>2871</v>
      </c>
      <c r="D13" s="1812" t="s">
        <v>2872</v>
      </c>
      <c r="E13" s="1812" t="s">
        <v>2873</v>
      </c>
      <c r="F13" s="30" t="s">
        <v>2874</v>
      </c>
      <c r="G13" s="2766" t="s">
        <v>2875</v>
      </c>
      <c r="H13" s="2766" t="s">
        <v>2875</v>
      </c>
      <c r="I13" s="2766" t="s">
        <v>2875</v>
      </c>
      <c r="J13" s="2767" t="s">
        <v>2875</v>
      </c>
      <c r="K13" s="1373"/>
      <c r="L13" s="1373"/>
      <c r="M13" s="1373"/>
      <c r="N13" s="1373"/>
      <c r="O13" s="1373"/>
      <c r="P13" s="1373"/>
      <c r="Q13" s="1373"/>
      <c r="R13" s="1606">
        <v>12</v>
      </c>
      <c r="S13" s="1607"/>
      <c r="T13" s="1606" t="e">
        <f t="shared" si="0"/>
        <v>#DIV/0!</v>
      </c>
      <c r="U13" s="1607"/>
      <c r="V13" s="1606" t="e">
        <f t="shared" si="1"/>
        <v>#DIV/0!</v>
      </c>
      <c r="W13" s="3308"/>
      <c r="X13" s="1620"/>
      <c r="Y13" s="1617">
        <f>(-0.163*(Y12^2)-0.59*Y12+7617)*(10^(-4))/Y11</f>
        <v>0.32551282051282054</v>
      </c>
      <c r="Z13" s="1617">
        <f t="shared" ref="Z13:AJ13" si="5">(-0.163*(Z12^2)-0.59*Z12+7617)*(10^(-4))/Z11</f>
        <v>0.32551282051282054</v>
      </c>
      <c r="AA13" s="1617">
        <f t="shared" si="5"/>
        <v>0.32551282051282054</v>
      </c>
      <c r="AB13" s="1617">
        <f t="shared" si="5"/>
        <v>0.32551282051282054</v>
      </c>
      <c r="AC13" s="1617">
        <f t="shared" si="5"/>
        <v>0.32551282051282054</v>
      </c>
      <c r="AD13" s="1617">
        <f t="shared" si="5"/>
        <v>0.32551282051282054</v>
      </c>
      <c r="AE13" s="1617">
        <f t="shared" si="5"/>
        <v>0.32551282051282054</v>
      </c>
      <c r="AF13" s="1617">
        <f t="shared" si="5"/>
        <v>0.32551282051282054</v>
      </c>
      <c r="AG13" s="1617">
        <f t="shared" si="5"/>
        <v>0.32551282051282054</v>
      </c>
      <c r="AH13" s="1617">
        <f t="shared" si="5"/>
        <v>0.32551282051282054</v>
      </c>
      <c r="AI13" s="1617">
        <f t="shared" si="5"/>
        <v>0.32551282051282054</v>
      </c>
      <c r="AJ13" s="1617">
        <f t="shared" si="5"/>
        <v>0.32551282051282054</v>
      </c>
    </row>
    <row r="14" spans="1:36" ht="15">
      <c r="A14" s="3313"/>
      <c r="B14" s="2768"/>
      <c r="C14" s="2769"/>
      <c r="D14" s="2770"/>
      <c r="E14" s="2770"/>
      <c r="F14" s="2771"/>
      <c r="G14" s="2772" t="s">
        <v>2876</v>
      </c>
      <c r="H14" s="2773"/>
      <c r="I14" s="2774"/>
      <c r="J14" s="2775"/>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314"/>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95" t="s">
        <v>2882</v>
      </c>
      <c r="B16" s="2745" t="s">
        <v>2883</v>
      </c>
      <c r="C16" s="1805" t="e">
        <f>ROUND(SUM(G17:J17)/C17,0)</f>
        <v>#DIV/0!</v>
      </c>
      <c r="D16" s="2779" t="s">
        <v>2884</v>
      </c>
      <c r="E16" s="2780"/>
      <c r="F16" s="2781"/>
      <c r="G16" s="2782"/>
      <c r="H16" s="2782"/>
      <c r="I16" s="2782"/>
      <c r="J16" s="2783"/>
      <c r="K16" s="1373"/>
      <c r="L16" s="2784" t="s">
        <v>2885</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96"/>
      <c r="B17" s="2785" t="s">
        <v>2886</v>
      </c>
      <c r="C17" s="924">
        <f>SUMPRODUCT((修正!A2:A5=E2)*(修正!B1:M1=G2)*(修正!B2:M5))</f>
        <v>0</v>
      </c>
      <c r="D17" s="2786"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ROUND(IF(H19="按公示增长率计算",SUMPRODUCT((地价!A3:A20=YEAR(G19)&amp;"-"&amp;ROUNDUP(MONTH(G19)/3,0))*(地价!X2:AB2=E2)*(地价!X3:AB20)),IF(H19="地价指数",M20/M19,(1+I19)^O19)),4)</f>
        <v>#DIV/0!</v>
      </c>
      <c r="D19" s="2797" t="s">
        <v>2892</v>
      </c>
      <c r="E19" s="928">
        <v>41640</v>
      </c>
      <c r="F19" s="2797" t="s">
        <v>2893</v>
      </c>
      <c r="G19" s="929">
        <f>'数据-取费表'!B2</f>
        <v>43049</v>
      </c>
      <c r="H19" s="2798" t="s">
        <v>2894</v>
      </c>
      <c r="I19" s="930" t="str">
        <f>IF(H19="季度增幅（自定义）",SUMIF(N21:N24,E2,O21:O24),"")</f>
        <v/>
      </c>
      <c r="J19" s="2795"/>
      <c r="K19" s="1380"/>
      <c r="L19" s="2799" t="s">
        <v>2895</v>
      </c>
      <c r="M19" s="1738">
        <f>ROUND(SUMIF(地价!B2:F2,E2,地价!B20:F20),0)</f>
        <v>0</v>
      </c>
      <c r="N19" s="2800" t="s">
        <v>2896</v>
      </c>
      <c r="O19" s="931">
        <f>ROUNDDOWN(DATEDIF(E19,G19,"M")/3,0)</f>
        <v>15</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2">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9">
        <f>ROUND(SUMPRODUCT((地价!A5:A20=YEAR(G19)&amp;"-"&amp;ROUNDUP(MONTH(G19)/3,0))*(地价!B2:F2=E2)*(地价!B5:F20)),0)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4" t="s">
        <v>2908</v>
      </c>
      <c r="D22" s="1814">
        <f>IF(E22=G22,F22,IF(G3&lt;=10,ROUND(F22+(H22-F22)*(G3-E22)/(G22-E22),4),"——"))</f>
        <v>0</v>
      </c>
      <c r="E22" s="916">
        <f>ROUNDDOWN(G3,1)</f>
        <v>2.2999999999999998</v>
      </c>
      <c r="F22" s="18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2.4</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4" t="s">
        <v>155</v>
      </c>
      <c r="J22" s="941" t="str">
        <f>IF(G3&gt;10,D113,"——")</f>
        <v>——</v>
      </c>
      <c r="K22" s="1380"/>
      <c r="N22" s="2815" t="s">
        <v>2909</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303" t="s">
        <v>2931</v>
      </c>
      <c r="B33" s="2861" t="s">
        <v>2932</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4"/>
      <c r="B34" s="2765" t="s">
        <v>2933</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4"/>
      <c r="B35" s="2765" t="s">
        <v>2934</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305"/>
      <c r="B36" s="2765" t="s">
        <v>2935</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3" t="s">
        <v>2944</v>
      </c>
      <c r="C47" s="1813" t="s">
        <v>2945</v>
      </c>
      <c r="D47" s="1813" t="s">
        <v>2946</v>
      </c>
      <c r="E47" s="819" t="s">
        <v>2947</v>
      </c>
      <c r="F47" s="2879" t="s">
        <v>2948</v>
      </c>
      <c r="G47" s="1813" t="s">
        <v>754</v>
      </c>
      <c r="H47" s="2880" t="s">
        <v>2949</v>
      </c>
      <c r="I47" s="1813"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9"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3"/>
      <c r="C58" s="1813" t="s">
        <v>2945</v>
      </c>
      <c r="D58" s="1813" t="s">
        <v>2946</v>
      </c>
      <c r="E58" s="819" t="s">
        <v>2947</v>
      </c>
      <c r="F58" s="2879" t="s">
        <v>2963</v>
      </c>
      <c r="G58" s="1813" t="s">
        <v>754</v>
      </c>
      <c r="H58" s="2880" t="s">
        <v>2949</v>
      </c>
      <c r="I58" s="1813"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9"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9"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3"/>
      <c r="C69" s="1813" t="s">
        <v>2945</v>
      </c>
      <c r="D69" s="1813" t="s">
        <v>2946</v>
      </c>
      <c r="E69" s="819" t="s">
        <v>2947</v>
      </c>
      <c r="F69" s="2879" t="s">
        <v>2963</v>
      </c>
      <c r="G69" s="1813" t="s">
        <v>754</v>
      </c>
      <c r="H69" s="2880" t="s">
        <v>2949</v>
      </c>
      <c r="I69" s="1813"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9"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9"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3"/>
      <c r="C80" s="1813" t="s">
        <v>2945</v>
      </c>
      <c r="D80" s="1813" t="s">
        <v>2946</v>
      </c>
      <c r="E80" s="819" t="s">
        <v>2947</v>
      </c>
      <c r="F80" s="2879" t="s">
        <v>2963</v>
      </c>
      <c r="G80" s="1813" t="s">
        <v>754</v>
      </c>
      <c r="H80" s="2880" t="s">
        <v>2949</v>
      </c>
      <c r="I80" s="1813" t="s">
        <v>2950</v>
      </c>
      <c r="J80" s="603" t="s">
        <v>2596</v>
      </c>
      <c r="K80" s="603" t="s">
        <v>2597</v>
      </c>
      <c r="L80" s="603" t="s">
        <v>2598</v>
      </c>
      <c r="M80" s="603" t="s">
        <v>2599</v>
      </c>
      <c r="N80" s="603" t="s">
        <v>2600</v>
      </c>
      <c r="Z80" s="2720"/>
      <c r="AA80" s="2796"/>
      <c r="AG80" s="1375"/>
      <c r="AK80" s="2796"/>
    </row>
    <row r="81" spans="1:37" ht="38.25">
      <c r="A81" s="2878" t="s">
        <v>2970</v>
      </c>
      <c r="B81" s="2882" t="str">
        <f>估价对象房地状况!G15</f>
        <v>估价对象位于XX开发区，园区建设成熟度XX，产业集聚程度XX</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2952</v>
      </c>
      <c r="B82" s="2882" t="str">
        <f>估价对象房地状况!G16</f>
        <v>估价对象周边道路状况、公共交通通达情况、停车便捷程度，综合评价交通便捷度较好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2953</v>
      </c>
      <c r="B83" s="2882">
        <f>估价对象房地状况!G17</f>
        <v>0</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9" t="str">
        <f>估价对象房地状况!G19</f>
        <v>估价对象所在区域公共配套设施齐备情况</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9" t="str">
        <f>估价对象房地状况!G20</f>
        <v>估价对象所在区域基础设施水平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该园区内是否有污染型企业，绿化情况，卫生条件，整体环境状况判断</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97" t="s">
        <v>2973</v>
      </c>
      <c r="B90" s="3297"/>
      <c r="C90" s="3297"/>
      <c r="D90" s="3297"/>
      <c r="E90" s="3297"/>
      <c r="F90" s="3297"/>
      <c r="G90" s="3297"/>
      <c r="H90" s="3297"/>
      <c r="I90" s="3297"/>
      <c r="J90" s="3297"/>
      <c r="K90" s="2892"/>
      <c r="L90" s="2892"/>
      <c r="M90" s="2892"/>
      <c r="N90" s="2892"/>
    </row>
    <row r="91" spans="1:37">
      <c r="A91" s="3299" t="s">
        <v>2974</v>
      </c>
      <c r="B91" s="3299" t="s">
        <v>2975</v>
      </c>
      <c r="C91" s="2846" t="s">
        <v>2976</v>
      </c>
      <c r="D91" s="2847"/>
      <c r="E91" s="2847"/>
      <c r="F91" s="2847"/>
      <c r="G91" s="2847"/>
      <c r="H91" s="2847"/>
      <c r="I91" s="2847"/>
      <c r="J91" s="2893"/>
      <c r="K91" s="2894"/>
      <c r="L91" s="2894"/>
      <c r="M91" s="2894"/>
      <c r="N91" s="2894"/>
    </row>
    <row r="92" spans="1:37">
      <c r="A92" s="3299"/>
      <c r="B92" s="3299"/>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300"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0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0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0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0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0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01"/>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0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00" t="s">
        <v>2978</v>
      </c>
      <c r="B101" s="2899" t="s">
        <v>2979</v>
      </c>
      <c r="C101" s="2900">
        <f>$G$3</f>
        <v>2.34</v>
      </c>
      <c r="D101" s="2900">
        <f t="shared" ref="D101:N101" si="31">$G$3</f>
        <v>2.34</v>
      </c>
      <c r="E101" s="2900">
        <f t="shared" si="31"/>
        <v>2.34</v>
      </c>
      <c r="F101" s="2900">
        <f t="shared" si="31"/>
        <v>2.34</v>
      </c>
      <c r="G101" s="2900">
        <f t="shared" si="31"/>
        <v>2.34</v>
      </c>
      <c r="H101" s="2900">
        <f t="shared" si="31"/>
        <v>2.34</v>
      </c>
      <c r="I101" s="2900">
        <f t="shared" si="31"/>
        <v>2.34</v>
      </c>
      <c r="J101" s="2900">
        <f t="shared" si="31"/>
        <v>2.34</v>
      </c>
      <c r="K101" s="2900">
        <f t="shared" si="31"/>
        <v>2.34</v>
      </c>
      <c r="L101" s="2900">
        <f t="shared" si="31"/>
        <v>2.34</v>
      </c>
      <c r="M101" s="2900">
        <f t="shared" si="31"/>
        <v>2.34</v>
      </c>
      <c r="N101" s="2900">
        <f t="shared" si="31"/>
        <v>2.34</v>
      </c>
    </row>
    <row r="102" spans="1:14">
      <c r="A102" s="3301"/>
      <c r="B102" s="2895">
        <v>1</v>
      </c>
      <c r="C102" s="2896">
        <f>1.9362/C101</f>
        <v>0.82743589743589741</v>
      </c>
      <c r="D102" s="2896">
        <f>1.9362/D101</f>
        <v>0.82743589743589741</v>
      </c>
      <c r="E102" s="2896">
        <f>1.8629/E101</f>
        <v>0.79611111111111121</v>
      </c>
      <c r="F102" s="2896">
        <f>1.8629/F101</f>
        <v>0.79611111111111121</v>
      </c>
      <c r="G102" s="2896">
        <f>1.8629/G101</f>
        <v>0.79611111111111121</v>
      </c>
      <c r="H102" s="2896">
        <f>1.8629/H101</f>
        <v>0.79611111111111121</v>
      </c>
      <c r="I102" s="2896">
        <f>1.8629/I101</f>
        <v>0.79611111111111121</v>
      </c>
      <c r="J102" s="2896">
        <f>1.942/J101</f>
        <v>0.82991452991452996</v>
      </c>
      <c r="K102" s="2896">
        <f>1.942/K101</f>
        <v>0.82991452991452996</v>
      </c>
      <c r="L102" s="2896">
        <f>1.942/L101</f>
        <v>0.82991452991452996</v>
      </c>
      <c r="M102" s="2896">
        <f>1.942/M101</f>
        <v>0.82991452991452996</v>
      </c>
      <c r="N102" s="2896">
        <f>1.942/N101</f>
        <v>0.82991452991452996</v>
      </c>
    </row>
    <row r="103" spans="1:14">
      <c r="A103" s="3301"/>
      <c r="B103" s="2895">
        <v>2</v>
      </c>
      <c r="C103" s="2896">
        <f>1.4198/C101</f>
        <v>0.60675213675213679</v>
      </c>
      <c r="D103" s="2896">
        <f>1.4198/D101</f>
        <v>0.60675213675213679</v>
      </c>
      <c r="E103" s="2896">
        <f>1.3372/E101</f>
        <v>0.57145299145299144</v>
      </c>
      <c r="F103" s="2896">
        <f>1.3372/F101</f>
        <v>0.57145299145299144</v>
      </c>
      <c r="G103" s="2896">
        <f>1.3372/G101</f>
        <v>0.57145299145299144</v>
      </c>
      <c r="H103" s="2896">
        <f>1.3372/H101</f>
        <v>0.57145299145299144</v>
      </c>
      <c r="I103" s="2896">
        <f>1.3372/I101</f>
        <v>0.57145299145299144</v>
      </c>
      <c r="J103" s="2896">
        <f>1.2799/J101</f>
        <v>0.54696581196581207</v>
      </c>
      <c r="K103" s="2896">
        <f>1.2799/K101</f>
        <v>0.54696581196581207</v>
      </c>
      <c r="L103" s="2896">
        <f>1.2799/L101</f>
        <v>0.54696581196581207</v>
      </c>
      <c r="M103" s="2896">
        <f>1.2799/M101</f>
        <v>0.54696581196581207</v>
      </c>
      <c r="N103" s="2896">
        <f>1.2799/N101</f>
        <v>0.54696581196581207</v>
      </c>
    </row>
    <row r="104" spans="1:14">
      <c r="A104" s="3301"/>
      <c r="B104" s="2895">
        <v>3</v>
      </c>
      <c r="C104" s="2896">
        <f>1.1594/C101</f>
        <v>0.49547008547008548</v>
      </c>
      <c r="D104" s="2896">
        <f>1.1594/D101</f>
        <v>0.49547008547008548</v>
      </c>
      <c r="E104" s="2896">
        <f>1.0788/E101</f>
        <v>0.46102564102564103</v>
      </c>
      <c r="F104" s="2896">
        <f>1.0788/F101</f>
        <v>0.46102564102564103</v>
      </c>
      <c r="G104" s="2896">
        <f>1.0788/G101</f>
        <v>0.46102564102564103</v>
      </c>
      <c r="H104" s="2896">
        <f>1.0788/H101</f>
        <v>0.46102564102564103</v>
      </c>
      <c r="I104" s="2896">
        <f>1.0788/I101</f>
        <v>0.46102564102564103</v>
      </c>
      <c r="J104" s="2896">
        <f>1.0072/J101</f>
        <v>0.43042735042735047</v>
      </c>
      <c r="K104" s="2896">
        <f>1.0072/K101</f>
        <v>0.43042735042735047</v>
      </c>
      <c r="L104" s="2896">
        <f>1.0072/L101</f>
        <v>0.43042735042735047</v>
      </c>
      <c r="M104" s="2896">
        <f>1.0072/M101</f>
        <v>0.43042735042735047</v>
      </c>
      <c r="N104" s="2896">
        <f>1.0072/N101</f>
        <v>0.43042735042735047</v>
      </c>
    </row>
    <row r="105" spans="1:14">
      <c r="A105" s="3301"/>
      <c r="B105" s="2895">
        <v>4</v>
      </c>
      <c r="C105" s="2896">
        <f>0.9622/C101</f>
        <v>0.41119658119658126</v>
      </c>
      <c r="D105" s="2896">
        <f>0.9622/D101</f>
        <v>0.41119658119658126</v>
      </c>
      <c r="E105" s="2896">
        <f>0.8656/E101</f>
        <v>0.36991452991452994</v>
      </c>
      <c r="F105" s="2896">
        <f>0.8656/F101</f>
        <v>0.36991452991452994</v>
      </c>
      <c r="G105" s="2896">
        <f>0.8656/G101</f>
        <v>0.36991452991452994</v>
      </c>
      <c r="H105" s="2896">
        <f>0.8656/H101</f>
        <v>0.36991452991452994</v>
      </c>
      <c r="I105" s="2896">
        <f>0.8656/I101</f>
        <v>0.36991452991452994</v>
      </c>
      <c r="J105" s="2896">
        <f>0.7525/J101</f>
        <v>0.3215811965811966</v>
      </c>
      <c r="K105" s="2896">
        <f>0.7525/K101</f>
        <v>0.3215811965811966</v>
      </c>
      <c r="L105" s="2896">
        <f>0.7525/L101</f>
        <v>0.3215811965811966</v>
      </c>
      <c r="M105" s="2896">
        <f>0.7525/M101</f>
        <v>0.3215811965811966</v>
      </c>
      <c r="N105" s="2896">
        <f>0.7525/N101</f>
        <v>0.3215811965811966</v>
      </c>
    </row>
    <row r="106" spans="1:14">
      <c r="A106" s="3301"/>
      <c r="B106" s="2895">
        <v>5</v>
      </c>
      <c r="C106" s="2896">
        <f>0.8417/C101</f>
        <v>0.35970085470085472</v>
      </c>
      <c r="D106" s="2896">
        <f>0.8417/D101</f>
        <v>0.35970085470085472</v>
      </c>
      <c r="E106" s="2896">
        <f>0.7371/E101</f>
        <v>0.315</v>
      </c>
      <c r="F106" s="2896">
        <f>0.7371/F101</f>
        <v>0.315</v>
      </c>
      <c r="G106" s="2896">
        <f>0.7371/G101</f>
        <v>0.315</v>
      </c>
      <c r="H106" s="2896">
        <f>0.7371/H101</f>
        <v>0.315</v>
      </c>
      <c r="I106" s="2896">
        <f>0.7371/I101</f>
        <v>0.315</v>
      </c>
      <c r="J106" s="2896">
        <f>0.5659/J101</f>
        <v>0.24183760683760683</v>
      </c>
      <c r="K106" s="2896">
        <f>0.5659/K101</f>
        <v>0.24183760683760683</v>
      </c>
      <c r="L106" s="2896">
        <f>0.5659/L101</f>
        <v>0.24183760683760683</v>
      </c>
      <c r="M106" s="2896">
        <f>0.5659/M101</f>
        <v>0.24183760683760683</v>
      </c>
      <c r="N106" s="2896">
        <f>0.5659/N101</f>
        <v>0.24183760683760683</v>
      </c>
    </row>
    <row r="107" spans="1:14">
      <c r="A107" s="3301"/>
      <c r="B107" s="2895">
        <v>6</v>
      </c>
      <c r="C107" s="2896">
        <f>0.7608/C101</f>
        <v>0.32512820512820517</v>
      </c>
      <c r="D107" s="2896">
        <f>0.7608/D101</f>
        <v>0.32512820512820517</v>
      </c>
      <c r="E107" s="2896">
        <f>0.6482/E101</f>
        <v>0.27700854700854705</v>
      </c>
      <c r="F107" s="2896">
        <f>0.6482/F101</f>
        <v>0.27700854700854705</v>
      </c>
      <c r="G107" s="2896">
        <f>0.6482/G101</f>
        <v>0.27700854700854705</v>
      </c>
      <c r="H107" s="2896">
        <f>0.6482/H101</f>
        <v>0.27700854700854705</v>
      </c>
      <c r="I107" s="2896">
        <f>0.6482/I101</f>
        <v>0.27700854700854705</v>
      </c>
      <c r="J107" s="2896">
        <f>0.4525/J101</f>
        <v>0.19337606837606838</v>
      </c>
      <c r="K107" s="2896">
        <f>0.4525/K101</f>
        <v>0.19337606837606838</v>
      </c>
      <c r="L107" s="2896">
        <f>0.4525/L101</f>
        <v>0.19337606837606838</v>
      </c>
      <c r="M107" s="2896">
        <f>0.4525/M101</f>
        <v>0.19337606837606838</v>
      </c>
      <c r="N107" s="2896">
        <f>0.4525/N101</f>
        <v>0.19337606837606838</v>
      </c>
    </row>
    <row r="108" spans="1:14">
      <c r="A108" s="3301"/>
      <c r="B108" s="3123"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02"/>
      <c r="B109" s="3124"/>
      <c r="C109" s="2898">
        <f>(-0.163*(C108^2)-0.59*C108+7617)*(10^(-4))/C101</f>
        <v>0.32551282051282054</v>
      </c>
      <c r="D109" s="2898">
        <f>(-0.163*(D108^2)-0.59*D108+7617)*(10^(-4))/D101</f>
        <v>0.32551282051282054</v>
      </c>
      <c r="E109" s="2898">
        <f>(-0.161*(E108^2)-7.509*E108+6533)*(10^(-4))/E101</f>
        <v>0.27918803418803423</v>
      </c>
      <c r="F109" s="2898">
        <f>(-0.161*(F108^2)-7.509*F108+6533)*(10^(-4))/F101</f>
        <v>0.27918803418803423</v>
      </c>
      <c r="G109" s="2898">
        <f>(-0.161*(G108^2)-7.509*G108+6533)*(10^(-4))/G101</f>
        <v>0.27918803418803423</v>
      </c>
      <c r="H109" s="2898">
        <f>(-0.161*(H108^2)-7.509*H108+6533)*(10^(-4))/H101</f>
        <v>0.27918803418803423</v>
      </c>
      <c r="I109" s="2898">
        <f>(-0.161*(I108^2)-7.509*I108+6533)*(10^(-4))/I101</f>
        <v>0.27918803418803423</v>
      </c>
      <c r="J109" s="2898">
        <f>(-0.214*(J108^2)-21.991*J108+4665)*(10^(-4))/J101</f>
        <v>0.19935897435897437</v>
      </c>
      <c r="K109" s="2898">
        <f>(-0.214*(K108^2)-21.991*K108+4665)*(10^(-4))/K101</f>
        <v>0.19935897435897437</v>
      </c>
      <c r="L109" s="2898">
        <f>(-0.214*(L108^2)-21.991*L108+4665)*(10^(-4))/L101</f>
        <v>0.19935897435897437</v>
      </c>
      <c r="M109" s="2898">
        <f>(-0.214*(M108^2)-21.991*M108+4665)*(10^(-4))/M101</f>
        <v>0.19935897435897437</v>
      </c>
      <c r="N109" s="2898">
        <f>(-0.214*(N108^2)-21.991*N108+4665)*(10^(-4))/N101</f>
        <v>0.19935897435897437</v>
      </c>
    </row>
    <row r="110" spans="1:14">
      <c r="A110" s="3298" t="s">
        <v>2981</v>
      </c>
      <c r="B110" s="3298"/>
      <c r="C110" s="3298"/>
      <c r="D110" s="3298"/>
      <c r="E110" s="3298"/>
      <c r="F110" s="3298"/>
      <c r="G110" s="3298"/>
      <c r="H110" s="3298"/>
      <c r="I110" s="3298"/>
      <c r="J110" s="3298"/>
      <c r="K110" s="2901"/>
      <c r="L110" s="2901"/>
      <c r="M110" s="2901"/>
      <c r="N110" s="2901"/>
    </row>
    <row r="112" spans="1:14" ht="13.5" thickBot="1"/>
    <row r="113" spans="1:13" ht="25.5" thickBot="1">
      <c r="A113" s="903" t="s">
        <v>2982</v>
      </c>
      <c r="B113" s="1290">
        <f>G3</f>
        <v>2.34</v>
      </c>
      <c r="C113" s="904" t="s">
        <v>2983</v>
      </c>
      <c r="D113" s="905">
        <f>SUMPRODUCT((A115:A118=F113)*(B114:M114=H113)*B115:M118)</f>
        <v>0</v>
      </c>
      <c r="E113" s="2724" t="s">
        <v>2813</v>
      </c>
      <c r="F113" s="2903">
        <f>E2</f>
        <v>0</v>
      </c>
      <c r="G113" s="2724" t="s">
        <v>2814</v>
      </c>
      <c r="H113" s="2903">
        <f>G2</f>
        <v>0</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0.91149999999999998</v>
      </c>
      <c r="C115" s="910">
        <f>B115</f>
        <v>0.91149999999999998</v>
      </c>
      <c r="D115" s="910">
        <f>ROUND(0.8331-0.0109*B113,4)</f>
        <v>0.80759999999999998</v>
      </c>
      <c r="E115" s="910">
        <f>D115</f>
        <v>0.80759999999999998</v>
      </c>
      <c r="F115" s="910">
        <f>E115</f>
        <v>0.80759999999999998</v>
      </c>
      <c r="G115" s="910">
        <f>F115</f>
        <v>0.80759999999999998</v>
      </c>
      <c r="H115" s="910">
        <f>G115</f>
        <v>0.80759999999999998</v>
      </c>
      <c r="I115" s="910">
        <f>ROUND(0.689-0.0155*B113,4)</f>
        <v>0.65269999999999995</v>
      </c>
      <c r="J115" s="910">
        <f t="shared" ref="J115:M118" si="33">I115</f>
        <v>0.65269999999999995</v>
      </c>
      <c r="K115" s="910">
        <f t="shared" si="33"/>
        <v>0.65269999999999995</v>
      </c>
      <c r="L115" s="910">
        <f t="shared" si="33"/>
        <v>0.65269999999999995</v>
      </c>
      <c r="M115" s="911">
        <f t="shared" si="33"/>
        <v>0.65269999999999995</v>
      </c>
    </row>
    <row r="116" spans="1:13">
      <c r="A116" s="909" t="s">
        <v>2879</v>
      </c>
      <c r="B116" s="910">
        <f>ROUND(0.949-0.012*B113,4)</f>
        <v>0.92090000000000005</v>
      </c>
      <c r="C116" s="910">
        <f>B116</f>
        <v>0.92090000000000005</v>
      </c>
      <c r="D116" s="910">
        <f>ROUND(0.8567-0.013*B113,4)</f>
        <v>0.82630000000000003</v>
      </c>
      <c r="E116" s="910">
        <f t="shared" ref="E116:H117" si="34">D116</f>
        <v>0.82630000000000003</v>
      </c>
      <c r="F116" s="910">
        <f t="shared" si="34"/>
        <v>0.82630000000000003</v>
      </c>
      <c r="G116" s="910">
        <f t="shared" si="34"/>
        <v>0.82630000000000003</v>
      </c>
      <c r="H116" s="910">
        <f t="shared" si="34"/>
        <v>0.82630000000000003</v>
      </c>
      <c r="I116" s="910">
        <f>ROUND(0.7694-0.014*B113,4)</f>
        <v>0.73660000000000003</v>
      </c>
      <c r="J116" s="910">
        <f t="shared" si="33"/>
        <v>0.73660000000000003</v>
      </c>
      <c r="K116" s="910">
        <f t="shared" si="33"/>
        <v>0.73660000000000003</v>
      </c>
      <c r="L116" s="910">
        <f t="shared" si="33"/>
        <v>0.73660000000000003</v>
      </c>
      <c r="M116" s="911">
        <f t="shared" si="33"/>
        <v>0.73660000000000003</v>
      </c>
    </row>
    <row r="117" spans="1:13">
      <c r="A117" s="909" t="s">
        <v>2880</v>
      </c>
      <c r="B117" s="910">
        <f>ROUND(0.8808-0.006*B113,4)</f>
        <v>0.86680000000000001</v>
      </c>
      <c r="C117" s="910">
        <f>B117</f>
        <v>0.86680000000000001</v>
      </c>
      <c r="D117" s="910">
        <f>ROUND(0.8748-0.008*B113,4)</f>
        <v>0.85609999999999997</v>
      </c>
      <c r="E117" s="910">
        <f t="shared" si="34"/>
        <v>0.85609999999999997</v>
      </c>
      <c r="F117" s="910">
        <f t="shared" si="34"/>
        <v>0.85609999999999997</v>
      </c>
      <c r="G117" s="910">
        <f t="shared" si="34"/>
        <v>0.85609999999999997</v>
      </c>
      <c r="H117" s="910">
        <f t="shared" si="34"/>
        <v>0.85609999999999997</v>
      </c>
      <c r="I117" s="910">
        <f>ROUND(0.7412-0.0095*B113,4)</f>
        <v>0.71899999999999997</v>
      </c>
      <c r="J117" s="910">
        <f t="shared" si="33"/>
        <v>0.71899999999999997</v>
      </c>
      <c r="K117" s="910">
        <f t="shared" si="33"/>
        <v>0.71899999999999997</v>
      </c>
      <c r="L117" s="910">
        <f t="shared" si="33"/>
        <v>0.71899999999999997</v>
      </c>
      <c r="M117" s="911">
        <f t="shared" si="33"/>
        <v>0.71899999999999997</v>
      </c>
    </row>
    <row r="118" spans="1:13" ht="13.5" thickBot="1">
      <c r="A118" s="714" t="s">
        <v>2881</v>
      </c>
      <c r="B118" s="912">
        <f>ROUND(0.7275-0.01*B113,4)</f>
        <v>0.70409999999999995</v>
      </c>
      <c r="C118" s="912">
        <f>B118</f>
        <v>0.70409999999999995</v>
      </c>
      <c r="D118" s="912">
        <f>ROUND(0.7043-0.012*B113,4)</f>
        <v>0.67620000000000002</v>
      </c>
      <c r="E118" s="912">
        <f>D118</f>
        <v>0.67620000000000002</v>
      </c>
      <c r="F118" s="912">
        <f>E118</f>
        <v>0.67620000000000002</v>
      </c>
      <c r="G118" s="912">
        <f>ROUND(0.6299-0.0122*B113,4)</f>
        <v>0.60140000000000005</v>
      </c>
      <c r="H118" s="912">
        <f>G118</f>
        <v>0.60140000000000005</v>
      </c>
      <c r="I118" s="912">
        <f>ROUND(0.5667-0.0136*B113,4)</f>
        <v>0.53490000000000004</v>
      </c>
      <c r="J118" s="912">
        <f t="shared" si="33"/>
        <v>0.53490000000000004</v>
      </c>
      <c r="K118" s="912">
        <f t="shared" si="33"/>
        <v>0.53490000000000004</v>
      </c>
      <c r="L118" s="912">
        <f t="shared" si="33"/>
        <v>0.53490000000000004</v>
      </c>
      <c r="M118" s="913">
        <f t="shared" si="33"/>
        <v>0.53490000000000004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5" t="s">
        <v>183</v>
      </c>
      <c r="B18" s="882" t="s">
        <v>560</v>
      </c>
      <c r="C18" s="883" t="s">
        <v>561</v>
      </c>
      <c r="D18" s="884"/>
      <c r="E18" s="882">
        <v>1</v>
      </c>
      <c r="F18" s="885" t="s">
        <v>562</v>
      </c>
      <c r="G18" s="886"/>
      <c r="H18" s="878"/>
      <c r="I18" s="878"/>
    </row>
    <row r="19" spans="1:9" s="887" customFormat="1" ht="19.5" customHeight="1">
      <c r="A19" s="3315"/>
      <c r="B19" s="3315" t="s">
        <v>563</v>
      </c>
      <c r="C19" s="883" t="s">
        <v>564</v>
      </c>
      <c r="D19" s="884"/>
      <c r="E19" s="882">
        <v>0.9</v>
      </c>
      <c r="F19" s="885" t="s">
        <v>565</v>
      </c>
      <c r="G19" s="886"/>
      <c r="H19" s="878"/>
      <c r="I19" s="878"/>
    </row>
    <row r="20" spans="1:9" s="887" customFormat="1" ht="19.5" customHeight="1">
      <c r="A20" s="3315"/>
      <c r="B20" s="3315"/>
      <c r="C20" s="883" t="s">
        <v>566</v>
      </c>
      <c r="D20" s="884"/>
      <c r="E20" s="882">
        <v>1.1000000000000001</v>
      </c>
      <c r="F20" s="885" t="s">
        <v>567</v>
      </c>
      <c r="G20" s="886"/>
      <c r="H20" s="878"/>
      <c r="I20" s="878"/>
    </row>
    <row r="21" spans="1:9" s="887" customFormat="1" ht="19.5" customHeight="1">
      <c r="A21" s="3315"/>
      <c r="B21" s="3315"/>
      <c r="C21" s="883" t="s">
        <v>568</v>
      </c>
      <c r="D21" s="884"/>
      <c r="E21" s="882">
        <v>0.8</v>
      </c>
      <c r="F21" s="885" t="s">
        <v>569</v>
      </c>
      <c r="G21" s="886"/>
      <c r="H21" s="878"/>
      <c r="I21" s="878"/>
    </row>
    <row r="22" spans="1:9" s="887" customFormat="1" ht="19.5" customHeight="1">
      <c r="A22" s="3315"/>
      <c r="B22" s="3315"/>
      <c r="C22" s="883" t="s">
        <v>570</v>
      </c>
      <c r="D22" s="884"/>
      <c r="E22" s="882">
        <v>0.5</v>
      </c>
      <c r="F22" s="885"/>
      <c r="G22" s="886"/>
      <c r="H22" s="878"/>
      <c r="I22" s="878"/>
    </row>
    <row r="23" spans="1:9" s="887" customFormat="1" ht="19.5" customHeight="1">
      <c r="A23" s="3315" t="s">
        <v>184</v>
      </c>
      <c r="B23" s="882" t="s">
        <v>560</v>
      </c>
      <c r="C23" s="883" t="s">
        <v>571</v>
      </c>
      <c r="D23" s="884"/>
      <c r="E23" s="882">
        <v>1</v>
      </c>
      <c r="F23" s="885" t="s">
        <v>572</v>
      </c>
      <c r="G23" s="886"/>
      <c r="H23" s="878"/>
      <c r="I23" s="878"/>
    </row>
    <row r="24" spans="1:9" s="887" customFormat="1" ht="19.5" customHeight="1">
      <c r="A24" s="3315"/>
      <c r="B24" s="3315" t="s">
        <v>563</v>
      </c>
      <c r="C24" s="883" t="s">
        <v>573</v>
      </c>
      <c r="D24" s="884"/>
      <c r="E24" s="882">
        <v>0.5</v>
      </c>
      <c r="F24" s="885"/>
      <c r="G24" s="886"/>
      <c r="H24" s="878"/>
      <c r="I24" s="878"/>
    </row>
    <row r="25" spans="1:9" s="887" customFormat="1" ht="19.5" customHeight="1">
      <c r="A25" s="3315"/>
      <c r="B25" s="3315"/>
      <c r="C25" s="883" t="s">
        <v>574</v>
      </c>
      <c r="D25" s="884"/>
      <c r="E25" s="882">
        <v>1.1000000000000001</v>
      </c>
      <c r="F25" s="885"/>
      <c r="G25" s="886"/>
      <c r="H25" s="878"/>
      <c r="I25" s="878"/>
    </row>
    <row r="26" spans="1:9" s="887" customFormat="1" ht="19.5" customHeight="1">
      <c r="A26" s="3315"/>
      <c r="B26" s="3315"/>
      <c r="C26" s="883" t="s">
        <v>575</v>
      </c>
      <c r="D26" s="884"/>
      <c r="E26" s="882">
        <v>1.1000000000000001</v>
      </c>
      <c r="F26" s="885"/>
      <c r="G26" s="886"/>
      <c r="H26" s="878"/>
      <c r="I26" s="878"/>
    </row>
    <row r="27" spans="1:9" s="887" customFormat="1" ht="19.5" customHeight="1">
      <c r="A27" s="3315"/>
      <c r="B27" s="3315"/>
      <c r="C27" s="883" t="s">
        <v>576</v>
      </c>
      <c r="D27" s="884"/>
      <c r="E27" s="882">
        <v>0.9</v>
      </c>
      <c r="F27" s="885" t="s">
        <v>577</v>
      </c>
      <c r="G27" s="886"/>
      <c r="H27" s="878"/>
      <c r="I27" s="878"/>
    </row>
    <row r="28" spans="1:9" s="887" customFormat="1" ht="19.5" customHeight="1">
      <c r="A28" s="3315"/>
      <c r="B28" s="3315"/>
      <c r="C28" s="883" t="s">
        <v>578</v>
      </c>
      <c r="D28" s="884"/>
      <c r="E28" s="882">
        <v>0.9</v>
      </c>
      <c r="F28" s="885" t="s">
        <v>579</v>
      </c>
      <c r="G28" s="886"/>
      <c r="H28" s="878"/>
      <c r="I28" s="878"/>
    </row>
    <row r="29" spans="1:9" s="887" customFormat="1" ht="19.5" customHeight="1">
      <c r="A29" s="3315"/>
      <c r="B29" s="3315"/>
      <c r="C29" s="883" t="s">
        <v>580</v>
      </c>
      <c r="D29" s="884"/>
      <c r="E29" s="882">
        <v>0.9</v>
      </c>
      <c r="F29" s="885" t="s">
        <v>581</v>
      </c>
      <c r="G29" s="886"/>
      <c r="H29" s="878"/>
      <c r="I29" s="878"/>
    </row>
    <row r="30" spans="1:9" s="887" customFormat="1" ht="19.5" customHeight="1">
      <c r="A30" s="3315"/>
      <c r="B30" s="3315"/>
      <c r="C30" s="883" t="s">
        <v>582</v>
      </c>
      <c r="D30" s="884"/>
      <c r="E30" s="882">
        <v>0.9</v>
      </c>
      <c r="F30" s="885" t="s">
        <v>583</v>
      </c>
      <c r="G30" s="886"/>
      <c r="H30" s="878"/>
      <c r="I30" s="878"/>
    </row>
    <row r="31" spans="1:9" s="887" customFormat="1" ht="19.5" customHeight="1">
      <c r="A31" s="3315"/>
      <c r="B31" s="3315"/>
      <c r="C31" s="883" t="s">
        <v>584</v>
      </c>
      <c r="D31" s="884"/>
      <c r="E31" s="882">
        <v>0.8</v>
      </c>
      <c r="F31" s="885" t="s">
        <v>585</v>
      </c>
      <c r="G31" s="886"/>
      <c r="H31" s="878"/>
      <c r="I31" s="878"/>
    </row>
    <row r="32" spans="1:9" s="887" customFormat="1" ht="19.5" customHeight="1">
      <c r="A32" s="3315"/>
      <c r="B32" s="3315"/>
      <c r="C32" s="883" t="s">
        <v>586</v>
      </c>
      <c r="D32" s="884"/>
      <c r="E32" s="882">
        <v>0.8</v>
      </c>
      <c r="F32" s="885" t="s">
        <v>587</v>
      </c>
      <c r="G32" s="886"/>
      <c r="H32" s="878"/>
      <c r="I32" s="878"/>
    </row>
    <row r="33" spans="1:9" s="887" customFormat="1" ht="19.5" customHeight="1">
      <c r="A33" s="3315" t="s">
        <v>185</v>
      </c>
      <c r="B33" s="882" t="s">
        <v>560</v>
      </c>
      <c r="C33" s="883" t="s">
        <v>588</v>
      </c>
      <c r="D33" s="884"/>
      <c r="E33" s="882">
        <v>1</v>
      </c>
      <c r="F33" s="885" t="s">
        <v>589</v>
      </c>
      <c r="G33" s="886"/>
      <c r="H33" s="878"/>
      <c r="I33" s="878"/>
    </row>
    <row r="34" spans="1:9" s="887" customFormat="1" ht="19.5" customHeight="1">
      <c r="A34" s="3315"/>
      <c r="B34" s="882" t="s">
        <v>563</v>
      </c>
      <c r="C34" s="883" t="s">
        <v>590</v>
      </c>
      <c r="D34" s="884"/>
      <c r="E34" s="882">
        <v>1.5</v>
      </c>
      <c r="F34" s="885" t="s">
        <v>591</v>
      </c>
      <c r="G34" s="886"/>
      <c r="H34" s="878"/>
      <c r="I34" s="878"/>
    </row>
    <row r="35" spans="1:9" s="887" customFormat="1" ht="19.5" customHeight="1">
      <c r="A35" s="3315" t="s">
        <v>186</v>
      </c>
      <c r="B35" s="882" t="s">
        <v>560</v>
      </c>
      <c r="C35" s="883" t="s">
        <v>592</v>
      </c>
      <c r="D35" s="884"/>
      <c r="E35" s="882">
        <v>1</v>
      </c>
      <c r="F35" s="885" t="s">
        <v>593</v>
      </c>
      <c r="G35" s="886"/>
      <c r="H35" s="878"/>
      <c r="I35" s="878"/>
    </row>
    <row r="36" spans="1:9" s="887" customFormat="1" ht="19.5" customHeight="1">
      <c r="A36" s="3315"/>
      <c r="B36" s="3315" t="s">
        <v>563</v>
      </c>
      <c r="C36" s="883" t="s">
        <v>594</v>
      </c>
      <c r="D36" s="884"/>
      <c r="E36" s="882">
        <v>1</v>
      </c>
      <c r="F36" s="885" t="s">
        <v>595</v>
      </c>
      <c r="G36" s="886"/>
      <c r="H36" s="878"/>
      <c r="I36" s="878"/>
    </row>
    <row r="37" spans="1:9" s="887" customFormat="1" ht="19.5" customHeight="1">
      <c r="A37" s="3315"/>
      <c r="B37" s="3315"/>
      <c r="C37" s="883" t="s">
        <v>596</v>
      </c>
      <c r="D37" s="884"/>
      <c r="E37" s="882">
        <v>1.5</v>
      </c>
      <c r="F37" s="885" t="s">
        <v>597</v>
      </c>
      <c r="G37" s="886"/>
      <c r="H37" s="878"/>
      <c r="I37" s="878"/>
    </row>
    <row r="38" spans="1:9" s="887" customFormat="1" ht="19.5" customHeight="1">
      <c r="A38" s="3315"/>
      <c r="B38" s="3315"/>
      <c r="C38" s="883" t="s">
        <v>598</v>
      </c>
      <c r="D38" s="884"/>
      <c r="E38" s="882">
        <v>1</v>
      </c>
      <c r="F38" s="885" t="s">
        <v>599</v>
      </c>
      <c r="G38" s="886"/>
      <c r="H38" s="878"/>
      <c r="I38" s="878"/>
    </row>
    <row r="39" spans="1:9" s="887" customFormat="1" ht="19.5" customHeight="1">
      <c r="A39" s="3315"/>
      <c r="B39" s="331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5" t="s">
        <v>614</v>
      </c>
      <c r="C61" s="818" t="s">
        <v>615</v>
      </c>
      <c r="D61" s="818" t="s">
        <v>616</v>
      </c>
      <c r="E61" s="895">
        <v>0.5</v>
      </c>
      <c r="F61" s="882">
        <v>80</v>
      </c>
    </row>
    <row r="62" spans="1:8" s="878" customFormat="1" ht="24">
      <c r="A62" s="882">
        <v>2</v>
      </c>
      <c r="B62" s="3315"/>
      <c r="C62" s="818" t="s">
        <v>617</v>
      </c>
      <c r="D62" s="818" t="s">
        <v>618</v>
      </c>
      <c r="E62" s="895">
        <v>0.5</v>
      </c>
      <c r="F62" s="882">
        <v>80</v>
      </c>
    </row>
    <row r="63" spans="1:8" s="878" customFormat="1" ht="36">
      <c r="A63" s="882">
        <v>3</v>
      </c>
      <c r="B63" s="3315"/>
      <c r="C63" s="818" t="s">
        <v>619</v>
      </c>
      <c r="D63" s="818" t="s">
        <v>620</v>
      </c>
      <c r="E63" s="895">
        <v>0.5</v>
      </c>
      <c r="F63" s="882">
        <v>80</v>
      </c>
    </row>
    <row r="64" spans="1:8" s="878" customFormat="1" ht="36">
      <c r="A64" s="882">
        <v>4</v>
      </c>
      <c r="B64" s="3315"/>
      <c r="C64" s="818" t="s">
        <v>621</v>
      </c>
      <c r="D64" s="818" t="s">
        <v>622</v>
      </c>
      <c r="E64" s="895">
        <v>0.4</v>
      </c>
      <c r="F64" s="882">
        <v>60</v>
      </c>
    </row>
    <row r="65" spans="1:6" s="878" customFormat="1" ht="36">
      <c r="A65" s="882">
        <v>5</v>
      </c>
      <c r="B65" s="3315"/>
      <c r="C65" s="818" t="s">
        <v>623</v>
      </c>
      <c r="D65" s="818" t="s">
        <v>624</v>
      </c>
      <c r="E65" s="895">
        <v>0.2</v>
      </c>
      <c r="F65" s="882">
        <v>30</v>
      </c>
    </row>
    <row r="66" spans="1:6" s="878" customFormat="1" ht="36">
      <c r="A66" s="882">
        <v>6</v>
      </c>
      <c r="B66" s="3315"/>
      <c r="C66" s="818" t="s">
        <v>625</v>
      </c>
      <c r="D66" s="818" t="s">
        <v>626</v>
      </c>
      <c r="E66" s="895">
        <v>0.3</v>
      </c>
      <c r="F66" s="882">
        <v>50</v>
      </c>
    </row>
    <row r="67" spans="1:6" s="878" customFormat="1" ht="36">
      <c r="A67" s="882">
        <v>7</v>
      </c>
      <c r="B67" s="3315"/>
      <c r="C67" s="818" t="s">
        <v>627</v>
      </c>
      <c r="D67" s="818" t="s">
        <v>628</v>
      </c>
      <c r="E67" s="895">
        <v>0.2</v>
      </c>
      <c r="F67" s="882">
        <v>30</v>
      </c>
    </row>
    <row r="68" spans="1:6" s="878" customFormat="1" ht="36">
      <c r="A68" s="882">
        <v>8</v>
      </c>
      <c r="B68" s="3315"/>
      <c r="C68" s="818" t="s">
        <v>629</v>
      </c>
      <c r="D68" s="818" t="s">
        <v>630</v>
      </c>
      <c r="E68" s="895">
        <v>0.2</v>
      </c>
      <c r="F68" s="882">
        <v>30</v>
      </c>
    </row>
    <row r="69" spans="1:6" s="878" customFormat="1" ht="36">
      <c r="A69" s="882">
        <v>9</v>
      </c>
      <c r="B69" s="3315"/>
      <c r="C69" s="818" t="s">
        <v>631</v>
      </c>
      <c r="D69" s="818" t="s">
        <v>632</v>
      </c>
      <c r="E69" s="895">
        <v>0.2</v>
      </c>
      <c r="F69" s="882">
        <v>30</v>
      </c>
    </row>
    <row r="70" spans="1:6" s="878" customFormat="1" ht="48">
      <c r="A70" s="882">
        <v>10</v>
      </c>
      <c r="B70" s="3315"/>
      <c r="C70" s="818" t="s">
        <v>633</v>
      </c>
      <c r="D70" s="818" t="s">
        <v>634</v>
      </c>
      <c r="E70" s="895">
        <v>0.2</v>
      </c>
      <c r="F70" s="882">
        <v>30</v>
      </c>
    </row>
    <row r="71" spans="1:6" s="878" customFormat="1" ht="48">
      <c r="A71" s="882">
        <v>11</v>
      </c>
      <c r="B71" s="3315"/>
      <c r="C71" s="818" t="s">
        <v>635</v>
      </c>
      <c r="D71" s="818" t="s">
        <v>636</v>
      </c>
      <c r="E71" s="895">
        <v>0.2</v>
      </c>
      <c r="F71" s="882">
        <v>30</v>
      </c>
    </row>
    <row r="72" spans="1:6" s="878" customFormat="1" ht="36">
      <c r="A72" s="882">
        <v>12</v>
      </c>
      <c r="B72" s="3315"/>
      <c r="C72" s="818" t="s">
        <v>637</v>
      </c>
      <c r="D72" s="818" t="s">
        <v>638</v>
      </c>
      <c r="E72" s="895">
        <v>0.5</v>
      </c>
      <c r="F72" s="882">
        <v>80</v>
      </c>
    </row>
    <row r="73" spans="1:6" s="878" customFormat="1" ht="24">
      <c r="A73" s="882">
        <v>13</v>
      </c>
      <c r="B73" s="3315"/>
      <c r="C73" s="818" t="s">
        <v>639</v>
      </c>
      <c r="D73" s="818" t="s">
        <v>640</v>
      </c>
      <c r="E73" s="895">
        <v>0.4</v>
      </c>
      <c r="F73" s="882">
        <v>60</v>
      </c>
    </row>
    <row r="74" spans="1:6" s="878" customFormat="1" ht="24">
      <c r="A74" s="882">
        <v>14</v>
      </c>
      <c r="B74" s="3315"/>
      <c r="C74" s="818" t="s">
        <v>641</v>
      </c>
      <c r="D74" s="818" t="s">
        <v>642</v>
      </c>
      <c r="E74" s="895">
        <v>0.2</v>
      </c>
      <c r="F74" s="882">
        <v>30</v>
      </c>
    </row>
    <row r="75" spans="1:6" s="878" customFormat="1" ht="24">
      <c r="A75" s="882">
        <v>15</v>
      </c>
      <c r="B75" s="3315"/>
      <c r="C75" s="818" t="s">
        <v>643</v>
      </c>
      <c r="D75" s="818" t="s">
        <v>644</v>
      </c>
      <c r="E75" s="895">
        <v>0.2</v>
      </c>
      <c r="F75" s="882">
        <v>30</v>
      </c>
    </row>
    <row r="76" spans="1:6" s="878" customFormat="1" ht="24">
      <c r="A76" s="882">
        <v>16</v>
      </c>
      <c r="B76" s="3315" t="s">
        <v>645</v>
      </c>
      <c r="C76" s="818" t="s">
        <v>646</v>
      </c>
      <c r="D76" s="818" t="s">
        <v>647</v>
      </c>
      <c r="E76" s="895">
        <v>0.5</v>
      </c>
      <c r="F76" s="882">
        <v>80</v>
      </c>
    </row>
    <row r="77" spans="1:6" s="878" customFormat="1" ht="24">
      <c r="A77" s="882">
        <v>17</v>
      </c>
      <c r="B77" s="3315"/>
      <c r="C77" s="818" t="s">
        <v>648</v>
      </c>
      <c r="D77" s="818" t="s">
        <v>649</v>
      </c>
      <c r="E77" s="895">
        <v>0.5</v>
      </c>
      <c r="F77" s="882">
        <v>80</v>
      </c>
    </row>
    <row r="78" spans="1:6" s="878" customFormat="1" ht="24">
      <c r="A78" s="882">
        <v>18</v>
      </c>
      <c r="B78" s="3315"/>
      <c r="C78" s="818" t="s">
        <v>650</v>
      </c>
      <c r="D78" s="818" t="s">
        <v>651</v>
      </c>
      <c r="E78" s="895">
        <v>0.2</v>
      </c>
      <c r="F78" s="882">
        <v>30</v>
      </c>
    </row>
    <row r="79" spans="1:6" s="878" customFormat="1" ht="24">
      <c r="A79" s="882">
        <v>19</v>
      </c>
      <c r="B79" s="3315"/>
      <c r="C79" s="818" t="s">
        <v>652</v>
      </c>
      <c r="D79" s="818" t="s">
        <v>653</v>
      </c>
      <c r="E79" s="895">
        <v>0.5</v>
      </c>
      <c r="F79" s="882">
        <v>80</v>
      </c>
    </row>
    <row r="80" spans="1:6" s="878" customFormat="1" ht="36">
      <c r="A80" s="882">
        <v>20</v>
      </c>
      <c r="B80" s="3315"/>
      <c r="C80" s="818" t="s">
        <v>654</v>
      </c>
      <c r="D80" s="818" t="s">
        <v>655</v>
      </c>
      <c r="E80" s="895">
        <v>0.2</v>
      </c>
      <c r="F80" s="882">
        <v>30</v>
      </c>
    </row>
    <row r="81" spans="1:6" s="878" customFormat="1" ht="36">
      <c r="A81" s="882">
        <v>21</v>
      </c>
      <c r="B81" s="3315"/>
      <c r="C81" s="818" t="s">
        <v>656</v>
      </c>
      <c r="D81" s="818" t="s">
        <v>657</v>
      </c>
      <c r="E81" s="895">
        <v>0.2</v>
      </c>
      <c r="F81" s="882">
        <v>30</v>
      </c>
    </row>
    <row r="82" spans="1:6" s="878" customFormat="1" ht="48">
      <c r="A82" s="882">
        <v>22</v>
      </c>
      <c r="B82" s="3315"/>
      <c r="C82" s="818" t="s">
        <v>658</v>
      </c>
      <c r="D82" s="818" t="s">
        <v>659</v>
      </c>
      <c r="E82" s="895">
        <v>0.2</v>
      </c>
      <c r="F82" s="882">
        <v>30</v>
      </c>
    </row>
    <row r="83" spans="1:6" s="878" customFormat="1" ht="48">
      <c r="A83" s="882">
        <v>23</v>
      </c>
      <c r="B83" s="3315"/>
      <c r="C83" s="818" t="s">
        <v>660</v>
      </c>
      <c r="D83" s="818" t="s">
        <v>661</v>
      </c>
      <c r="E83" s="895">
        <v>0.2</v>
      </c>
      <c r="F83" s="882">
        <v>30</v>
      </c>
    </row>
    <row r="84" spans="1:6" s="878" customFormat="1" ht="36">
      <c r="A84" s="882">
        <v>24</v>
      </c>
      <c r="B84" s="3315"/>
      <c r="C84" s="818" t="s">
        <v>662</v>
      </c>
      <c r="D84" s="818" t="s">
        <v>663</v>
      </c>
      <c r="E84" s="895">
        <v>0.2</v>
      </c>
      <c r="F84" s="882">
        <v>30</v>
      </c>
    </row>
    <row r="85" spans="1:6" s="878" customFormat="1" ht="36">
      <c r="A85" s="882">
        <v>25</v>
      </c>
      <c r="B85" s="3315"/>
      <c r="C85" s="818" t="s">
        <v>664</v>
      </c>
      <c r="D85" s="818" t="s">
        <v>665</v>
      </c>
      <c r="E85" s="895">
        <v>0.5</v>
      </c>
      <c r="F85" s="882">
        <v>80</v>
      </c>
    </row>
    <row r="86" spans="1:6" s="878" customFormat="1" ht="36">
      <c r="A86" s="882">
        <v>26</v>
      </c>
      <c r="B86" s="3315"/>
      <c r="C86" s="818" t="s">
        <v>666</v>
      </c>
      <c r="D86" s="818" t="s">
        <v>667</v>
      </c>
      <c r="E86" s="895">
        <v>0.2</v>
      </c>
      <c r="F86" s="882">
        <v>30</v>
      </c>
    </row>
    <row r="87" spans="1:6" s="878" customFormat="1" ht="36">
      <c r="A87" s="882">
        <v>27</v>
      </c>
      <c r="B87" s="3315"/>
      <c r="C87" s="818" t="s">
        <v>668</v>
      </c>
      <c r="D87" s="818" t="s">
        <v>669</v>
      </c>
      <c r="E87" s="895">
        <v>0.2</v>
      </c>
      <c r="F87" s="882">
        <v>30</v>
      </c>
    </row>
    <row r="88" spans="1:6" s="878" customFormat="1" ht="36">
      <c r="A88" s="882">
        <v>28</v>
      </c>
      <c r="B88" s="3315"/>
      <c r="C88" s="818" t="s">
        <v>670</v>
      </c>
      <c r="D88" s="818" t="s">
        <v>671</v>
      </c>
      <c r="E88" s="895">
        <v>0.2</v>
      </c>
      <c r="F88" s="882">
        <v>30</v>
      </c>
    </row>
    <row r="89" spans="1:6" s="878" customFormat="1" ht="24">
      <c r="A89" s="882">
        <v>29</v>
      </c>
      <c r="B89" s="3315"/>
      <c r="C89" s="818" t="s">
        <v>672</v>
      </c>
      <c r="D89" s="818" t="s">
        <v>673</v>
      </c>
      <c r="E89" s="895">
        <v>0.2</v>
      </c>
      <c r="F89" s="882">
        <v>30</v>
      </c>
    </row>
    <row r="90" spans="1:6" s="878" customFormat="1" ht="24">
      <c r="A90" s="882">
        <v>30</v>
      </c>
      <c r="B90" s="3315"/>
      <c r="C90" s="818" t="s">
        <v>674</v>
      </c>
      <c r="D90" s="818" t="s">
        <v>675</v>
      </c>
      <c r="E90" s="895">
        <v>0.2</v>
      </c>
      <c r="F90" s="882">
        <v>30</v>
      </c>
    </row>
    <row r="91" spans="1:6" s="878" customFormat="1" ht="36">
      <c r="A91" s="882">
        <v>31</v>
      </c>
      <c r="B91" s="3315"/>
      <c r="C91" s="818" t="s">
        <v>676</v>
      </c>
      <c r="D91" s="818" t="s">
        <v>677</v>
      </c>
      <c r="E91" s="895">
        <v>0.2</v>
      </c>
      <c r="F91" s="882">
        <v>30</v>
      </c>
    </row>
    <row r="92" spans="1:6" s="878" customFormat="1" ht="24">
      <c r="A92" s="882">
        <v>32</v>
      </c>
      <c r="B92" s="3315" t="s">
        <v>678</v>
      </c>
      <c r="C92" s="882" t="s">
        <v>679</v>
      </c>
      <c r="D92" s="818" t="s">
        <v>680</v>
      </c>
      <c r="E92" s="895">
        <v>0.2</v>
      </c>
      <c r="F92" s="882">
        <v>30</v>
      </c>
    </row>
    <row r="93" spans="1:6" s="878" customFormat="1" ht="36">
      <c r="A93" s="882">
        <v>33</v>
      </c>
      <c r="B93" s="3315"/>
      <c r="C93" s="882" t="s">
        <v>681</v>
      </c>
      <c r="D93" s="818" t="s">
        <v>682</v>
      </c>
      <c r="E93" s="895">
        <v>0.2</v>
      </c>
      <c r="F93" s="882">
        <v>30</v>
      </c>
    </row>
    <row r="94" spans="1:6" s="878" customFormat="1" ht="48">
      <c r="A94" s="882">
        <v>34</v>
      </c>
      <c r="B94" s="3315"/>
      <c r="C94" s="882" t="s">
        <v>683</v>
      </c>
      <c r="D94" s="818" t="s">
        <v>684</v>
      </c>
      <c r="E94" s="895">
        <v>0.2</v>
      </c>
      <c r="F94" s="882">
        <v>30</v>
      </c>
    </row>
    <row r="95" spans="1:6" s="878" customFormat="1" ht="36">
      <c r="A95" s="882">
        <v>35</v>
      </c>
      <c r="B95" s="3315"/>
      <c r="C95" s="882" t="s">
        <v>685</v>
      </c>
      <c r="D95" s="818" t="s">
        <v>686</v>
      </c>
      <c r="E95" s="895">
        <v>0.2</v>
      </c>
      <c r="F95" s="882">
        <v>30</v>
      </c>
    </row>
    <row r="96" spans="1:6" s="878" customFormat="1" ht="48">
      <c r="A96" s="882">
        <v>36</v>
      </c>
      <c r="B96" s="3315"/>
      <c r="C96" s="818" t="s">
        <v>687</v>
      </c>
      <c r="D96" s="818" t="s">
        <v>688</v>
      </c>
      <c r="E96" s="895">
        <v>0.2</v>
      </c>
      <c r="F96" s="882">
        <v>30</v>
      </c>
    </row>
    <row r="97" spans="1:6" s="878" customFormat="1" ht="36">
      <c r="A97" s="882">
        <v>37</v>
      </c>
      <c r="B97" s="3315"/>
      <c r="C97" s="882" t="s">
        <v>689</v>
      </c>
      <c r="D97" s="818" t="s">
        <v>690</v>
      </c>
      <c r="E97" s="895">
        <v>0.2</v>
      </c>
      <c r="F97" s="882">
        <v>30</v>
      </c>
    </row>
    <row r="98" spans="1:6" s="878" customFormat="1" ht="36">
      <c r="A98" s="882">
        <v>38</v>
      </c>
      <c r="B98" s="3315"/>
      <c r="C98" s="882" t="s">
        <v>691</v>
      </c>
      <c r="D98" s="818" t="s">
        <v>692</v>
      </c>
      <c r="E98" s="895">
        <v>0.2</v>
      </c>
      <c r="F98" s="882">
        <v>30</v>
      </c>
    </row>
    <row r="99" spans="1:6" s="878" customFormat="1" ht="36">
      <c r="A99" s="882">
        <v>39</v>
      </c>
      <c r="B99" s="3315" t="s">
        <v>693</v>
      </c>
      <c r="C99" s="882" t="s">
        <v>694</v>
      </c>
      <c r="D99" s="818" t="s">
        <v>695</v>
      </c>
      <c r="E99" s="895">
        <v>0.3</v>
      </c>
      <c r="F99" s="882">
        <v>50</v>
      </c>
    </row>
    <row r="100" spans="1:6" s="878" customFormat="1" ht="24">
      <c r="A100" s="882">
        <v>40</v>
      </c>
      <c r="B100" s="3315"/>
      <c r="C100" s="882" t="s">
        <v>696</v>
      </c>
      <c r="D100" s="818" t="s">
        <v>697</v>
      </c>
      <c r="E100" s="895">
        <v>0.2</v>
      </c>
      <c r="F100" s="882">
        <v>30</v>
      </c>
    </row>
    <row r="101" spans="1:6" s="878" customFormat="1" ht="36">
      <c r="A101" s="882">
        <v>41</v>
      </c>
      <c r="B101" s="331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5" t="s">
        <v>708</v>
      </c>
      <c r="C105" s="882" t="s">
        <v>709</v>
      </c>
      <c r="D105" s="818" t="s">
        <v>710</v>
      </c>
      <c r="E105" s="895">
        <v>0.2</v>
      </c>
      <c r="F105" s="882">
        <v>30</v>
      </c>
    </row>
    <row r="106" spans="1:6" s="878" customFormat="1" ht="36">
      <c r="A106" s="882">
        <v>46</v>
      </c>
      <c r="B106" s="3315"/>
      <c r="C106" s="882" t="s">
        <v>711</v>
      </c>
      <c r="D106" s="818" t="s">
        <v>712</v>
      </c>
      <c r="E106" s="895">
        <v>0.2</v>
      </c>
      <c r="F106" s="882">
        <v>30</v>
      </c>
    </row>
    <row r="107" spans="1:6" s="878" customFormat="1" ht="36">
      <c r="A107" s="882">
        <v>47</v>
      </c>
      <c r="B107" s="3315" t="s">
        <v>713</v>
      </c>
      <c r="C107" s="882" t="s">
        <v>714</v>
      </c>
      <c r="D107" s="818" t="s">
        <v>715</v>
      </c>
      <c r="E107" s="895">
        <v>0.3</v>
      </c>
      <c r="F107" s="882">
        <v>50</v>
      </c>
    </row>
    <row r="108" spans="1:6" s="878" customFormat="1" ht="36">
      <c r="A108" s="882">
        <v>48</v>
      </c>
      <c r="B108" s="331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5" t="s">
        <v>724</v>
      </c>
      <c r="C111" s="882" t="s">
        <v>725</v>
      </c>
      <c r="D111" s="818" t="s">
        <v>726</v>
      </c>
      <c r="E111" s="895">
        <v>0.2</v>
      </c>
      <c r="F111" s="882">
        <v>30</v>
      </c>
    </row>
    <row r="112" spans="1:6" s="878" customFormat="1" ht="24">
      <c r="A112" s="882">
        <v>52</v>
      </c>
      <c r="B112" s="3315"/>
      <c r="C112" s="882" t="s">
        <v>727</v>
      </c>
      <c r="D112" s="818" t="s">
        <v>728</v>
      </c>
      <c r="E112" s="895">
        <v>0.2</v>
      </c>
      <c r="F112" s="882">
        <v>30</v>
      </c>
    </row>
    <row r="113" spans="1:6" s="878" customFormat="1" ht="24">
      <c r="A113" s="882">
        <v>53</v>
      </c>
      <c r="B113" s="331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5" t="s">
        <v>737</v>
      </c>
      <c r="C116" s="882" t="s">
        <v>738</v>
      </c>
      <c r="D116" s="818" t="s">
        <v>739</v>
      </c>
      <c r="E116" s="895">
        <v>0.2</v>
      </c>
      <c r="F116" s="882">
        <v>30</v>
      </c>
    </row>
    <row r="117" spans="1:6" ht="36">
      <c r="A117" s="882">
        <v>57</v>
      </c>
      <c r="B117" s="331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21" t="s">
        <v>1150</v>
      </c>
      <c r="C1" s="3321"/>
      <c r="D1" s="3321"/>
      <c r="E1" s="3321"/>
      <c r="F1" s="3321"/>
      <c r="G1" s="3317" t="s">
        <v>1151</v>
      </c>
      <c r="H1" s="3317"/>
      <c r="I1" s="3317"/>
      <c r="J1" s="3317"/>
      <c r="K1" s="3317"/>
      <c r="L1" s="3317"/>
      <c r="N1" s="3317" t="s">
        <v>1152</v>
      </c>
      <c r="O1" s="3317"/>
      <c r="P1" s="3317"/>
      <c r="Q1" s="3317"/>
      <c r="R1" s="1449"/>
      <c r="S1" s="3317" t="s">
        <v>1153</v>
      </c>
      <c r="T1" s="3317"/>
      <c r="U1" s="3317"/>
      <c r="V1" s="3317"/>
      <c r="X1" s="3316" t="s">
        <v>1154</v>
      </c>
      <c r="Y1" s="3317"/>
      <c r="Z1" s="3317"/>
      <c r="AA1" s="3317"/>
      <c r="AB1" s="3317"/>
      <c r="AD1" s="3316" t="s">
        <v>1155</v>
      </c>
      <c r="AE1" s="3317"/>
      <c r="AF1" s="3317"/>
      <c r="AG1" s="3317"/>
      <c r="AH1" s="3317"/>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4"/>
      <c r="J3" s="2924"/>
      <c r="K3" s="2924"/>
      <c r="L3" s="2924"/>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3041</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4">
        <f>ROUND(AVERAGE(I5:I20),2)</f>
        <v>2.4900000000000002</v>
      </c>
      <c r="J4" s="2924">
        <f t="shared" ref="J4:L4" si="7">ROUND(AVERAGE(J5:J20),2)</f>
        <v>1.64</v>
      </c>
      <c r="K4" s="2924">
        <f t="shared" si="7"/>
        <v>2.78</v>
      </c>
      <c r="L4" s="2924">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3039</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1">
        <v>2017</v>
      </c>
      <c r="H5" s="1734">
        <v>4</v>
      </c>
      <c r="I5" s="2925">
        <f>ROUND(AVERAGE(I6:I20),2)</f>
        <v>2.4900000000000002</v>
      </c>
      <c r="J5" s="2925">
        <f>ROUND(AVERAGE(J6:J20),2)</f>
        <v>1.64</v>
      </c>
      <c r="K5" s="2925">
        <f>ROUND(AVERAGE(K6:K20),2)</f>
        <v>2.78</v>
      </c>
      <c r="L5" s="2925">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3040</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3"/>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2"/>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3"/>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22">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19"/>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19"/>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20"/>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18">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19"/>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19"/>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20"/>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18">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19"/>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19"/>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20"/>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23">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24"/>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24"/>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25"/>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18">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19"/>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19"/>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20"/>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18">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19">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19">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20">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18">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19">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19">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20">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18">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19">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19">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20">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18">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19">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19">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20">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18">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19">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19">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20">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18">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19">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19">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20">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18">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19">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19">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20">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18">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19">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19">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20">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18">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19">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19">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20">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18">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19">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19">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20">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7" t="s">
        <v>3006</v>
      </c>
      <c r="C1" s="3327" t="s">
        <v>3007</v>
      </c>
      <c r="D1" s="3328"/>
      <c r="E1" s="3328"/>
      <c r="F1" s="3328"/>
      <c r="G1" s="3328"/>
      <c r="H1" s="3328"/>
      <c r="I1" s="3328"/>
      <c r="J1" s="3328"/>
      <c r="K1" s="3328"/>
      <c r="L1" s="3328"/>
      <c r="M1" s="3328"/>
      <c r="N1" s="3328"/>
      <c r="O1" s="3328"/>
      <c r="P1" s="3328"/>
      <c r="Q1" s="3328"/>
      <c r="R1" s="3328"/>
      <c r="S1" s="332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3010</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3011</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3012</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18" t="s">
        <v>3018</v>
      </c>
      <c r="E19" s="1796"/>
      <c r="F19" s="1796"/>
      <c r="G19" s="1796"/>
      <c r="H19" s="1283"/>
      <c r="I19" s="168"/>
      <c r="J19" s="168"/>
      <c r="K19" s="168"/>
      <c r="L19" s="168"/>
      <c r="M19" s="168"/>
      <c r="N19" s="168"/>
      <c r="O19" s="168"/>
      <c r="P19" s="168"/>
      <c r="Q19" s="168"/>
      <c r="R19" s="788"/>
      <c r="S19" s="137"/>
    </row>
    <row r="20" spans="1:45" ht="16.5" thickBot="1">
      <c r="A20" s="715" t="s">
        <v>3019</v>
      </c>
      <c r="B20" s="338" t="e">
        <f ca="1">IF(D20="——",S22,S22-F20)</f>
        <v>#REF!</v>
      </c>
      <c r="C20" s="168"/>
      <c r="D20" s="2919" t="s">
        <v>3020</v>
      </c>
      <c r="E20" s="1797"/>
      <c r="F20" s="1207" t="e">
        <f ca="1">SUMIF(INDIRECT("'"&amp;H20&amp;"'"&amp;"!A:A"),"承租人权益价值",INDIRECT("'"&amp;H20&amp;"'"&amp;"!c:c"))</f>
        <v>#REF!</v>
      </c>
      <c r="G20" s="1207" t="s">
        <v>3021</v>
      </c>
      <c r="H20" s="2920"/>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4">
        <f>SUM(B24:B10000)</f>
        <v>100</v>
      </c>
      <c r="C22" s="3104" t="s">
        <v>33</v>
      </c>
      <c r="D22" s="3105"/>
      <c r="E22" s="3105"/>
      <c r="F22" s="3105"/>
      <c r="G22" s="3105"/>
      <c r="H22" s="3105"/>
      <c r="I22" s="3105"/>
      <c r="J22" s="3105"/>
      <c r="K22" s="3105"/>
      <c r="L22" s="3105"/>
      <c r="M22" s="3105"/>
      <c r="N22" s="3105"/>
      <c r="O22" s="3105"/>
      <c r="P22" s="3105"/>
      <c r="Q22" s="332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4"/>
      <c r="B4" s="3007" t="s">
        <v>1632</v>
      </c>
      <c r="C4" s="3007"/>
      <c r="D4" s="3007"/>
      <c r="E4" s="1964"/>
    </row>
    <row r="5" spans="1:5" ht="16.5" thickTop="1">
      <c r="A5" s="1962"/>
      <c r="B5" s="3005" t="s">
        <v>1624</v>
      </c>
      <c r="C5" s="1965" t="s">
        <v>1625</v>
      </c>
      <c r="D5" s="1043">
        <f ca="1">结果表!H101</f>
        <v>4600</v>
      </c>
      <c r="E5" s="1962"/>
    </row>
    <row r="6" spans="1:5" ht="15.75">
      <c r="A6" s="1962"/>
      <c r="B6" s="3005"/>
      <c r="C6" s="1965" t="s">
        <v>1626</v>
      </c>
      <c r="D6" s="1043" t="str">
        <f ca="1">NUMBERSTRING(INT(D5*10000),2)&amp;"元整"</f>
        <v>肆仟陆佰万元整</v>
      </c>
      <c r="E6" s="1962"/>
    </row>
    <row r="7" spans="1:5" ht="15.75">
      <c r="A7" s="1962"/>
      <c r="B7" s="3010"/>
      <c r="C7" s="1966" t="s">
        <v>1627</v>
      </c>
      <c r="D7" s="1044">
        <f ca="1">结果表!H102</f>
        <v>3192</v>
      </c>
      <c r="E7" s="1962"/>
    </row>
    <row r="8" spans="1:5" ht="15.75">
      <c r="A8" s="1962"/>
      <c r="B8" s="3011" t="str">
        <f>结果表!E103</f>
        <v>2.估价师知悉的法定优先受偿款</v>
      </c>
      <c r="C8" s="1967" t="s">
        <v>1628</v>
      </c>
      <c r="D8" s="1044">
        <f>结果表!H103</f>
        <v>0</v>
      </c>
      <c r="E8" s="1962"/>
    </row>
    <row r="9" spans="1:5" ht="15.75">
      <c r="A9" s="1962"/>
      <c r="B9" s="3013"/>
      <c r="C9" s="1965" t="s">
        <v>1626</v>
      </c>
      <c r="D9" s="1043" t="str">
        <f>NUMBERSTRING(INT(D8*10000),2)&amp;"元整"</f>
        <v>零元整</v>
      </c>
      <c r="E9" s="1962"/>
    </row>
    <row r="10" spans="1:5" ht="15">
      <c r="A10" s="1962"/>
      <c r="B10" s="1968" t="s">
        <v>1631</v>
      </c>
      <c r="C10" s="1969" t="s">
        <v>1629</v>
      </c>
      <c r="D10" s="1045">
        <f>结果表!H104</f>
        <v>0</v>
      </c>
      <c r="E10" s="1962"/>
    </row>
    <row r="11" spans="1:5" ht="15">
      <c r="A11" s="1962"/>
      <c r="B11" s="1968" t="s">
        <v>1633</v>
      </c>
      <c r="C11" s="1969" t="s">
        <v>1634</v>
      </c>
      <c r="D11" s="1045">
        <f>结果表!H105</f>
        <v>0</v>
      </c>
      <c r="E11" s="1962"/>
    </row>
    <row r="12" spans="1:5" ht="15">
      <c r="A12" s="1962"/>
      <c r="B12" s="1968" t="s">
        <v>1635</v>
      </c>
      <c r="C12" s="1969" t="s">
        <v>1634</v>
      </c>
      <c r="D12" s="1045">
        <f>结果表!H106</f>
        <v>0</v>
      </c>
      <c r="E12" s="1962"/>
    </row>
    <row r="13" spans="1:5" ht="15.75">
      <c r="A13" s="1962"/>
      <c r="B13" s="3004" t="str">
        <f>结果表!E107</f>
        <v>3.房地产抵押价值</v>
      </c>
      <c r="C13" s="1970" t="s">
        <v>1625</v>
      </c>
      <c r="D13" s="1046">
        <f ca="1">结果表!H107</f>
        <v>4600</v>
      </c>
      <c r="E13" s="1962"/>
    </row>
    <row r="14" spans="1:5" ht="15.75">
      <c r="A14" s="1962"/>
      <c r="B14" s="3005"/>
      <c r="C14" s="1965" t="s">
        <v>1626</v>
      </c>
      <c r="D14" s="1043" t="str">
        <f ca="1">NUMBERSTRING(INT(D13*10000),2)&amp;"元整"</f>
        <v>肆仟陆佰万元整</v>
      </c>
      <c r="E14" s="1962"/>
    </row>
    <row r="15" spans="1:5" ht="15">
      <c r="A15" s="1962"/>
      <c r="B15" s="3010"/>
      <c r="C15" s="1966" t="s">
        <v>1636</v>
      </c>
      <c r="D15" s="1055">
        <f ca="1">结果表!H108</f>
        <v>3192</v>
      </c>
      <c r="E15" s="1962"/>
    </row>
    <row r="16" spans="1:5" ht="15">
      <c r="A16" s="1962"/>
      <c r="B16" s="3011" t="str">
        <f>结果表!E109</f>
        <v>——</v>
      </c>
      <c r="C16" s="1970" t="s">
        <v>1637</v>
      </c>
      <c r="D16" s="1971" t="str">
        <f>结果表!H109</f>
        <v>——</v>
      </c>
      <c r="E16" s="1962"/>
    </row>
    <row r="17" spans="1:5" ht="15.75">
      <c r="A17" s="1962"/>
      <c r="B17" s="3012"/>
      <c r="C17" s="1965" t="s">
        <v>1638</v>
      </c>
      <c r="D17" s="1043" t="e">
        <f>NUMBERSTRING(INT(D16*10000),2)&amp;"元整"</f>
        <v>#VALUE!</v>
      </c>
      <c r="E17" s="1962"/>
    </row>
    <row r="18" spans="1:5" ht="15">
      <c r="A18" s="1962"/>
      <c r="B18" s="3013"/>
      <c r="C18" s="1966" t="s">
        <v>1627</v>
      </c>
      <c r="D18" s="1055" t="str">
        <f>结果表!H110</f>
        <v>——</v>
      </c>
      <c r="E18" s="1962"/>
    </row>
    <row r="19" spans="1:5" ht="15.75">
      <c r="A19" s="1962"/>
      <c r="B19" s="3004" t="str">
        <f>结果表!E111</f>
        <v>——</v>
      </c>
      <c r="C19" s="1970" t="s">
        <v>1625</v>
      </c>
      <c r="D19" s="1044" t="str">
        <f>结果表!H111</f>
        <v>——</v>
      </c>
      <c r="E19" s="1962"/>
    </row>
    <row r="20" spans="1:5" ht="15.75">
      <c r="A20" s="1962"/>
      <c r="B20" s="3005"/>
      <c r="C20" s="1965" t="s">
        <v>1638</v>
      </c>
      <c r="D20" s="1043" t="e">
        <f>NUMBERSTRING(INT(D19*10000),2)&amp;"元整"</f>
        <v>#VALUE!</v>
      </c>
      <c r="E20" s="1962"/>
    </row>
    <row r="21" spans="1:5" ht="15.75" thickBot="1">
      <c r="A21" s="1962"/>
      <c r="B21" s="3006"/>
      <c r="C21" s="1972" t="s">
        <v>1636</v>
      </c>
      <c r="D21" s="1056"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24506</v>
      </c>
      <c r="C2" s="2" t="s">
        <v>133</v>
      </c>
      <c r="D2" s="243"/>
      <c r="E2" s="243"/>
      <c r="F2" s="243"/>
      <c r="G2" s="243"/>
    </row>
    <row r="3" spans="1:7" s="244" customFormat="1" ht="18" customHeight="1" thickBot="1">
      <c r="A3" s="247" t="s">
        <v>85</v>
      </c>
      <c r="B3" s="248">
        <f ca="1">ROUND(B2*10000/'数据-汇总表'!E3,0)</f>
        <v>17005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11239.412</v>
      </c>
      <c r="E9" s="269">
        <f>'数据-取费表'!B27</f>
        <v>0</v>
      </c>
      <c r="F9" s="265"/>
      <c r="G9" s="270"/>
    </row>
    <row r="10" spans="1:7" s="258" customFormat="1" ht="13.5" customHeight="1">
      <c r="A10" s="953" t="s">
        <v>801</v>
      </c>
      <c r="B10" s="268" t="s">
        <v>94</v>
      </c>
      <c r="C10" s="269">
        <f>ROUND(D10*E10/10000,0)</f>
        <v>0</v>
      </c>
      <c r="D10" s="1035">
        <f>'数据-汇总表'!E6</f>
        <v>3171.3430000000008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216</v>
      </c>
      <c r="D19" s="1039">
        <f>'数据-汇总表'!E3</f>
        <v>14410.755000000001</v>
      </c>
      <c r="E19" s="255">
        <f>'数据-取费表'!B31</f>
        <v>150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196</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192</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2</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935</v>
      </c>
      <c r="D27" s="279">
        <f>C29</f>
        <v>8.9999999999999998E-4</v>
      </c>
      <c r="E27" s="280" t="s">
        <v>126</v>
      </c>
      <c r="F27" s="290">
        <f>'数据-取费表'!Q16</f>
        <v>0.33</v>
      </c>
      <c r="G27" s="291" t="s">
        <v>1069</v>
      </c>
    </row>
    <row r="28" spans="1:7" s="258" customFormat="1" ht="13.5" customHeight="1">
      <c r="A28" s="954" t="s">
        <v>794</v>
      </c>
      <c r="B28" s="292" t="s">
        <v>1062</v>
      </c>
      <c r="C28" s="293">
        <f>ROUND((C5+C19+C20)*F27*'数据-取费表'!B21/'数据-取费表'!B20,0)</f>
        <v>935</v>
      </c>
      <c r="D28" s="279"/>
      <c r="E28" s="280"/>
      <c r="F28" s="290"/>
      <c r="G28" s="291"/>
    </row>
    <row r="29" spans="1:7" s="258" customFormat="1" ht="13.5" customHeight="1">
      <c r="A29" s="954" t="s">
        <v>792</v>
      </c>
      <c r="B29" s="292" t="s">
        <v>1063</v>
      </c>
      <c r="C29" s="282">
        <f>ROUND(C21*F27*'数据-取费表'!B21/'数据-取费表'!B20,4)</f>
        <v>8.9999999999999998E-4</v>
      </c>
      <c r="D29" s="279"/>
      <c r="E29" s="280"/>
      <c r="F29" s="290"/>
      <c r="G29" s="291"/>
    </row>
    <row r="30" spans="1:7" s="258" customFormat="1" ht="13.5" customHeight="1">
      <c r="A30" s="951" t="s">
        <v>788</v>
      </c>
      <c r="B30" s="254" t="s">
        <v>58</v>
      </c>
      <c r="C30" s="279">
        <f>F30</f>
        <v>6.1600000000000002E-2</v>
      </c>
      <c r="D30" s="280" t="s">
        <v>127</v>
      </c>
      <c r="E30" s="285"/>
      <c r="F30" s="281">
        <f>'数据-取费表'!B41</f>
        <v>6.1600000000000002E-2</v>
      </c>
      <c r="G30" s="278" t="s">
        <v>113</v>
      </c>
    </row>
    <row r="31" spans="1:7" ht="16.5" customHeight="1">
      <c r="A31" s="253">
        <v>1</v>
      </c>
      <c r="B31" s="254" t="s">
        <v>128</v>
      </c>
      <c r="C31" s="255">
        <f ca="1">ROUND((C5+C19+C20+C22+C27)/(1-C21-D22-D27-C30/(1+'数据-取费表'!B42)),0)</f>
        <v>24302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116</v>
      </c>
      <c r="D34" s="261"/>
      <c r="E34" s="264"/>
      <c r="F34" s="301">
        <f>IF('数据-取费表'!B24=0,1,'数据-取费表'!N16)</f>
        <v>0.05</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v>
      </c>
      <c r="D36" s="264"/>
      <c r="E36" s="264"/>
      <c r="F36" s="303">
        <f>'数据-取费表'!B34</f>
        <v>0.05</v>
      </c>
      <c r="G36" s="304" t="s">
        <v>62</v>
      </c>
    </row>
    <row r="37" spans="1:7" s="302" customFormat="1" ht="13.5" customHeight="1">
      <c r="A37" s="954" t="s">
        <v>798</v>
      </c>
      <c r="B37" s="259" t="s">
        <v>118</v>
      </c>
      <c r="C37" s="293">
        <f>ROUND(E37*D37*F34/10000,0)</f>
        <v>11</v>
      </c>
      <c r="D37" s="261">
        <f>'数据-汇总表'!E3</f>
        <v>14410.755000000001</v>
      </c>
      <c r="E37" s="293">
        <f>'数据-取费表'!B35</f>
        <v>150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v>
      </c>
      <c r="D42" s="282"/>
      <c r="E42" s="282"/>
      <c r="F42" s="283"/>
      <c r="G42" s="3189" t="s">
        <v>121</v>
      </c>
    </row>
    <row r="43" spans="1:7" ht="13.5" customHeight="1">
      <c r="A43" s="954" t="s">
        <v>792</v>
      </c>
      <c r="B43" s="259" t="s">
        <v>1064</v>
      </c>
      <c r="C43" s="282">
        <f ca="1">ROUND(IF('数据-取费表'!B22&lt;=1,C39*F22*'数据-取费表'!B21/2,C39*(POWER((1+F22),'数据-取费表'!B21/2)-1)),0)</f>
        <v>0</v>
      </c>
      <c r="D43" s="282"/>
      <c r="E43" s="282"/>
      <c r="F43" s="283"/>
      <c r="G43" s="3190"/>
    </row>
    <row r="44" spans="1:7" ht="13.5" customHeight="1">
      <c r="A44" s="954" t="s">
        <v>793</v>
      </c>
      <c r="B44" s="259" t="s">
        <v>1066</v>
      </c>
      <c r="C44" s="282">
        <f ca="1">ROUND(IF('数据-取费表'!B22&lt;=1,C40*F22*'数据-取费表'!B21/2,C40*(POWER((1+F22),'数据-取费表'!B21/2)-1)),4)</f>
        <v>1E-4</v>
      </c>
      <c r="D44" s="282"/>
      <c r="E44" s="282"/>
      <c r="F44" s="283"/>
      <c r="G44" s="3191"/>
    </row>
    <row r="45" spans="1:7" s="258" customFormat="1" ht="13.5" customHeight="1">
      <c r="A45" s="951" t="s">
        <v>786</v>
      </c>
      <c r="B45" s="288" t="s">
        <v>112</v>
      </c>
      <c r="C45" s="289">
        <f>C46</f>
        <v>46</v>
      </c>
      <c r="D45" s="279">
        <f>C47</f>
        <v>6.6E-3</v>
      </c>
      <c r="E45" s="280" t="s">
        <v>129</v>
      </c>
      <c r="F45" s="290"/>
      <c r="G45" s="291" t="s">
        <v>1072</v>
      </c>
    </row>
    <row r="46" spans="1:7" s="258" customFormat="1" ht="13.5" customHeight="1">
      <c r="A46" s="954" t="s">
        <v>794</v>
      </c>
      <c r="B46" s="292" t="s">
        <v>1065</v>
      </c>
      <c r="C46" s="293">
        <f>ROUND((C33+C39)*F27,0)</f>
        <v>46</v>
      </c>
      <c r="D46" s="307"/>
      <c r="E46" s="280"/>
      <c r="F46" s="290"/>
      <c r="G46" s="291"/>
    </row>
    <row r="47" spans="1:7" s="258" customFormat="1" ht="13.5" customHeight="1">
      <c r="A47" s="954" t="s">
        <v>792</v>
      </c>
      <c r="B47" s="292" t="s">
        <v>1067</v>
      </c>
      <c r="C47" s="282">
        <f>ROUND(C40*F27,4)</f>
        <v>6.6E-3</v>
      </c>
      <c r="D47" s="307"/>
      <c r="E47" s="280"/>
      <c r="F47" s="290"/>
      <c r="G47" s="291"/>
    </row>
    <row r="48" spans="1:7" s="258" customFormat="1" ht="13.5" customHeight="1">
      <c r="A48" s="951" t="s">
        <v>787</v>
      </c>
      <c r="B48" s="254" t="s">
        <v>122</v>
      </c>
      <c r="C48" s="306">
        <f>F30</f>
        <v>6.1600000000000002E-2</v>
      </c>
      <c r="D48" s="280" t="s">
        <v>130</v>
      </c>
      <c r="E48" s="276"/>
      <c r="F48" s="281"/>
      <c r="G48" s="278" t="s">
        <v>123</v>
      </c>
    </row>
    <row r="49" spans="1:7" ht="16.5" customHeight="1">
      <c r="A49" s="951" t="s">
        <v>788</v>
      </c>
      <c r="B49" s="254" t="s">
        <v>131</v>
      </c>
      <c r="C49" s="276">
        <f ca="1">ROUND((C33+C39+C41+C45)/(1-C40-D41-D45-C48/(1+'数据-取费表'!B42)),0)</f>
        <v>204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204</v>
      </c>
      <c r="D51" s="276"/>
      <c r="E51" s="276"/>
      <c r="F51" s="308"/>
      <c r="G51" s="278" t="s">
        <v>64</v>
      </c>
    </row>
    <row r="52" spans="1:7" s="252" customFormat="1" ht="16.5" thickBot="1">
      <c r="A52" s="309" t="s">
        <v>65</v>
      </c>
      <c r="B52" s="310"/>
      <c r="C52" s="311">
        <f ca="1">C31+C51</f>
        <v>24506</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0" t="s">
        <v>156</v>
      </c>
      <c r="B1" s="3330"/>
      <c r="C1" s="3330"/>
      <c r="D1" s="3330"/>
      <c r="E1" s="3330"/>
      <c r="F1" s="33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1" t="s">
        <v>169</v>
      </c>
      <c r="B2" s="3331"/>
      <c r="C2" s="3331"/>
      <c r="D2" s="3331"/>
      <c r="E2" s="3331"/>
      <c r="F2" s="33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0" t="s">
        <v>871</v>
      </c>
      <c r="B1" s="333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43049</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9"/>
  <sheetViews>
    <sheetView workbookViewId="0">
      <selection activeCell="F19" sqref="F19"/>
    </sheetView>
  </sheetViews>
  <sheetFormatPr defaultRowHeight="13.5"/>
  <sheetData>
    <row r="2" spans="2:12">
      <c r="B2" s="2936" t="s">
        <v>3108</v>
      </c>
    </row>
    <row r="3" spans="2:12" ht="14.25" thickBot="1">
      <c r="B3" s="2937" t="s">
        <v>3109</v>
      </c>
      <c r="C3" s="2938" t="s">
        <v>3110</v>
      </c>
      <c r="D3" s="2938" t="s">
        <v>3111</v>
      </c>
      <c r="E3" s="2938" t="s">
        <v>3112</v>
      </c>
    </row>
    <row r="4" spans="2:12">
      <c r="B4" s="2939">
        <v>2016.1</v>
      </c>
      <c r="C4" s="2941">
        <v>5118</v>
      </c>
      <c r="D4" s="2941">
        <v>1.81</v>
      </c>
      <c r="E4" s="2940"/>
    </row>
    <row r="5" spans="2:12">
      <c r="B5" s="2942">
        <v>2016.2</v>
      </c>
      <c r="C5" s="2944">
        <v>5205</v>
      </c>
      <c r="D5" s="2944">
        <v>1.7</v>
      </c>
      <c r="E5" s="2943"/>
    </row>
    <row r="6" spans="2:12">
      <c r="B6" s="2939">
        <v>2016.3</v>
      </c>
      <c r="C6" s="2941">
        <v>5317</v>
      </c>
      <c r="D6" s="2941">
        <v>2.15</v>
      </c>
      <c r="E6" s="2940"/>
    </row>
    <row r="7" spans="2:12">
      <c r="B7" s="2942">
        <v>2016.4</v>
      </c>
      <c r="C7" s="2944">
        <v>5401</v>
      </c>
      <c r="D7" s="2944">
        <v>1.58</v>
      </c>
      <c r="E7" s="2943"/>
    </row>
    <row r="8" spans="2:12" ht="14.25">
      <c r="B8" s="2945">
        <v>2017.1</v>
      </c>
      <c r="C8" s="2946">
        <v>5441</v>
      </c>
      <c r="D8" s="2946">
        <v>0.74</v>
      </c>
    </row>
    <row r="9" spans="2:12">
      <c r="D9">
        <f>SUM(D4:D8)</f>
        <v>7.98</v>
      </c>
    </row>
    <row r="10" spans="2:12">
      <c r="D10">
        <f>D9/4</f>
        <v>1.9950000000000001</v>
      </c>
    </row>
    <row r="14" spans="2:12">
      <c r="B14" s="3334" t="s">
        <v>3173</v>
      </c>
      <c r="C14" s="3334" t="s">
        <v>3174</v>
      </c>
      <c r="D14" s="3334" t="s">
        <v>3175</v>
      </c>
      <c r="E14" s="3334" t="s">
        <v>3176</v>
      </c>
      <c r="F14" s="3334" t="s">
        <v>3177</v>
      </c>
      <c r="G14" s="3334" t="s">
        <v>3178</v>
      </c>
      <c r="H14" s="3334"/>
      <c r="I14" s="3334"/>
      <c r="J14" s="3334"/>
      <c r="K14" s="3334"/>
      <c r="L14" s="3334" t="s">
        <v>3179</v>
      </c>
    </row>
    <row r="15" spans="2:12" ht="22.5">
      <c r="B15" s="3334"/>
      <c r="C15" s="3334"/>
      <c r="D15" s="3334"/>
      <c r="E15" s="3334"/>
      <c r="F15" s="3334"/>
      <c r="G15" s="3334" t="s">
        <v>37</v>
      </c>
      <c r="H15" s="3334" t="s">
        <v>38</v>
      </c>
      <c r="I15" s="3334"/>
      <c r="J15" s="3334"/>
      <c r="K15" s="2954" t="s">
        <v>39</v>
      </c>
      <c r="L15" s="3334"/>
    </row>
    <row r="16" spans="2:12" ht="22.5">
      <c r="B16" s="3334"/>
      <c r="C16" s="3334"/>
      <c r="D16" s="3334"/>
      <c r="E16" s="3334"/>
      <c r="F16" s="3334"/>
      <c r="G16" s="3334"/>
      <c r="H16" s="2954" t="s">
        <v>40</v>
      </c>
      <c r="I16" s="2954" t="s">
        <v>3051</v>
      </c>
      <c r="J16" s="2954" t="s">
        <v>1378</v>
      </c>
      <c r="K16" s="2954" t="s">
        <v>3180</v>
      </c>
      <c r="L16" s="3334"/>
    </row>
    <row r="17" spans="2:12" ht="30" customHeight="1">
      <c r="B17" s="2955">
        <v>1</v>
      </c>
      <c r="C17" s="3334" t="s">
        <v>3183</v>
      </c>
      <c r="D17" s="3334" t="s">
        <v>3184</v>
      </c>
      <c r="E17" s="2955" t="s">
        <v>3185</v>
      </c>
      <c r="F17" s="2955">
        <f>'数据-基础表'!E13</f>
        <v>2935.62</v>
      </c>
      <c r="G17" s="2956">
        <f>H17+K17</f>
        <v>7410.3170000000009</v>
      </c>
      <c r="H17" s="2956">
        <f>I17+J17</f>
        <v>6735.3560000000007</v>
      </c>
      <c r="I17" s="2956">
        <f>'数据-基础表'!I13</f>
        <v>5969.31</v>
      </c>
      <c r="J17" s="2956">
        <f>'数据-基础表'!K13</f>
        <v>766.04600000000005</v>
      </c>
      <c r="K17" s="2956">
        <f>'数据-基础表'!AN13</f>
        <v>674.96100000000001</v>
      </c>
      <c r="L17" s="3334" t="s">
        <v>3182</v>
      </c>
    </row>
    <row r="18" spans="2:12">
      <c r="B18" s="2955">
        <v>2</v>
      </c>
      <c r="C18" s="3334"/>
      <c r="D18" s="3334"/>
      <c r="E18" s="2955" t="s">
        <v>3186</v>
      </c>
      <c r="F18" s="2955">
        <f>'数据-基础表'!E14</f>
        <v>2773.24</v>
      </c>
      <c r="G18" s="2956">
        <f>H18+K18</f>
        <v>7000.4380000000001</v>
      </c>
      <c r="H18" s="2956">
        <f>I18+J18</f>
        <v>6403.7860000000001</v>
      </c>
      <c r="I18" s="2956">
        <f>'数据-基础表'!I14</f>
        <v>5270.1019999999999</v>
      </c>
      <c r="J18" s="2956">
        <f>'数据-基础表'!K14</f>
        <v>1133.684</v>
      </c>
      <c r="K18" s="2956">
        <f>'数据-基础表'!AN14</f>
        <v>596.65200000000004</v>
      </c>
      <c r="L18" s="3334"/>
    </row>
    <row r="19" spans="2:12">
      <c r="B19" s="3334" t="s">
        <v>37</v>
      </c>
      <c r="C19" s="3334"/>
      <c r="D19" s="3334"/>
      <c r="E19" s="3334"/>
      <c r="F19" s="2955">
        <f>SUM(F17:F18)</f>
        <v>5708.86</v>
      </c>
      <c r="G19" s="2956">
        <f t="shared" ref="G19:K19" si="0">SUM(G17:G18)</f>
        <v>14410.755000000001</v>
      </c>
      <c r="H19" s="2956">
        <f t="shared" si="0"/>
        <v>13139.142</v>
      </c>
      <c r="I19" s="2956">
        <f t="shared" si="0"/>
        <v>11239.412</v>
      </c>
      <c r="J19" s="2956">
        <f t="shared" si="0"/>
        <v>1899.73</v>
      </c>
      <c r="K19" s="2956">
        <f t="shared" si="0"/>
        <v>1271.6130000000001</v>
      </c>
      <c r="L19" s="2955" t="s">
        <v>3181</v>
      </c>
    </row>
  </sheetData>
  <mergeCells count="13">
    <mergeCell ref="B19:E19"/>
    <mergeCell ref="L14:L16"/>
    <mergeCell ref="G15:G16"/>
    <mergeCell ref="H15:J15"/>
    <mergeCell ref="C17:C18"/>
    <mergeCell ref="D17:D18"/>
    <mergeCell ref="L17:L18"/>
    <mergeCell ref="B14:B16"/>
    <mergeCell ref="C14:C16"/>
    <mergeCell ref="D14:D16"/>
    <mergeCell ref="E14:E16"/>
    <mergeCell ref="F14:F16"/>
    <mergeCell ref="G14:K14"/>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1643</v>
      </c>
      <c r="B2" s="3015" t="s">
        <v>1644</v>
      </c>
      <c r="C2" s="3015" t="s">
        <v>1645</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16"/>
      <c r="B3" s="3016"/>
      <c r="C3" s="3016"/>
      <c r="D3" s="1047" t="s">
        <v>1640</v>
      </c>
      <c r="E3" s="1047" t="s">
        <v>1646</v>
      </c>
      <c r="F3" s="1047" t="s">
        <v>1640</v>
      </c>
      <c r="G3" s="1047" t="s">
        <v>1641</v>
      </c>
      <c r="H3" s="1047" t="s">
        <v>1640</v>
      </c>
      <c r="I3" s="1047" t="s">
        <v>1641</v>
      </c>
    </row>
    <row r="4" spans="1:9" ht="75">
      <c r="A4" s="1976" t="str">
        <f>项目基本情况!S2</f>
        <v>河北省保定市涞水县涞水镇东关村府前街2号桥北侧20#A、20#B住宅、商业用房出让国有建设用地使用权及在建建筑物房地产</v>
      </c>
      <c r="B4" s="1047">
        <f>项目基本情况!C17</f>
        <v>14410.755000000001</v>
      </c>
      <c r="C4" s="1047">
        <f>项目基本情况!C18</f>
        <v>5708.86</v>
      </c>
      <c r="D4" s="1047">
        <f ca="1">结果表!D118</f>
        <v>4080</v>
      </c>
      <c r="E4" s="1047">
        <f ca="1">结果表!E118</f>
        <v>2831</v>
      </c>
      <c r="F4" s="1047">
        <f ca="1">结果表!F118</f>
        <v>520</v>
      </c>
      <c r="G4" s="1047">
        <f ca="1">结果表!G118</f>
        <v>361</v>
      </c>
      <c r="H4" s="1047">
        <f ca="1">结果表!H118</f>
        <v>4600</v>
      </c>
      <c r="I4" s="1047">
        <f ca="1">结果表!I118</f>
        <v>3192</v>
      </c>
    </row>
    <row r="5" spans="1:9" ht="30" customHeight="1">
      <c r="A5" s="3016" t="s">
        <v>1642</v>
      </c>
      <c r="B5" s="3016"/>
      <c r="C5" s="3016"/>
      <c r="D5" s="3017" t="str">
        <f ca="1">结果表!D119</f>
        <v>肆仟零捌拾万元整</v>
      </c>
      <c r="E5" s="3017"/>
      <c r="F5" s="3017" t="str">
        <f ca="1">结果表!F119</f>
        <v>伍佰贰拾万元整</v>
      </c>
      <c r="G5" s="3017"/>
      <c r="H5" s="3017" t="str">
        <f ca="1">结果表!H119</f>
        <v>肆仟陆佰万元整</v>
      </c>
      <c r="I5" s="3017"/>
    </row>
    <row r="6" spans="1:9" ht="15.75">
      <c r="A6" s="3018" t="str">
        <f>结果表!A120</f>
        <v>估价师知悉的法定优先受偿款</v>
      </c>
      <c r="B6" s="3018"/>
      <c r="C6" s="3018"/>
      <c r="D6" s="3018">
        <f>结果表!D120</f>
        <v>0</v>
      </c>
      <c r="E6" s="3018"/>
      <c r="F6" s="3018"/>
      <c r="G6" s="3018"/>
      <c r="H6" s="3018"/>
      <c r="I6" s="3018"/>
    </row>
    <row r="7" spans="1:9" ht="15">
      <c r="A7" s="3016" t="s">
        <v>1642</v>
      </c>
      <c r="B7" s="3016"/>
      <c r="C7" s="3016"/>
      <c r="D7" s="3019" t="str">
        <f>结果表!D121</f>
        <v>零元整</v>
      </c>
      <c r="E7" s="3020"/>
      <c r="F7" s="3020"/>
      <c r="G7" s="3020"/>
      <c r="H7" s="3020"/>
      <c r="I7" s="3021"/>
    </row>
    <row r="8" spans="1:9" ht="15.75">
      <c r="A8" s="3018" t="str">
        <f>结果表!A122</f>
        <v>房地产抵押价值</v>
      </c>
      <c r="B8" s="3018"/>
      <c r="C8" s="3018"/>
      <c r="D8" s="3018">
        <f ca="1">结果表!D122</f>
        <v>4600</v>
      </c>
      <c r="E8" s="3018"/>
      <c r="F8" s="3018"/>
      <c r="G8" s="3018"/>
      <c r="H8" s="3018"/>
      <c r="I8" s="3018"/>
    </row>
    <row r="9" spans="1:9" ht="15">
      <c r="A9" s="3016" t="s">
        <v>1642</v>
      </c>
      <c r="B9" s="3016"/>
      <c r="C9" s="3016"/>
      <c r="D9" s="3017" t="str">
        <f ca="1">结果表!D123</f>
        <v>肆仟陆佰万元整</v>
      </c>
      <c r="E9" s="3017"/>
      <c r="F9" s="3017"/>
      <c r="G9" s="3017"/>
      <c r="H9" s="3017"/>
      <c r="I9" s="3017"/>
    </row>
    <row r="10" spans="1:9" ht="15.75">
      <c r="A10" s="3018" t="str">
        <f>结果表!A124</f>
        <v/>
      </c>
      <c r="B10" s="3018"/>
      <c r="C10" s="3018"/>
      <c r="D10" s="3018" t="str">
        <f>结果表!D124</f>
        <v>——</v>
      </c>
      <c r="E10" s="3018"/>
      <c r="F10" s="3018"/>
      <c r="G10" s="3018"/>
      <c r="H10" s="3018"/>
      <c r="I10" s="3018"/>
    </row>
    <row r="11" spans="1:9" ht="15">
      <c r="A11" s="3016" t="s">
        <v>1642</v>
      </c>
      <c r="B11" s="3016"/>
      <c r="C11" s="3016"/>
      <c r="D11" s="3017" t="e">
        <f>结果表!D125</f>
        <v>#VALUE!</v>
      </c>
      <c r="E11" s="3017"/>
      <c r="F11" s="3017"/>
      <c r="G11" s="3017"/>
      <c r="H11" s="3017"/>
      <c r="I11" s="3017"/>
    </row>
    <row r="12" spans="1:9" ht="15.75">
      <c r="A12" s="3018" t="str">
        <f>结果表!A126</f>
        <v/>
      </c>
      <c r="B12" s="3018"/>
      <c r="C12" s="3018"/>
      <c r="D12" s="3018" t="str">
        <f>结果表!D126</f>
        <v>——</v>
      </c>
      <c r="E12" s="3018"/>
      <c r="F12" s="3018"/>
      <c r="G12" s="3018"/>
      <c r="H12" s="3018"/>
      <c r="I12" s="3018"/>
    </row>
    <row r="13" spans="1:9" ht="15.75" thickBot="1">
      <c r="A13" s="3022" t="s">
        <v>1642</v>
      </c>
      <c r="B13" s="3022"/>
      <c r="C13" s="3022"/>
      <c r="D13" s="3023" t="e">
        <f>结果表!D127</f>
        <v>#VALUE!</v>
      </c>
      <c r="E13" s="3023"/>
      <c r="F13" s="3023"/>
      <c r="G13" s="3023"/>
      <c r="H13" s="3023"/>
      <c r="I13" s="3023"/>
    </row>
    <row r="14" spans="1:9" ht="15" thickTop="1">
      <c r="A14" s="3024" t="s">
        <v>1647</v>
      </c>
      <c r="B14" s="3024"/>
      <c r="C14" s="3024"/>
      <c r="D14" s="3024"/>
      <c r="E14" s="3024"/>
      <c r="F14" s="3024"/>
      <c r="G14" s="3024"/>
      <c r="H14" s="3024"/>
      <c r="I14" s="3024"/>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5" t="s">
        <v>1664</v>
      </c>
      <c r="B1" s="3025"/>
      <c r="C1" s="3025"/>
      <c r="D1" s="3025"/>
    </row>
    <row r="2" spans="1:4" ht="18">
      <c r="A2" s="3026" t="s">
        <v>1648</v>
      </c>
      <c r="B2" s="3026"/>
      <c r="C2" s="3026"/>
      <c r="D2" s="3026"/>
    </row>
    <row r="3" spans="1:4" ht="18.75">
      <c r="A3" s="1980" t="s">
        <v>1649</v>
      </c>
      <c r="B3" s="1980" t="s">
        <v>1650</v>
      </c>
      <c r="C3" s="1980" t="s">
        <v>1651</v>
      </c>
      <c r="D3" s="1980" t="s">
        <v>1652</v>
      </c>
    </row>
    <row r="4" spans="1:4" ht="56.25" customHeight="1">
      <c r="A4" s="1981" t="str">
        <f>项目基本情况!B4</f>
        <v>郑燚</v>
      </c>
      <c r="B4" s="1982">
        <f ca="1">项目基本情况!C4</f>
        <v>1120070131</v>
      </c>
      <c r="C4" s="1983"/>
      <c r="D4" s="1984" t="s">
        <v>1653</v>
      </c>
    </row>
    <row r="5" spans="1:4" ht="56.25" customHeight="1">
      <c r="A5" s="1981" t="str">
        <f>项目基本情况!D4</f>
        <v>王萌</v>
      </c>
      <c r="B5" s="1982">
        <f ca="1">项目基本情况!E4</f>
        <v>1120130048</v>
      </c>
      <c r="C5" s="1985"/>
      <c r="D5" s="1984" t="s">
        <v>1653</v>
      </c>
    </row>
    <row r="6" spans="1:4" ht="18">
      <c r="A6" s="3026" t="s">
        <v>1654</v>
      </c>
      <c r="B6" s="3026"/>
      <c r="C6" s="3026"/>
      <c r="D6" s="3026"/>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27" t="s">
        <v>1657</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（1）根据估价对象《国有土地使用权》原件，截至价值时点，估价对象抵押权未见登记。</v>
      </c>
      <c r="B15" s="3028"/>
      <c r="C15" s="3028"/>
      <c r="D15" s="3028"/>
    </row>
    <row r="16" spans="1:4" ht="30" customHeight="1">
      <c r="A16" s="3031" t="s">
        <v>1658</v>
      </c>
      <c r="B16" s="3031"/>
      <c r="C16" s="3031"/>
      <c r="D16" s="3031"/>
    </row>
    <row r="17" spans="1:4" ht="144" customHeight="1">
      <c r="A17" s="3031" t="s">
        <v>1659</v>
      </c>
      <c r="B17" s="3031"/>
      <c r="C17" s="3031"/>
      <c r="D17" s="3031"/>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1660</v>
      </c>
      <c r="B22" s="3033"/>
      <c r="C22" s="3033"/>
      <c r="D22" s="3033"/>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39" t="s">
        <v>1671</v>
      </c>
      <c r="B15" s="3034" t="s">
        <v>136</v>
      </c>
      <c r="C15" s="3035"/>
    </row>
    <row r="16" spans="1:7" ht="13.5">
      <c r="A16" s="3040"/>
      <c r="B16" s="3034" t="s">
        <v>69</v>
      </c>
      <c r="C16" s="3035"/>
    </row>
    <row r="17" spans="1:3" ht="13.5">
      <c r="A17" s="3040"/>
      <c r="B17" s="3037" t="s">
        <v>1672</v>
      </c>
      <c r="C17" s="2003" t="s">
        <v>1671</v>
      </c>
    </row>
    <row r="18" spans="1:3" ht="13.5">
      <c r="A18" s="3040"/>
      <c r="B18" s="3037"/>
      <c r="C18" s="2003" t="s">
        <v>1673</v>
      </c>
    </row>
    <row r="19" spans="1:3" ht="13.5">
      <c r="A19" s="3040"/>
      <c r="B19" s="3037"/>
      <c r="C19" s="2003" t="s">
        <v>1674</v>
      </c>
    </row>
    <row r="20" spans="1:3" ht="13.5">
      <c r="A20" s="3041"/>
      <c r="B20" s="3036" t="s">
        <v>1675</v>
      </c>
      <c r="C20" s="3035"/>
    </row>
    <row r="21" spans="1:3" ht="13.5">
      <c r="A21" s="2004" t="s">
        <v>1676</v>
      </c>
      <c r="B21" s="2005"/>
      <c r="C21" s="2006"/>
    </row>
    <row r="22" spans="1:3" ht="13.5">
      <c r="A22" s="3038" t="s">
        <v>1677</v>
      </c>
      <c r="B22" s="3036" t="s">
        <v>1678</v>
      </c>
      <c r="C22" s="3035"/>
    </row>
    <row r="23" spans="1:3" ht="13.5">
      <c r="A23" s="3038"/>
      <c r="B23" s="3036" t="s">
        <v>1679</v>
      </c>
      <c r="C23" s="3035"/>
    </row>
    <row r="24" spans="1:3" ht="13.5">
      <c r="A24" s="3038"/>
      <c r="B24" s="3036" t="s">
        <v>1680</v>
      </c>
      <c r="C24" s="3035"/>
    </row>
    <row r="25" spans="1:3" ht="13.5">
      <c r="A25" s="3038"/>
      <c r="B25" s="3037" t="s">
        <v>1681</v>
      </c>
      <c r="C25" s="2003" t="s">
        <v>1682</v>
      </c>
    </row>
    <row r="26" spans="1:3" ht="13.5">
      <c r="A26" s="3038"/>
      <c r="B26" s="3037"/>
      <c r="C26" s="2003" t="s">
        <v>1683</v>
      </c>
    </row>
    <row r="27" spans="1:3" ht="13.5">
      <c r="A27" s="3038"/>
      <c r="B27" s="3037"/>
      <c r="C27" s="2003" t="s">
        <v>1684</v>
      </c>
    </row>
    <row r="28" spans="1:3" ht="13.5">
      <c r="A28" s="3038"/>
      <c r="B28" s="3037"/>
      <c r="C28" s="2003" t="s">
        <v>1685</v>
      </c>
    </row>
    <row r="29" spans="1:3" ht="13.5">
      <c r="A29" s="3038"/>
      <c r="B29" s="3037"/>
      <c r="C29" s="2003" t="s">
        <v>1686</v>
      </c>
    </row>
    <row r="30" spans="1:3" ht="13.5">
      <c r="A30" s="3038"/>
      <c r="B30" s="3037"/>
      <c r="C30" s="2003" t="s">
        <v>1687</v>
      </c>
    </row>
    <row r="31" spans="1:3" ht="13.5">
      <c r="A31" s="3038"/>
      <c r="B31" s="3037"/>
      <c r="C31" s="2003" t="s">
        <v>1688</v>
      </c>
    </row>
    <row r="32" spans="1:3" ht="13.5">
      <c r="A32" s="3038"/>
      <c r="B32" s="3037"/>
      <c r="C32" s="2003" t="s">
        <v>1689</v>
      </c>
    </row>
    <row r="33" spans="1:3" ht="13.5">
      <c r="A33" s="3038"/>
      <c r="B33" s="3037"/>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4" t="s">
        <v>829</v>
      </c>
      <c r="D3" s="2347" t="s">
        <v>830</v>
      </c>
      <c r="E3" s="1025" t="s">
        <v>831</v>
      </c>
      <c r="F3" s="1024" t="s">
        <v>829</v>
      </c>
    </row>
    <row r="4" spans="1:6" ht="24" customHeight="1">
      <c r="A4" s="1706" t="s">
        <v>832</v>
      </c>
      <c r="B4" s="1025">
        <f ca="1">IF(C4&lt;B2,"已过期",1119970066)</f>
        <v>1119970066</v>
      </c>
      <c r="C4" s="2345">
        <v>43849</v>
      </c>
      <c r="D4" s="2348" t="s">
        <v>832</v>
      </c>
      <c r="E4" s="1025">
        <f ca="1">IF(F4&lt;B2,"已过期",96010014)</f>
        <v>96010014</v>
      </c>
      <c r="F4" s="1033">
        <v>47118</v>
      </c>
    </row>
    <row r="5" spans="1:6" ht="24" customHeight="1">
      <c r="A5" s="1706" t="s">
        <v>833</v>
      </c>
      <c r="B5" s="1025">
        <f ca="1">IF(C5&lt;B2,"已过期",1119970074)</f>
        <v>1119970074</v>
      </c>
      <c r="C5" s="2345">
        <v>43849</v>
      </c>
      <c r="D5" s="2348" t="s">
        <v>833</v>
      </c>
      <c r="E5" s="1025">
        <f ca="1">IF(F5&lt;B2,"已过期",2002110027)</f>
        <v>2002110027</v>
      </c>
      <c r="F5" s="1033">
        <v>46752</v>
      </c>
    </row>
    <row r="6" spans="1:6" ht="24" customHeight="1">
      <c r="A6" s="1706" t="s">
        <v>834</v>
      </c>
      <c r="B6" s="1025">
        <f ca="1">IF(C6&lt;B2,"已过期",1119970111)</f>
        <v>1119970111</v>
      </c>
      <c r="C6" s="2345">
        <v>43849</v>
      </c>
      <c r="D6" s="2348" t="s">
        <v>834</v>
      </c>
      <c r="E6" s="1025">
        <f ca="1">IF(F6&lt;B2,"已过期",94010078)</f>
        <v>94010078</v>
      </c>
      <c r="F6" s="1033">
        <v>46387</v>
      </c>
    </row>
    <row r="7" spans="1:6" ht="24" customHeight="1">
      <c r="A7" s="1706" t="s">
        <v>835</v>
      </c>
      <c r="B7" s="1025">
        <f ca="1">IF(C7&lt;B2,"已过期",1120050019)</f>
        <v>1120050019</v>
      </c>
      <c r="C7" s="2345">
        <v>43359</v>
      </c>
      <c r="D7" s="2348" t="s">
        <v>835</v>
      </c>
      <c r="E7" s="1025">
        <f ca="1">IF(F7&lt;B2,"已过期",2002110030)</f>
        <v>2002110030</v>
      </c>
      <c r="F7" s="1033">
        <v>46387</v>
      </c>
    </row>
    <row r="8" spans="1:6" ht="24" customHeight="1">
      <c r="A8" s="1706" t="s">
        <v>836</v>
      </c>
      <c r="B8" s="1025">
        <f ca="1">IF(C8&lt;B2,"已过期",1120000080)</f>
        <v>1120000080</v>
      </c>
      <c r="C8" s="2345">
        <v>43849</v>
      </c>
      <c r="D8" s="2348" t="s">
        <v>836</v>
      </c>
      <c r="E8" s="1025">
        <f ca="1">IF(F8&lt;B2,"已过期",2000110082)</f>
        <v>2000110082</v>
      </c>
      <c r="F8" s="1033">
        <v>46387</v>
      </c>
    </row>
    <row r="9" spans="1:6" ht="24" customHeight="1">
      <c r="A9" s="1706" t="s">
        <v>837</v>
      </c>
      <c r="B9" s="1025">
        <f ca="1">IF(C9&lt;B2,"已过期",1419970001)</f>
        <v>1419970001</v>
      </c>
      <c r="C9" s="2345">
        <v>43867</v>
      </c>
      <c r="D9" s="2348" t="s">
        <v>837</v>
      </c>
      <c r="E9" s="1025">
        <f ca="1">IF(F9&lt;B2,"已过期",2002110125)</f>
        <v>2002110125</v>
      </c>
      <c r="F9" s="1033">
        <v>47118</v>
      </c>
    </row>
    <row r="10" spans="1:6" ht="24" customHeight="1">
      <c r="A10" s="1706" t="s">
        <v>838</v>
      </c>
      <c r="B10" s="1025">
        <f ca="1">IF(C10&lt;B2,"已过期",1120060040)</f>
        <v>1120060040</v>
      </c>
      <c r="C10" s="2345">
        <v>43483</v>
      </c>
      <c r="D10" s="2348" t="s">
        <v>838</v>
      </c>
      <c r="E10" s="1025">
        <f ca="1">IF(F10&lt;B2,"已过期",2004110096)</f>
        <v>2004110096</v>
      </c>
      <c r="F10" s="1033">
        <v>47118</v>
      </c>
    </row>
    <row r="11" spans="1:6" ht="24" customHeight="1">
      <c r="A11" s="1706" t="s">
        <v>839</v>
      </c>
      <c r="B11" s="1025">
        <f ca="1">IF(C11&lt;B2,"已过期",1120100036)</f>
        <v>1120100036</v>
      </c>
      <c r="C11" s="2345">
        <v>43622</v>
      </c>
      <c r="D11" s="2348" t="s">
        <v>839</v>
      </c>
      <c r="E11" s="1025">
        <f ca="1">IF(F11&lt;B2,"已过期",2010110070)</f>
        <v>2010110070</v>
      </c>
      <c r="F11" s="1033">
        <v>47907</v>
      </c>
    </row>
    <row r="12" spans="1:6" ht="24" customHeight="1">
      <c r="A12" s="1706"/>
      <c r="B12" s="1025"/>
      <c r="C12" s="2345"/>
      <c r="D12" s="2348"/>
      <c r="E12" s="1025"/>
      <c r="F12" s="1025"/>
    </row>
    <row r="13" spans="1:6" ht="24" customHeight="1">
      <c r="A13" s="1706" t="s">
        <v>840</v>
      </c>
      <c r="B13" s="1025">
        <f ca="1">IF(C13&lt;B2,"已过期",1120070131)</f>
        <v>1120070131</v>
      </c>
      <c r="C13" s="2345">
        <v>43814</v>
      </c>
      <c r="D13" s="2348" t="s">
        <v>840</v>
      </c>
      <c r="E13" s="1025">
        <v>2014110011</v>
      </c>
      <c r="F13" s="1033">
        <v>49302</v>
      </c>
    </row>
    <row r="14" spans="1:6" ht="24" customHeight="1">
      <c r="A14" s="1706" t="s">
        <v>841</v>
      </c>
      <c r="B14" s="1025">
        <f ca="1">IF(C14&lt;B2,"已过期",1120130020)</f>
        <v>1120130020</v>
      </c>
      <c r="C14" s="2345">
        <v>43622</v>
      </c>
      <c r="D14" s="2348"/>
      <c r="E14" s="1025"/>
      <c r="F14" s="1025"/>
    </row>
    <row r="15" spans="1:6" ht="24" customHeight="1">
      <c r="A15" s="1707" t="s">
        <v>1149</v>
      </c>
      <c r="B15" s="1025">
        <v>1120070085</v>
      </c>
      <c r="C15" s="2345">
        <v>43814</v>
      </c>
      <c r="D15" s="2349" t="s">
        <v>1149</v>
      </c>
      <c r="E15" s="1025">
        <v>2004110128</v>
      </c>
      <c r="F15" s="1026">
        <v>47118</v>
      </c>
    </row>
    <row r="16" spans="1:6" ht="24" customHeight="1">
      <c r="A16" s="1706" t="s">
        <v>842</v>
      </c>
      <c r="B16" s="1025">
        <f ca="1">IF(C16&lt;B2,"已过期",1120140022)</f>
        <v>1120140022</v>
      </c>
      <c r="C16" s="2345">
        <v>44029</v>
      </c>
      <c r="D16" s="2348" t="s">
        <v>842</v>
      </c>
      <c r="E16" s="1025">
        <f ca="1">IF(F16&lt;B2,"已过期",2008110059)</f>
        <v>2008110059</v>
      </c>
      <c r="F16" s="1033">
        <v>47177</v>
      </c>
    </row>
    <row r="17" spans="1:7" ht="24" customHeight="1">
      <c r="A17" s="1706"/>
      <c r="B17" s="1025"/>
      <c r="C17" s="2345"/>
      <c r="D17" s="2348"/>
      <c r="E17" s="1025"/>
      <c r="F17" s="1033"/>
    </row>
    <row r="18" spans="1:7" ht="24" customHeight="1">
      <c r="A18" s="1706"/>
      <c r="B18" s="1025"/>
      <c r="C18" s="2345"/>
      <c r="D18" s="2348"/>
      <c r="E18" s="1025"/>
      <c r="F18" s="1033"/>
    </row>
    <row r="19" spans="1:7" ht="24" customHeight="1">
      <c r="A19" s="1706"/>
      <c r="B19" s="1025"/>
      <c r="C19" s="2345"/>
      <c r="D19" s="2348"/>
      <c r="E19" s="1025"/>
      <c r="F19" s="1025"/>
    </row>
    <row r="20" spans="1:7" ht="24" customHeight="1">
      <c r="A20" s="1706"/>
      <c r="B20" s="1025"/>
      <c r="C20" s="2345"/>
      <c r="D20" s="2348"/>
      <c r="E20" s="1025"/>
      <c r="F20" s="1025"/>
    </row>
    <row r="21" spans="1:7" ht="24" customHeight="1">
      <c r="A21" s="1706"/>
      <c r="B21" s="1025"/>
      <c r="C21" s="2345"/>
      <c r="D21" s="2348" t="s">
        <v>843</v>
      </c>
      <c r="E21" s="1025">
        <f ca="1">IF(F21&lt;B2,"已过期",2011110090)</f>
        <v>2011110090</v>
      </c>
      <c r="F21" s="1033">
        <v>48302</v>
      </c>
    </row>
    <row r="22" spans="1:7" ht="24" customHeight="1">
      <c r="A22" s="1706" t="s">
        <v>844</v>
      </c>
      <c r="B22" s="1025">
        <f ca="1">IF(C22&lt;B2,"已过期",1120020033)</f>
        <v>1120020033</v>
      </c>
      <c r="C22" s="2345">
        <v>43304</v>
      </c>
      <c r="D22" s="2348" t="s">
        <v>844</v>
      </c>
      <c r="E22" s="1025">
        <f ca="1">IF(F22&lt;B2,"已过期",2000110137)</f>
        <v>2000110137</v>
      </c>
      <c r="F22" s="1033">
        <v>46387</v>
      </c>
    </row>
    <row r="23" spans="1:7" ht="24" customHeight="1">
      <c r="A23" s="1706" t="s">
        <v>845</v>
      </c>
      <c r="B23" s="1025">
        <f ca="1">IF(C23&lt;B2,"已过期",1120130048)</f>
        <v>1120130048</v>
      </c>
      <c r="C23" s="2345">
        <v>43686</v>
      </c>
      <c r="D23" s="2348"/>
      <c r="E23" s="1025"/>
      <c r="F23" s="1025"/>
    </row>
    <row r="24" spans="1:7" s="1027" customFormat="1" ht="24" customHeight="1">
      <c r="A24" s="1707" t="s">
        <v>1334</v>
      </c>
      <c r="B24" s="1707" t="s">
        <v>1334</v>
      </c>
      <c r="C24" s="2346" t="s">
        <v>1334</v>
      </c>
      <c r="D24" s="2349" t="s">
        <v>1334</v>
      </c>
      <c r="E24" s="1707" t="s">
        <v>1334</v>
      </c>
      <c r="F24" s="1707" t="s">
        <v>1334</v>
      </c>
    </row>
    <row r="25" spans="1:7" ht="24" customHeight="1">
      <c r="A25" s="3042" t="s">
        <v>846</v>
      </c>
      <c r="B25" s="3042"/>
      <c r="C25" s="3042"/>
      <c r="D25" s="3042"/>
      <c r="E25" s="3042"/>
      <c r="F25" s="3042"/>
      <c r="G25" s="3042"/>
    </row>
    <row r="26" spans="1:7" s="1028" customFormat="1" ht="24" customHeight="1">
      <c r="A26" s="3043" t="s">
        <v>847</v>
      </c>
      <c r="B26" s="3043"/>
      <c r="C26" s="3044"/>
      <c r="D26" s="3045" t="s">
        <v>848</v>
      </c>
      <c r="E26" s="3043"/>
      <c r="F26" s="3043"/>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2017-11-28T06:13:38Z</dcterms:modified>
</cp:coreProperties>
</file>