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<sst xmlns="http://schemas.openxmlformats.org/spreadsheetml/2006/main" count="7426" uniqueCount="2626">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</sst>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176" formatCode="yyyy/m/d;@"/>
    <numFmt numFmtId="177" formatCode="[$-F800]dddd\,\ mmmm\ dd\,\ yyyy"/>
    <numFmt numFmtId="42" formatCode="_ &quot;￥&quot;* #,##0_ ;_ &quot;￥&quot;* \-#,##0_ ;_ &quot;￥&quot;* &quot;-&quot;_ ;_ @_ "/>
    <numFmt numFmtId="44" formatCode="_ &quot;￥&quot;* #,##0.00_ ;_ &quot;￥&quot;* \-#,##0.00_ ;_ &quot;￥&quot;* &quot;-&quot;??_ ;_ @_ "/>
    <numFmt numFmtId="41" formatCode="_ * #,##0_ ;_ * \-#,##0_ ;_ * &quot;-&quot;_ ;_ @_ "/>
    <numFmt numFmtId="178" formatCode="0.0_);[Red]\(0.0\)"/>
    <numFmt numFmtId="179" formatCode="0_ "/>
    <numFmt numFmtId="180" formatCode="0.000_ "/>
    <numFmt numFmtId="181" formatCode="0.00_ "/>
    <numFmt numFmtId="182" formatCode="0.00_);[Red]\(0.00\)"/>
    <numFmt numFmtId="183" formatCode="0.0_ "/>
    <numFmt numFmtId="184" formatCode="0.0000_ "/>
    <numFmt numFmtId="185" formatCode="0.0%"/>
    <numFmt numFmtId="186" formatCode="0.0000%"/>
    <numFmt numFmtId="187" formatCode="0_);[Red]\(0\)"/>
    <numFmt numFmtId="188" formatCode="yyyy&quot;年&quot;m&quot;月&quot;d&quot;日&quot;;@"/>
    <numFmt numFmtId="189" formatCode="0.000_);[Red]\(0.000\)"/>
    <numFmt numFmtId="190" formatCode="0;_쐀"/>
    <numFmt numFmtId="191" formatCode="yyyy&quot;年&quot;m&quot;月&quot;;@"/>
    <numFmt numFmtId="192" formatCode="0.000%"/>
    <numFmt numFmtId="193" formatCode="0_ ;[Red]\-0\ "/>
    <numFmt numFmtId="194" formatCode="[DBNum1][$-804]yyyy&quot;年&quot;m&quot;月&quot;d&quot;日&quot;;@"/>
    <numFmt numFmtId="195" formatCode="[DBNum2][$-804]General"/>
    <numFmt numFmtId="196"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3F3F76"/>
      <name val="宋体"/>
      <charset val="0"/>
      <scheme val="minor"/>
    </font>
    <font>
      <b/>
      <sz val="18"/>
      <color theme="3"/>
      <name val="宋体"/>
      <charset val="134"/>
      <scheme val="minor"/>
    </font>
    <font>
      <sz val="11"/>
      <color theme="1"/>
      <name val="宋体"/>
      <charset val="0"/>
      <scheme val="minor"/>
    </font>
    <font>
      <b/>
      <sz val="11"/>
      <color theme="1"/>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9C6500"/>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sz val="11"/>
      <color rgb="FFFF0000"/>
      <name val="宋体"/>
      <charset val="0"/>
      <scheme val="minor"/>
    </font>
    <font>
      <i/>
      <sz val="11"/>
      <color rgb="FF7F7F7F"/>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2"/>
      <name val="宋体"/>
      <charset val="0"/>
      <scheme val="minor"/>
    </font>
    <font>
      <sz val="11"/>
      <name val="楷体_GB2312"/>
      <charset val="134"/>
    </font>
    <font>
      <b/>
      <sz val="9"/>
      <name val="宋体"/>
      <charset val="134"/>
    </font>
    <font>
      <sz val="12"/>
      <name val="仿宋_GB2312"/>
      <charset val="134"/>
    </font>
    <font>
      <sz val="14"/>
      <name val="楷体_GB2312"/>
      <charset val="134"/>
    </font>
    <font>
      <sz val="12"/>
      <name val="楷体_GB2312"/>
      <charset val="134"/>
    </font>
    <font>
      <sz val="9"/>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rgb="FFFFEB9C"/>
        <bgColor indexed="64"/>
      </patternFill>
    </fill>
    <fill>
      <patternFill patternType="solid">
        <fgColor theme="4" tint="0.799981688894314"/>
        <bgColor indexed="64"/>
      </patternFill>
    </fill>
    <fill>
      <patternFill patternType="solid">
        <fgColor rgb="FFFFFFC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bgColor indexed="64"/>
      </patternFill>
    </fill>
    <fill>
      <patternFill patternType="solid">
        <fgColor theme="4"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8" tint="0.399975585192419"/>
        <bgColor indexed="64"/>
      </patternFill>
    </fill>
    <fill>
      <patternFill patternType="solid">
        <fgColor rgb="FFC6EFCE"/>
        <bgColor indexed="64"/>
      </patternFill>
    </fill>
    <fill>
      <patternFill patternType="solid">
        <fgColor theme="5"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3" borderId="0" applyNumberFormat="0" applyBorder="0" applyAlignment="0" applyProtection="0">
      <alignment vertical="center"/>
    </xf>
    <xf numFmtId="0" fontId="137"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4" borderId="0" applyNumberFormat="0" applyBorder="0" applyAlignment="0" applyProtection="0">
      <alignment vertical="center"/>
    </xf>
    <xf numFmtId="43" fontId="0" fillId="0" borderId="0" applyFont="0" applyFill="0" applyBorder="0" applyAlignment="0" applyProtection="0">
      <alignment vertical="center"/>
    </xf>
    <xf numFmtId="0" fontId="142" fillId="25"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8" borderId="163"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2" fillId="31" borderId="0" applyNumberFormat="0" applyBorder="0" applyAlignment="0" applyProtection="0">
      <alignment vertical="center"/>
    </xf>
    <xf numFmtId="0" fontId="143"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51" fillId="0" borderId="165" applyNumberFormat="0" applyFill="0" applyAlignment="0" applyProtection="0">
      <alignment vertical="center"/>
    </xf>
    <xf numFmtId="0" fontId="0" fillId="0" borderId="0"/>
    <xf numFmtId="0" fontId="152" fillId="0" borderId="165" applyNumberFormat="0" applyFill="0" applyAlignment="0" applyProtection="0">
      <alignment vertical="center"/>
    </xf>
    <xf numFmtId="0" fontId="142" fillId="37" borderId="0" applyNumberFormat="0" applyBorder="0" applyAlignment="0" applyProtection="0">
      <alignment vertical="center"/>
    </xf>
    <xf numFmtId="0" fontId="143" fillId="0" borderId="162" applyNumberFormat="0" applyFill="0" applyAlignment="0" applyProtection="0">
      <alignment vertical="center"/>
    </xf>
    <xf numFmtId="0" fontId="142" fillId="39" borderId="0" applyNumberFormat="0" applyBorder="0" applyAlignment="0" applyProtection="0">
      <alignment vertical="center"/>
    </xf>
    <xf numFmtId="0" fontId="147" fillId="30" borderId="164" applyNumberFormat="0" applyAlignment="0" applyProtection="0">
      <alignment vertical="center"/>
    </xf>
    <xf numFmtId="0" fontId="150" fillId="30" borderId="160" applyNumberFormat="0" applyAlignment="0" applyProtection="0">
      <alignment vertical="center"/>
    </xf>
    <xf numFmtId="0" fontId="153" fillId="40" borderId="166" applyNumberFormat="0" applyAlignment="0" applyProtection="0">
      <alignment vertical="center"/>
    </xf>
    <xf numFmtId="0" fontId="154" fillId="0" borderId="167" applyNumberFormat="0" applyFill="0" applyAlignment="0" applyProtection="0">
      <alignment vertical="center"/>
    </xf>
    <xf numFmtId="0" fontId="105" fillId="0" borderId="0">
      <alignment vertical="center"/>
    </xf>
    <xf numFmtId="0" fontId="139" fillId="38" borderId="0" applyNumberFormat="0" applyBorder="0" applyAlignment="0" applyProtection="0">
      <alignment vertical="center"/>
    </xf>
    <xf numFmtId="0" fontId="142" fillId="36" borderId="0" applyNumberFormat="0" applyBorder="0" applyAlignment="0" applyProtection="0">
      <alignment vertical="center"/>
    </xf>
    <xf numFmtId="0" fontId="140" fillId="0" borderId="161" applyNumberFormat="0" applyFill="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0" fillId="0" borderId="0">
      <alignment vertical="center"/>
    </xf>
    <xf numFmtId="0" fontId="144" fillId="26" borderId="0" applyNumberFormat="0" applyBorder="0" applyAlignment="0" applyProtection="0">
      <alignment vertical="center"/>
    </xf>
    <xf numFmtId="0" fontId="105" fillId="0" borderId="0">
      <alignment vertical="center"/>
    </xf>
    <xf numFmtId="0" fontId="139" fillId="35" borderId="0" applyNumberFormat="0" applyBorder="0" applyAlignment="0" applyProtection="0">
      <alignment vertical="center"/>
    </xf>
    <xf numFmtId="0" fontId="142" fillId="44" borderId="0" applyNumberFormat="0" applyBorder="0" applyAlignment="0" applyProtection="0">
      <alignment vertical="center"/>
    </xf>
    <xf numFmtId="0" fontId="139" fillId="27" borderId="0" applyNumberFormat="0" applyBorder="0" applyAlignment="0" applyProtection="0">
      <alignment vertical="center"/>
    </xf>
    <xf numFmtId="0" fontId="139" fillId="33" borderId="0" applyNumberFormat="0" applyBorder="0" applyAlignment="0" applyProtection="0">
      <alignment vertical="center"/>
    </xf>
    <xf numFmtId="0" fontId="139" fillId="43" borderId="0" applyNumberFormat="0" applyBorder="0" applyAlignment="0" applyProtection="0">
      <alignment vertical="center"/>
    </xf>
    <xf numFmtId="0" fontId="139" fillId="45" borderId="0" applyNumberFormat="0" applyBorder="0" applyAlignment="0" applyProtection="0">
      <alignment vertical="center"/>
    </xf>
    <xf numFmtId="0" fontId="142" fillId="46" borderId="0" applyNumberFormat="0" applyBorder="0" applyAlignment="0" applyProtection="0">
      <alignment vertical="center"/>
    </xf>
    <xf numFmtId="0" fontId="0" fillId="0" borderId="0">
      <alignment vertical="center"/>
    </xf>
    <xf numFmtId="0" fontId="142" fillId="29" borderId="0" applyNumberFormat="0" applyBorder="0" applyAlignment="0" applyProtection="0">
      <alignment vertical="center"/>
    </xf>
    <xf numFmtId="0" fontId="139" fillId="22" borderId="0" applyNumberFormat="0" applyBorder="0" applyAlignment="0" applyProtection="0">
      <alignment vertical="center"/>
    </xf>
    <xf numFmtId="0" fontId="139" fillId="47" borderId="0" applyNumberFormat="0" applyBorder="0" applyAlignment="0" applyProtection="0">
      <alignment vertical="center"/>
    </xf>
    <xf numFmtId="0" fontId="142" fillId="34"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2" fillId="41" borderId="0" applyNumberFormat="0" applyBorder="0" applyAlignment="0" applyProtection="0">
      <alignment vertical="center"/>
    </xf>
    <xf numFmtId="0" fontId="142" fillId="32" borderId="0" applyNumberFormat="0" applyBorder="0" applyAlignment="0" applyProtection="0">
      <alignment vertical="center"/>
    </xf>
    <xf numFmtId="0" fontId="139" fillId="48" borderId="0" applyNumberFormat="0" applyBorder="0" applyAlignment="0" applyProtection="0">
      <alignment vertical="center"/>
    </xf>
    <xf numFmtId="0" fontId="142"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7"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7" fontId="41" fillId="10" borderId="79" xfId="22" applyNumberFormat="1" applyFont="1" applyFill="1" applyBorder="1" applyAlignment="1" applyProtection="1">
      <alignment horizontal="left" vertical="center" wrapText="1"/>
    </xf>
    <xf numFmtId="187"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7" fontId="41" fillId="10" borderId="79" xfId="22" applyNumberFormat="1" applyFont="1" applyFill="1" applyBorder="1" applyAlignment="1">
      <alignment horizontal="left" vertical="center" wrapText="1"/>
    </xf>
    <xf numFmtId="187"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7" fontId="41" fillId="10" borderId="78" xfId="22" applyNumberFormat="1" applyFont="1" applyFill="1" applyBorder="1" applyAlignment="1">
      <alignment horizontal="left" vertical="center" wrapText="1"/>
    </xf>
    <xf numFmtId="187"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7"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7" fontId="41" fillId="10" borderId="85" xfId="22" applyNumberFormat="1" applyFont="1" applyFill="1" applyBorder="1" applyAlignment="1">
      <alignment horizontal="left" vertical="center" wrapText="1"/>
    </xf>
    <xf numFmtId="187" fontId="41" fillId="10" borderId="87" xfId="22" applyNumberFormat="1" applyFont="1" applyFill="1" applyBorder="1" applyAlignment="1">
      <alignment horizontal="left" vertical="center" wrapText="1"/>
    </xf>
    <xf numFmtId="187" fontId="6" fillId="9"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75" xfId="22" applyNumberFormat="1" applyFont="1" applyBorder="1" applyAlignment="1">
      <alignment horizontal="left" vertical="center"/>
    </xf>
    <xf numFmtId="185"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0" fontId="6" fillId="0" borderId="0" xfId="22" applyNumberFormat="1" applyFont="1" applyAlignment="1">
      <alignment horizontal="left" vertical="center"/>
    </xf>
    <xf numFmtId="180" fontId="6" fillId="0" borderId="75" xfId="22" applyNumberFormat="1" applyFont="1" applyBorder="1" applyAlignment="1">
      <alignment horizontal="left" vertical="center"/>
    </xf>
    <xf numFmtId="18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0" fontId="43" fillId="0" borderId="0" xfId="22" applyNumberFormat="1" applyFont="1" applyAlignment="1">
      <alignment horizontal="left" vertical="center"/>
    </xf>
    <xf numFmtId="180" fontId="43"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82"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7"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7"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78"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2"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xf>
    <xf numFmtId="18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8" xfId="0" applyNumberFormat="1" applyFont="1" applyFill="1" applyBorder="1" applyAlignment="1" applyProtection="1">
      <alignment horizontal="center" vertical="center"/>
      <protection locked="0"/>
    </xf>
    <xf numFmtId="18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82"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7"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7"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7" fontId="29" fillId="2" borderId="117" xfId="62" applyNumberFormat="1" applyFont="1" applyFill="1" applyBorder="1" applyAlignment="1">
      <alignment horizontal="left" vertical="center"/>
    </xf>
    <xf numFmtId="187"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7"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5"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7" fontId="30" fillId="2" borderId="1" xfId="62" applyNumberFormat="1" applyFont="1" applyFill="1" applyBorder="1" applyAlignment="1">
      <alignment horizontal="left" vertical="center"/>
    </xf>
    <xf numFmtId="185"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2" fontId="30" fillId="0" borderId="1" xfId="62" applyNumberFormat="1" applyFont="1" applyFill="1" applyBorder="1" applyAlignment="1" applyProtection="1">
      <alignment horizontal="left" vertical="center"/>
      <protection locked="0"/>
    </xf>
    <xf numFmtId="185" fontId="30" fillId="2" borderId="4" xfId="62" applyNumberFormat="1" applyFont="1" applyFill="1" applyBorder="1" applyAlignment="1">
      <alignment horizontal="right" vertical="center"/>
    </xf>
    <xf numFmtId="179" fontId="30" fillId="0" borderId="1" xfId="62" applyNumberFormat="1" applyFont="1" applyFill="1" applyBorder="1" applyAlignment="1" applyProtection="1">
      <alignment horizontal="left" vertical="center"/>
      <protection locked="0"/>
    </xf>
    <xf numFmtId="187" fontId="30" fillId="0" borderId="1" xfId="62" applyNumberFormat="1" applyFont="1" applyFill="1" applyBorder="1" applyAlignment="1" applyProtection="1">
      <alignment horizontal="left" vertical="center"/>
      <protection locked="0"/>
    </xf>
    <xf numFmtId="185"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7" fontId="29" fillId="2" borderId="13" xfId="62" applyNumberFormat="1" applyFont="1" applyFill="1" applyBorder="1" applyAlignment="1">
      <alignment horizontal="left" vertical="center"/>
    </xf>
    <xf numFmtId="185"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7" fontId="29" fillId="2" borderId="96" xfId="62" applyNumberFormat="1" applyFont="1" applyFill="1" applyBorder="1" applyAlignment="1">
      <alignment horizontal="left" vertical="center"/>
    </xf>
    <xf numFmtId="185"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7" fontId="30" fillId="2" borderId="2" xfId="62" applyNumberFormat="1" applyFont="1" applyFill="1" applyBorder="1" applyAlignment="1">
      <alignment horizontal="left" vertical="center"/>
    </xf>
    <xf numFmtId="187" fontId="30" fillId="2" borderId="142" xfId="62" applyNumberFormat="1" applyFont="1" applyFill="1" applyBorder="1" applyAlignment="1">
      <alignment horizontal="left" vertical="center"/>
    </xf>
    <xf numFmtId="187"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7" fontId="30" fillId="2" borderId="2" xfId="62" applyNumberFormat="1" applyFont="1" applyFill="1" applyBorder="1" applyAlignment="1">
      <alignment horizontal="right" vertical="center"/>
    </xf>
    <xf numFmtId="185" fontId="30" fillId="0" borderId="142" xfId="62" applyNumberFormat="1" applyFont="1" applyFill="1" applyBorder="1" applyAlignment="1" applyProtection="1">
      <alignment horizontal="right" vertical="center"/>
      <protection locked="0"/>
    </xf>
    <xf numFmtId="185"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5"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5" fontId="30" fillId="2" borderId="142" xfId="62" applyNumberFormat="1" applyFont="1" applyFill="1" applyBorder="1" applyAlignment="1">
      <alignment horizontal="right" vertical="center"/>
    </xf>
    <xf numFmtId="185"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5" fontId="30" fillId="0" borderId="2" xfId="62" applyNumberFormat="1" applyFont="1" applyFill="1" applyBorder="1" applyAlignment="1" applyProtection="1">
      <alignment horizontal="left" vertical="center"/>
      <protection locked="0"/>
    </xf>
    <xf numFmtId="185" fontId="30" fillId="0" borderId="142" xfId="62" applyNumberFormat="1" applyFont="1" applyFill="1" applyBorder="1" applyAlignment="1" applyProtection="1">
      <alignment horizontal="left" vertical="center"/>
      <protection locked="0"/>
    </xf>
    <xf numFmtId="185" fontId="30" fillId="0" borderId="4" xfId="62" applyNumberFormat="1" applyFont="1" applyFill="1" applyBorder="1" applyAlignment="1" applyProtection="1">
      <alignment horizontal="left" vertical="center"/>
      <protection locked="0"/>
    </xf>
    <xf numFmtId="182"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2" fontId="30" fillId="0" borderId="33" xfId="62" applyNumberFormat="1" applyFont="1" applyFill="1" applyBorder="1" applyAlignment="1" applyProtection="1">
      <alignment horizontal="left" vertical="center"/>
      <protection locked="0"/>
    </xf>
    <xf numFmtId="182" fontId="30" fillId="0" borderId="143" xfId="62" applyNumberFormat="1" applyFont="1" applyFill="1" applyBorder="1" applyAlignment="1" applyProtection="1">
      <alignment horizontal="left" vertical="center"/>
      <protection locked="0"/>
    </xf>
    <xf numFmtId="182" fontId="30" fillId="0" borderId="62" xfId="62" applyNumberFormat="1" applyFont="1" applyFill="1" applyBorder="1" applyAlignment="1" applyProtection="1">
      <alignment horizontal="left" vertical="center"/>
      <protection locked="0"/>
    </xf>
    <xf numFmtId="182"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7"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7"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9" fontId="6" fillId="0" borderId="11" xfId="60" applyNumberFormat="1" applyFont="1" applyBorder="1" applyAlignment="1" applyProtection="1">
      <alignment horizontal="left" vertical="center"/>
      <protection locked="0" hidden="1"/>
    </xf>
    <xf numFmtId="17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9" fontId="29" fillId="2" borderId="1" xfId="62" applyNumberFormat="1" applyFont="1" applyFill="1" applyBorder="1" applyAlignment="1" applyProtection="1">
      <alignment horizontal="left" vertical="center"/>
      <protection locked="0"/>
    </xf>
    <xf numFmtId="17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5"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185"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5"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5"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5"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3"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5"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77"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0"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0" fontId="55"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5"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2" fontId="55" fillId="2" borderId="7" xfId="60" applyNumberFormat="1" applyFont="1" applyFill="1" applyBorder="1" applyAlignment="1" applyProtection="1">
      <alignment vertical="center" wrapText="1"/>
    </xf>
    <xf numFmtId="182"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2" fontId="55" fillId="2" borderId="10" xfId="60" applyNumberFormat="1" applyFont="1" applyFill="1" applyBorder="1" applyAlignment="1" applyProtection="1">
      <alignment vertical="center" wrapText="1"/>
    </xf>
    <xf numFmtId="182"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2" fontId="61" fillId="2" borderId="10" xfId="60" applyNumberFormat="1" applyFont="1" applyFill="1" applyBorder="1" applyAlignment="1" applyProtection="1">
      <alignment vertical="center" wrapText="1"/>
    </xf>
    <xf numFmtId="182" fontId="55" fillId="2" borderId="11" xfId="60" applyNumberFormat="1" applyFont="1" applyFill="1" applyBorder="1" applyAlignment="1" applyProtection="1">
      <alignment horizontal="center" vertical="center"/>
    </xf>
    <xf numFmtId="182" fontId="55" fillId="2" borderId="12" xfId="60" applyNumberFormat="1" applyFont="1" applyFill="1" applyBorder="1" applyAlignment="1" applyProtection="1">
      <alignment vertical="center" wrapText="1"/>
    </xf>
    <xf numFmtId="182"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6" borderId="11"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79"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2"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Fill="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185"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6" borderId="1" xfId="0" applyNumberFormat="1" applyFont="1" applyFill="1" applyBorder="1" applyAlignment="1" applyProtection="1">
      <alignment horizontal="center"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2" fontId="61" fillId="6" borderId="1" xfId="0" applyNumberFormat="1" applyFont="1" applyFill="1" applyBorder="1" applyAlignment="1" applyProtection="1">
      <alignment horizontal="center" vertical="center"/>
      <protection locked="0"/>
    </xf>
    <xf numFmtId="185"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2"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2"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2"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2"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2" fontId="56" fillId="2" borderId="17" xfId="60" applyNumberFormat="1" applyFont="1" applyFill="1" applyBorder="1" applyAlignment="1" applyProtection="1">
      <alignment horizontal="center" vertical="center"/>
    </xf>
    <xf numFmtId="182" fontId="56" fillId="2" borderId="38" xfId="60" applyNumberFormat="1" applyFont="1" applyFill="1" applyBorder="1" applyAlignment="1" applyProtection="1">
      <alignment horizontal="center" vertical="center"/>
    </xf>
    <xf numFmtId="182"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2"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60" applyNumberFormat="1" applyFont="1" applyFill="1" applyBorder="1" applyAlignment="1" applyProtection="1">
      <alignment vertical="center"/>
      <protection locked="0" hidden="1"/>
    </xf>
    <xf numFmtId="182"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82" fontId="71" fillId="2" borderId="1" xfId="0" applyNumberFormat="1"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182" fontId="71" fillId="2" borderId="11" xfId="0" applyNumberFormat="1" applyFont="1" applyFill="1" applyBorder="1" applyAlignment="1" applyProtection="1">
      <alignment vertical="center"/>
    </xf>
    <xf numFmtId="182"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2"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2"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2"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2"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182" fontId="36" fillId="2" borderId="3" xfId="0" applyNumberFormat="1" applyFont="1" applyFill="1" applyBorder="1" applyAlignment="1" applyProtection="1">
      <alignment horizontal="center" vertical="center" wrapText="1"/>
    </xf>
    <xf numFmtId="182" fontId="36" fillId="2" borderId="4" xfId="0" applyNumberFormat="1" applyFont="1" applyFill="1" applyBorder="1" applyAlignment="1" applyProtection="1">
      <alignment horizontal="center" vertical="center" wrapText="1"/>
    </xf>
    <xf numFmtId="182"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2" fontId="36" fillId="0" borderId="16" xfId="0" applyNumberFormat="1" applyFont="1" applyFill="1" applyBorder="1" applyAlignment="1" applyProtection="1">
      <alignment horizontal="center" vertical="center" wrapText="1"/>
      <protection locked="0"/>
    </xf>
    <xf numFmtId="182"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2" fontId="61" fillId="2" borderId="1" xfId="0" applyNumberFormat="1" applyFont="1" applyFill="1" applyBorder="1" applyAlignment="1" applyProtection="1">
      <alignment horizontal="center" vertical="center" wrapText="1"/>
    </xf>
    <xf numFmtId="182" fontId="61" fillId="0" borderId="16" xfId="0" applyNumberFormat="1" applyFont="1" applyFill="1" applyBorder="1" applyAlignment="1" applyProtection="1">
      <alignment horizontal="center" vertical="center" wrapText="1"/>
      <protection locked="0"/>
    </xf>
    <xf numFmtId="182" fontId="61" fillId="2" borderId="16" xfId="0" applyNumberFormat="1" applyFont="1" applyFill="1" applyBorder="1" applyAlignment="1" applyProtection="1">
      <alignment horizontal="center" vertical="center" wrapText="1"/>
    </xf>
    <xf numFmtId="182"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2" fontId="36" fillId="0" borderId="1" xfId="0" applyNumberFormat="1" applyFont="1" applyBorder="1" applyAlignment="1" applyProtection="1">
      <alignment vertical="center" wrapText="1"/>
      <protection locked="0"/>
    </xf>
    <xf numFmtId="182"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2"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2" fontId="36" fillId="0" borderId="1" xfId="0" applyNumberFormat="1" applyFont="1" applyFill="1" applyBorder="1" applyAlignment="1" applyProtection="1">
      <alignment horizontal="center" vertical="center" wrapText="1"/>
      <protection locked="0"/>
    </xf>
    <xf numFmtId="18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2" fontId="36" fillId="2" borderId="8" xfId="0" applyNumberFormat="1" applyFont="1" applyFill="1" applyBorder="1" applyAlignment="1" applyProtection="1">
      <alignment horizontal="center" vertical="center" wrapText="1"/>
    </xf>
    <xf numFmtId="182"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82" fontId="36" fillId="2" borderId="9" xfId="0" applyNumberFormat="1" applyFont="1" applyFill="1" applyBorder="1" applyAlignment="1" applyProtection="1">
      <alignment horizontal="center" vertical="center" wrapText="1"/>
    </xf>
    <xf numFmtId="182"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2"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77" fontId="114" fillId="0" borderId="1" xfId="63" applyNumberFormat="1" applyFont="1" applyFill="1" applyBorder="1" applyAlignment="1">
      <alignment horizontal="left" vertical="center"/>
    </xf>
    <xf numFmtId="177"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8"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77"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8"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8"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2"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4"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8"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1"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1"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1"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1" applyFont="1" applyBorder="1" applyAlignment="1" applyProtection="1">
      <alignment vertical="center" wrapText="1"/>
    </xf>
    <xf numFmtId="0" fontId="108" fillId="0" borderId="6" xfId="0" applyFont="1" applyBorder="1" applyAlignment="1" applyProtection="1">
      <alignment horizontal="left" vertical="center"/>
    </xf>
    <xf numFmtId="194" fontId="108" fillId="0" borderId="6" xfId="0" applyNumberFormat="1" applyFont="1" applyBorder="1" applyAlignment="1" applyProtection="1">
      <alignment horizontal="left" vertical="center"/>
    </xf>
    <xf numFmtId="0" fontId="108" fillId="0" borderId="16" xfId="21"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121920</xdr:colOff>
      <xdr:row>8</xdr:row>
      <xdr:rowOff>129540</xdr:rowOff>
    </xdr:to>
    <xdr:pic>
      <xdr:nvPicPr>
        <xdr:cNvPr id="2" name="图片 1"/>
        <xdr:cNvPicPr>
          <a:picLocks noChangeAspect="1"/>
        </xdr:cNvPicPr>
      </xdr:nvPicPr>
      <xdr:blipFill>
        <a:blip r:embed="rId1"/>
        <a:stretch>
          <a:fillRect/>
        </a:stretch>
      </xdr:blipFill>
      <xdr:spPr>
        <a:xfrm>
          <a:off x="685800" y="342900"/>
          <a:ext cx="11094720" cy="1158240"/>
        </a:xfrm>
        <a:prstGeom prst="rect">
          <a:avLst/>
        </a:prstGeom>
        <a:noFill/>
        <a:ln w="9525">
          <a:noFill/>
        </a:ln>
      </xdr:spPr>
    </xdr:pic>
    <xdr:clientData/>
  </xdr:twoCellAnchor>
  <xdr:twoCellAnchor editAs="oneCell">
    <xdr:from>
      <xdr:col>1</xdr:col>
      <xdr:colOff>0</xdr:colOff>
      <xdr:row>10</xdr:row>
      <xdr:rowOff>0</xdr:rowOff>
    </xdr:from>
    <xdr:to>
      <xdr:col>16</xdr:col>
      <xdr:colOff>15240</xdr:colOff>
      <xdr:row>24</xdr:row>
      <xdr:rowOff>137160</xdr:rowOff>
    </xdr:to>
    <xdr:pic>
      <xdr:nvPicPr>
        <xdr:cNvPr id="3" name="图片 2"/>
        <xdr:cNvPicPr>
          <a:picLocks noChangeAspect="1"/>
        </xdr:cNvPicPr>
      </xdr:nvPicPr>
      <xdr:blipFill>
        <a:blip r:embed="rId2"/>
        <a:stretch>
          <a:fillRect/>
        </a:stretch>
      </xdr:blipFill>
      <xdr:spPr>
        <a:xfrm>
          <a:off x="685800" y="1714500"/>
          <a:ext cx="10302240" cy="2537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4-X87-&#37329;&#33538;&#36920;&#22661;&#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54948</v>
          </cell>
        </row>
        <row r="34">
          <cell r="E34">
            <v>13740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8" customWidth="1"/>
    <col min="2" max="2" width="81" style="3489" customWidth="1"/>
    <col min="3" max="16384" width="9" style="3490"/>
  </cols>
  <sheetData>
    <row r="1" s="3485" customFormat="1" ht="16.5" spans="1:2">
      <c r="A1" s="3491" t="s">
        <v>0</v>
      </c>
      <c r="B1" s="3492" t="s">
        <v>1</v>
      </c>
    </row>
    <row r="2" s="3486" customFormat="1" ht="1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5" spans="1:2">
      <c r="A5" s="3497" t="s">
        <v>5</v>
      </c>
      <c r="B5" s="3498" t="str">
        <f>'预评函-封皮'!B49</f>
        <v>康正预评字号</v>
      </c>
    </row>
    <row r="6" s="3486" customFormat="1" ht="1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估价对象为北京市房地产，为所有。根据《国有土地使用证》[]，估价对象（分摊）出让国有建设用地使用权面积为0平方米，建筑面积为55180.06平方米。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估价对象为北京市房地产,属开发建设的居住项目，该项目尚在开发建设中。根据《国有土地使用证》[]，估价对象（分摊）出让国有建设用地使用权面积为0平方米，规划建筑面积为55180.06平方米。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2022年8月5日</v>
      </c>
    </row>
    <row r="13" s="3487" customFormat="1" spans="1:2">
      <c r="A13" s="3495" t="s">
        <v>13</v>
      </c>
      <c r="B13" s="3496" t="str">
        <f>'预评函-1'!A18</f>
        <v>本次估价的“房地产价值”是指在正常市场情况下，在价值时点2022年8月5日，估价对象规划用途为，土地取得方式为划拨，假定未设立法定优先受偿款下的房地产市场价值。</v>
      </c>
    </row>
    <row r="14" s="3487" customFormat="1" spans="1:2">
      <c r="A14" s="3495" t="s">
        <v>14</v>
      </c>
      <c r="B14" s="34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7" t="s">
        <v>18</v>
      </c>
      <c r="B18" s="3498" t="str">
        <f>'预评函-1'!A24</f>
        <v>本次评估采用的主估价方法为成本法和收益法。</v>
      </c>
    </row>
    <row r="19" s="3486" customFormat="1" ht="1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27167</v>
      </c>
    </row>
    <row r="21" s="3487" customFormat="1" spans="1:2">
      <c r="A21" s="3495" t="s">
        <v>21</v>
      </c>
      <c r="B21" s="3496">
        <f ca="1">'预评函-2'!D7</f>
        <v>4923</v>
      </c>
    </row>
    <row r="22" s="3487" customFormat="1" spans="1:2">
      <c r="A22" s="3495" t="s">
        <v>22</v>
      </c>
      <c r="B22" s="3496" t="str">
        <f ca="1">'预评函-2'!D6</f>
        <v>贰亿柒仟壹佰陆拾柒万元整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27167</v>
      </c>
    </row>
    <row r="31" s="3487" customFormat="1" spans="1:2">
      <c r="A31" s="3495" t="s">
        <v>31</v>
      </c>
      <c r="B31" s="3496">
        <f ca="1">'预评函-2'!D15</f>
        <v>4923</v>
      </c>
    </row>
    <row r="32" s="3487" customFormat="1" spans="1:2">
      <c r="A32" s="3495" t="s">
        <v>32</v>
      </c>
      <c r="B32" s="3496" t="str">
        <f ca="1">'预评函-2'!D14</f>
        <v>贰亿柒仟壹佰陆拾柒万元整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spans="1:2">
      <c r="A42" s="3495" t="s">
        <v>42</v>
      </c>
      <c r="B42" s="3496" t="str">
        <f>'预评函-3'!B2</f>
        <v>建筑面积</v>
      </c>
    </row>
    <row r="43" s="3487" customFormat="1" spans="1:2">
      <c r="A43" s="3495" t="s">
        <v>43</v>
      </c>
      <c r="B43" s="3496">
        <f>'预评函-3'!B4</f>
        <v>55180.06</v>
      </c>
    </row>
    <row r="44" s="3487" customFormat="1" spans="1:2">
      <c r="A44" s="3495" t="s">
        <v>44</v>
      </c>
      <c r="B44" s="3496" t="str">
        <f>'预评函-3'!C2</f>
        <v>(分摊)土地面积</v>
      </c>
    </row>
    <row r="45" s="3487" customFormat="1" spans="1:2">
      <c r="A45" s="3495" t="s">
        <v>45</v>
      </c>
      <c r="B45" s="3496">
        <f>'预评函-3'!C4</f>
        <v>0</v>
      </c>
    </row>
    <row r="46" s="3487" customFormat="1" spans="1:2">
      <c r="A46" s="3495" t="s">
        <v>46</v>
      </c>
      <c r="B46" s="3496" t="str">
        <f>'预评函-3'!D2</f>
        <v>出让国有建设用地使用权价值</v>
      </c>
    </row>
    <row r="47" s="3487" customFormat="1" spans="1:2">
      <c r="A47" s="3495" t="s">
        <v>47</v>
      </c>
      <c r="B47" s="3496">
        <f ca="1">'预评函-3'!D4</f>
        <v>18501</v>
      </c>
    </row>
    <row r="48" s="3487" customFormat="1" spans="1:2">
      <c r="A48" s="3495" t="s">
        <v>48</v>
      </c>
      <c r="B48" s="3496">
        <f ca="1">'预评函-3'!E4</f>
        <v>3353</v>
      </c>
    </row>
    <row r="49" s="3487" customFormat="1" spans="1:2">
      <c r="A49" s="3495" t="s">
        <v>49</v>
      </c>
      <c r="B49" s="3496" t="str">
        <f ca="1">'预评函-3'!D5</f>
        <v>壹亿捌仟伍佰零壹万元整</v>
      </c>
    </row>
    <row r="50" s="3487" customFormat="1" spans="1:2">
      <c r="A50" s="3495" t="s">
        <v>50</v>
      </c>
      <c r="B50" s="3496" t="str">
        <f>'预评函-3'!F2</f>
        <v>在建建筑物价值</v>
      </c>
    </row>
    <row r="51" s="3487" customFormat="1" spans="1:2">
      <c r="A51" s="3495" t="s">
        <v>51</v>
      </c>
      <c r="B51" s="3496">
        <f ca="1">'预评函-3'!F4</f>
        <v>8666</v>
      </c>
    </row>
    <row r="52" s="3487" customFormat="1" spans="1:2">
      <c r="A52" s="3495" t="s">
        <v>52</v>
      </c>
      <c r="B52" s="3496">
        <f ca="1">'预评函-3'!G4</f>
        <v>1570</v>
      </c>
    </row>
    <row r="53" s="3487" customFormat="1" spans="1:2">
      <c r="A53" s="3495" t="s">
        <v>53</v>
      </c>
      <c r="B53" s="3496" t="str">
        <f ca="1">'预评函-3'!F5</f>
        <v>捌仟陆佰陆拾陆万元整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5" spans="1:2">
      <c r="A57" s="3497" t="s">
        <v>57</v>
      </c>
      <c r="B57" s="3498" t="str">
        <f>'预评函-3'!A6</f>
        <v>估价师知悉的法定优先受偿款</v>
      </c>
    </row>
    <row r="58" s="3486" customFormat="1" ht="1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7" customFormat="1" spans="1:2">
      <c r="A67" s="3495" t="s">
        <v>67</v>
      </c>
      <c r="B67" s="34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7" customFormat="1" spans="1:2">
      <c r="A68" s="3495" t="s">
        <v>68</v>
      </c>
      <c r="B68" s="3496" t="str">
        <f>'预评函-4'!A22</f>
        <v>8.其他需特殊说明事项：无（注意调整序号）</v>
      </c>
    </row>
    <row r="69" s="3485" customFormat="1" ht="15" spans="1:2">
      <c r="A69" s="3497" t="s">
        <v>69</v>
      </c>
      <c r="B69" s="3499">
        <f>'预评函-4'!C31</f>
        <v>42551</v>
      </c>
    </row>
    <row r="70" ht="15" spans="1:2">
      <c r="A70" s="3500" t="s">
        <v>70</v>
      </c>
      <c r="B70" s="3501">
        <f>'预评函-4'!A4</f>
        <v>0</v>
      </c>
    </row>
    <row r="71" spans="1:2">
      <c r="A71" s="3495" t="s">
        <v>71</v>
      </c>
      <c r="B71" s="3496">
        <f ca="1">'预评函-4'!B4</f>
        <v>0</v>
      </c>
    </row>
    <row r="72" spans="1:2">
      <c r="A72" s="3495" t="s">
        <v>72</v>
      </c>
      <c r="B72" s="3502">
        <f>'预评函-4'!A5</f>
        <v>0</v>
      </c>
    </row>
    <row r="73" s="3485" customFormat="1" ht="15" spans="1:2">
      <c r="A73" s="3497" t="s">
        <v>73</v>
      </c>
      <c r="B73" s="3498">
        <f ca="1">'预评函-4'!B5</f>
        <v>0</v>
      </c>
    </row>
    <row r="74" ht="1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3333333333333" style="3329" customWidth="1"/>
    <col min="6" max="6" width="10.6333333333333" style="3329" customWidth="1"/>
    <col min="7" max="7" width="7.5" style="3329" customWidth="1"/>
    <col min="8" max="8" width="9" style="3328" customWidth="1"/>
    <col min="9" max="9" width="11.6333333333333" style="3328" customWidth="1"/>
    <col min="10" max="10" width="9" style="3328" customWidth="1"/>
    <col min="11" max="19" width="9" style="3329" customWidth="1"/>
    <col min="20" max="23" width="9" style="3328" customWidth="1"/>
    <col min="24" max="24" width="21.1333333333333" style="3327" customWidth="1"/>
    <col min="25" max="16384" width="9" style="3327"/>
  </cols>
  <sheetData>
    <row r="1" s="3325" customFormat="1" ht="27"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833333333333" style="2771" customWidth="1"/>
    <col min="2" max="2" width="10" style="2771" customWidth="1"/>
    <col min="3" max="3" width="11.5" style="2771" customWidth="1"/>
    <col min="4" max="4" width="10" style="2771" customWidth="1"/>
    <col min="5" max="5" width="12.6333333333333" style="2771" customWidth="1"/>
    <col min="6" max="6" width="10" style="2771" customWidth="1"/>
    <col min="7" max="7" width="10.75" style="2771" customWidth="1"/>
    <col min="8" max="8" width="10" style="2771" customWidth="1"/>
    <col min="9" max="9" width="11.1333333333333" style="3075" customWidth="1"/>
    <col min="10" max="10" width="10" style="2973" customWidth="1"/>
    <col min="11" max="11" width="10" style="3172" customWidth="1"/>
    <col min="12" max="13" width="10" style="3173" customWidth="1"/>
    <col min="14" max="14" width="10" style="2973" customWidth="1"/>
    <col min="15" max="15" width="10" style="240" customWidth="1"/>
    <col min="16" max="17" width="10" style="2973"/>
    <col min="18" max="18" width="10" style="2973" customWidth="1"/>
    <col min="19" max="30" width="10" style="2973"/>
    <col min="31" max="16384" width="10" style="2771"/>
  </cols>
  <sheetData>
    <row r="1" ht="13.5" spans="1:28">
      <c r="A1" s="3174" t="s">
        <v>330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293"/>
      <c r="J1" s="2721"/>
      <c r="K1" s="3294"/>
      <c r="L1" s="3295"/>
      <c r="M1" s="3295"/>
      <c r="N1" s="3220"/>
      <c r="O1" s="3083"/>
      <c r="P1" s="3220"/>
      <c r="Q1" s="3220"/>
      <c r="R1" s="3220"/>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7" t="s">
        <v>331</v>
      </c>
      <c r="B2" s="3178"/>
      <c r="C2" s="3179"/>
      <c r="D2" s="3180"/>
      <c r="E2" s="3181"/>
      <c r="F2" s="3181"/>
      <c r="G2" s="3182"/>
      <c r="H2" s="3182"/>
      <c r="I2" s="3182"/>
      <c r="J2" s="2721"/>
      <c r="K2" s="3294"/>
      <c r="L2" s="3295"/>
      <c r="M2" s="3295"/>
      <c r="N2" s="3220"/>
      <c r="O2" s="3083"/>
      <c r="P2" s="3220"/>
      <c r="Q2" s="3220"/>
      <c r="R2" s="3220"/>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3"/>
      <c r="C3" s="3184" t="s">
        <v>333</v>
      </c>
      <c r="D3" s="3183">
        <v>44778</v>
      </c>
      <c r="E3" s="3182"/>
      <c r="F3" s="3182"/>
      <c r="G3" s="3182"/>
      <c r="H3" s="3182"/>
      <c r="I3" s="3182"/>
      <c r="J3" s="2721"/>
      <c r="K3" s="3294"/>
      <c r="L3" s="3295"/>
      <c r="M3" s="3295"/>
      <c r="N3" s="3220"/>
      <c r="O3" s="3083"/>
      <c r="P3" s="3220"/>
      <c r="Q3" s="3220"/>
      <c r="R3" s="3220"/>
      <c r="S3" s="2772"/>
      <c r="T3" s="2771"/>
      <c r="U3" s="2771"/>
      <c r="V3" s="2771"/>
      <c r="W3" s="2771"/>
      <c r="X3" s="2771"/>
      <c r="Y3" s="2771"/>
      <c r="Z3" s="2771"/>
      <c r="AA3" s="2771"/>
      <c r="AB3" s="2771"/>
    </row>
    <row r="4" ht="13.5" spans="1:28">
      <c r="A4" s="1967" t="s">
        <v>334</v>
      </c>
      <c r="B4" s="3185"/>
      <c r="C4" s="3186">
        <f ca="1">SUMIF(注册房地产估价师,B4,估价师及机构信息!B3:B24)</f>
        <v>0</v>
      </c>
      <c r="D4" s="3185"/>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5"/>
      <c r="K4" s="3296" t="str">
        <f ca="1">CONCATENATE(B4,"（注册号：",C4,")、",D4,"（注册号：",E4,")")</f>
        <v>（注册号：0)、（注册号：0)</v>
      </c>
      <c r="L4" s="3295"/>
      <c r="M4" s="3295"/>
      <c r="N4" s="3220"/>
      <c r="O4" s="3083"/>
      <c r="P4" s="3220"/>
      <c r="Q4" s="3220"/>
      <c r="R4" s="3220"/>
      <c r="S4" s="2772"/>
      <c r="T4" s="2771"/>
      <c r="U4" s="2771"/>
      <c r="V4" s="2771"/>
      <c r="W4" s="2771"/>
      <c r="X4" s="2771"/>
      <c r="Y4" s="2771"/>
      <c r="Z4" s="2771"/>
      <c r="AA4" s="2771"/>
      <c r="AB4" s="2771"/>
    </row>
    <row r="5" ht="13.5" spans="1:28">
      <c r="A5" s="3188" t="s">
        <v>335</v>
      </c>
      <c r="B5" s="3189"/>
      <c r="C5" s="3190"/>
      <c r="D5" s="3191"/>
      <c r="E5" s="2877"/>
      <c r="F5" s="2877"/>
      <c r="G5" s="2877"/>
      <c r="H5" s="2877"/>
      <c r="I5" s="2877"/>
      <c r="J5" s="2755"/>
      <c r="K5" s="3296" t="str">
        <f ca="1">IF(F4="——","",IF(H4="——",F4&amp;"（注册号："&amp;G4&amp;")",CONCATENATE(F4,"（注册号：",G4,")、",H4,"（注册号：",I4,")")))</f>
        <v>（注册号：0)、（注册号：0)</v>
      </c>
      <c r="L5" s="3295"/>
      <c r="M5" s="3295"/>
      <c r="N5" s="3220"/>
      <c r="O5" s="3083"/>
      <c r="P5" s="3220"/>
      <c r="Q5" s="3220"/>
      <c r="R5" s="3220"/>
      <c r="S5" s="2771"/>
      <c r="T5" s="2771"/>
      <c r="U5" s="2771"/>
      <c r="V5" s="2771"/>
      <c r="W5" s="2771"/>
      <c r="X5" s="2771"/>
      <c r="Y5" s="2771"/>
      <c r="Z5" s="2771"/>
      <c r="AA5" s="2771"/>
      <c r="AB5" s="2771"/>
    </row>
    <row r="6" spans="1:18">
      <c r="A6" s="3192" t="s">
        <v>336</v>
      </c>
      <c r="B6" s="3193"/>
      <c r="C6" s="3194"/>
      <c r="D6" s="3195"/>
      <c r="E6" s="3181"/>
      <c r="F6" s="2877"/>
      <c r="G6" s="2877"/>
      <c r="H6" s="2877"/>
      <c r="I6" s="2877"/>
      <c r="J6" s="2755"/>
      <c r="K6" s="3297" t="str">
        <f>IF(COUNTIF(B6,"*上海银行*"),"上海银行","")</f>
        <v/>
      </c>
      <c r="L6" s="3298"/>
      <c r="M6" s="3298"/>
      <c r="N6" s="2755"/>
      <c r="O6" s="3299"/>
      <c r="P6" s="2755"/>
      <c r="Q6" s="2755"/>
      <c r="R6" s="2755"/>
    </row>
    <row r="7" spans="1:18">
      <c r="A7" s="3192" t="s">
        <v>337</v>
      </c>
      <c r="B7" s="3196"/>
      <c r="C7" s="3194"/>
      <c r="D7" s="3195"/>
      <c r="E7" s="3181"/>
      <c r="F7" s="2877"/>
      <c r="G7" s="2877"/>
      <c r="H7" s="2877"/>
      <c r="I7" s="2877"/>
      <c r="J7" s="2755"/>
      <c r="K7" s="3300"/>
      <c r="L7" s="3298"/>
      <c r="M7" s="3298"/>
      <c r="N7" s="2755"/>
      <c r="O7" s="3299"/>
      <c r="P7" s="2755"/>
      <c r="Q7" s="2755"/>
      <c r="R7" s="2755"/>
    </row>
    <row r="8" spans="1:18">
      <c r="A8" s="3197" t="s">
        <v>338</v>
      </c>
      <c r="B8" s="3198" t="s">
        <v>317</v>
      </c>
      <c r="C8" s="3199"/>
      <c r="D8" s="3200" t="s">
        <v>339</v>
      </c>
      <c r="E8" s="3201" t="s">
        <v>322</v>
      </c>
      <c r="F8" s="3202"/>
      <c r="G8" s="3182"/>
      <c r="H8" s="3182"/>
      <c r="I8" s="3182"/>
      <c r="J8" s="2755"/>
      <c r="K8" s="3301"/>
      <c r="L8" s="3298"/>
      <c r="M8" s="3298"/>
      <c r="N8" s="2755"/>
      <c r="O8" s="3299"/>
      <c r="P8" s="2755"/>
      <c r="Q8" s="2755"/>
      <c r="R8" s="2755"/>
    </row>
    <row r="9" ht="13.5" spans="1:18">
      <c r="A9" s="3203" t="s">
        <v>340</v>
      </c>
      <c r="B9" s="3204" t="s">
        <v>322</v>
      </c>
      <c r="C9" s="3205"/>
      <c r="D9" s="3206"/>
      <c r="E9" s="3204"/>
      <c r="F9" s="3207"/>
      <c r="G9" s="3208"/>
      <c r="H9" s="3208"/>
      <c r="I9" s="3208"/>
      <c r="J9" s="2755"/>
      <c r="K9" s="3300"/>
      <c r="L9" s="3298"/>
      <c r="M9" s="3298"/>
      <c r="N9" s="2755"/>
      <c r="O9" s="3299"/>
      <c r="P9" s="2755"/>
      <c r="Q9" s="2755"/>
      <c r="R9" s="2755"/>
    </row>
    <row r="10" ht="13.5" spans="1:18">
      <c r="A10" s="3209" t="s">
        <v>341</v>
      </c>
      <c r="B10" s="3210" t="s">
        <v>342</v>
      </c>
      <c r="C10" s="3211"/>
      <c r="D10" s="3191"/>
      <c r="E10" s="3212" t="s">
        <v>343</v>
      </c>
      <c r="F10" s="3213"/>
      <c r="G10" s="3214"/>
      <c r="H10" s="3215"/>
      <c r="I10" s="3302"/>
      <c r="J10" s="2755"/>
      <c r="K10" s="3300"/>
      <c r="L10" s="3298"/>
      <c r="M10" s="3298"/>
      <c r="N10" s="2755"/>
      <c r="O10" s="3299"/>
      <c r="P10" s="2755"/>
      <c r="Q10" s="2755"/>
      <c r="R10" s="2755"/>
    </row>
    <row r="11" spans="1:18">
      <c r="A11" s="3216" t="s">
        <v>344</v>
      </c>
      <c r="B11" s="3217" t="s">
        <v>345</v>
      </c>
      <c r="C11" s="3218"/>
      <c r="D11" s="3219"/>
      <c r="E11" s="3220"/>
      <c r="F11" s="3220"/>
      <c r="G11" s="3220"/>
      <c r="H11" s="3220"/>
      <c r="I11" s="3220"/>
      <c r="J11" s="2755"/>
      <c r="K11" s="3300"/>
      <c r="L11" s="3298"/>
      <c r="M11" s="3298"/>
      <c r="N11" s="2755"/>
      <c r="O11" s="3299"/>
      <c r="P11" s="2755"/>
      <c r="Q11" s="2755"/>
      <c r="R11" s="2755"/>
    </row>
    <row r="12" spans="1:18">
      <c r="A12" s="3221" t="s">
        <v>346</v>
      </c>
      <c r="B12" s="3217" t="s">
        <v>347</v>
      </c>
      <c r="C12" s="1986" t="s">
        <v>348</v>
      </c>
      <c r="D12" s="3222" t="s">
        <v>349</v>
      </c>
      <c r="E12" s="3222" t="s">
        <v>350</v>
      </c>
      <c r="F12" s="3222" t="s">
        <v>351</v>
      </c>
      <c r="G12" s="3222" t="s">
        <v>352</v>
      </c>
      <c r="H12" s="3222" t="s">
        <v>353</v>
      </c>
      <c r="I12" s="3222" t="s">
        <v>354</v>
      </c>
      <c r="J12" s="2755"/>
      <c r="K12" s="3300"/>
      <c r="L12" s="3298"/>
      <c r="M12" s="3298"/>
      <c r="N12" s="2755"/>
      <c r="O12" s="3299"/>
      <c r="P12" s="2755"/>
      <c r="Q12" s="2755"/>
      <c r="R12" s="2755"/>
    </row>
    <row r="13" spans="1:18">
      <c r="A13" s="1972"/>
      <c r="B13" s="3223"/>
      <c r="C13" s="3224" t="s">
        <v>355</v>
      </c>
      <c r="D13" s="3225"/>
      <c r="E13" s="3225"/>
      <c r="F13" s="3225"/>
      <c r="G13" s="3225"/>
      <c r="H13" s="3225"/>
      <c r="I13" s="3225"/>
      <c r="J13" s="2755"/>
      <c r="K13" s="3300"/>
      <c r="L13" s="3298"/>
      <c r="M13" s="3298"/>
      <c r="N13" s="2755"/>
      <c r="O13" s="3299"/>
      <c r="P13" s="2755"/>
      <c r="Q13" s="2755"/>
      <c r="R13" s="2755"/>
    </row>
    <row r="14" spans="1:18">
      <c r="A14" s="1972"/>
      <c r="B14" s="3223"/>
      <c r="C14" s="3224" t="s">
        <v>356</v>
      </c>
      <c r="D14" s="3226">
        <v>70</v>
      </c>
      <c r="E14" s="3226"/>
      <c r="F14" s="3226"/>
      <c r="G14" s="3226"/>
      <c r="H14" s="3226"/>
      <c r="I14" s="3226"/>
      <c r="J14" s="2755"/>
      <c r="K14" s="3303"/>
      <c r="L14" s="3298"/>
      <c r="M14" s="3298"/>
      <c r="N14" s="2755"/>
      <c r="O14" s="3299"/>
      <c r="P14" s="2755"/>
      <c r="Q14" s="2755"/>
      <c r="R14" s="2755"/>
    </row>
    <row r="15" spans="1:18">
      <c r="A15" s="1979"/>
      <c r="B15" s="3227"/>
      <c r="C15" s="3228" t="s">
        <v>357</v>
      </c>
      <c r="D15" s="3229">
        <f>IF(B12="出让",IF(D13="","",ROUNDDOWN(MIN((D13-$D$3)/365,D14),2)),D14)</f>
        <v>70</v>
      </c>
      <c r="E15" s="3229">
        <f>IF(B12="出让",IF(E13="","",ROUNDDOWN(MIN((E13-$D$3)/365,E14),2)),E14)</f>
        <v>0</v>
      </c>
      <c r="F15" s="3229">
        <f>IF(B12="出让",IF(F13="","",ROUNDDOWN(MIN((F13-$D$3)/365,F14),2)),F14)</f>
        <v>0</v>
      </c>
      <c r="G15" s="3229">
        <f>IF(B12="出让",IF(G13="","",ROUNDDOWN(MIN((G13-$D$3)/365,G14),2)),G14)</f>
        <v>0</v>
      </c>
      <c r="H15" s="3229">
        <f>IF(B12="出让",IF(H13="","",ROUNDDOWN(MIN((H13-$D$3)/365,H14),2)),H14)</f>
        <v>0</v>
      </c>
      <c r="I15" s="3229">
        <f>IF(B12="出让",IF(I13="","",ROUNDDOWN(MIN((I13-$D$3)/365,I14),2)),I14)</f>
        <v>0</v>
      </c>
      <c r="J15" s="2755"/>
      <c r="K15" s="3304"/>
      <c r="L15" s="3305"/>
      <c r="M15" s="3305"/>
      <c r="N15" s="2756"/>
      <c r="O15" s="3305"/>
      <c r="P15" s="2756"/>
      <c r="Q15" s="2755"/>
      <c r="R15" s="2755"/>
    </row>
    <row r="16" spans="1:18">
      <c r="A16" s="3212" t="s">
        <v>358</v>
      </c>
      <c r="B16" s="3230"/>
      <c r="C16" s="3231"/>
      <c r="D16" s="3232"/>
      <c r="E16" s="3233" t="s">
        <v>359</v>
      </c>
      <c r="F16" s="3234"/>
      <c r="G16" s="3235"/>
      <c r="H16" s="3235"/>
      <c r="I16" s="3306"/>
      <c r="J16" s="2755"/>
      <c r="K16" s="3304"/>
      <c r="L16" s="3305"/>
      <c r="M16" s="3305"/>
      <c r="N16" s="2756"/>
      <c r="O16" s="3305"/>
      <c r="P16" s="2756"/>
      <c r="Q16" s="2755"/>
      <c r="R16" s="2755"/>
    </row>
    <row r="17" spans="1:22">
      <c r="A17" s="1956" t="s">
        <v>360</v>
      </c>
      <c r="B17" s="1943" t="s">
        <v>361</v>
      </c>
      <c r="C17" s="304">
        <f>'数据-汇总表'!E3</f>
        <v>55180.06</v>
      </c>
      <c r="D17" s="1999" t="s">
        <v>362</v>
      </c>
      <c r="E17" s="3236" t="s">
        <v>363</v>
      </c>
      <c r="F17" s="3237"/>
      <c r="G17" s="3237"/>
      <c r="H17" s="3237"/>
      <c r="I17" s="3307"/>
      <c r="J17" s="2755"/>
      <c r="K17" s="3308"/>
      <c r="L17" s="3305"/>
      <c r="M17" s="3305"/>
      <c r="N17" s="2756"/>
      <c r="O17" s="3305"/>
      <c r="P17" s="2756"/>
      <c r="Q17" s="2755"/>
      <c r="R17" s="2755"/>
      <c r="S17" s="2755"/>
      <c r="T17" s="2755"/>
      <c r="U17" s="2755"/>
      <c r="V17" s="2755"/>
    </row>
    <row r="18" ht="24.75" spans="1:22">
      <c r="A18" s="3238" t="s">
        <v>364</v>
      </c>
      <c r="B18" s="1967" t="s">
        <v>365</v>
      </c>
      <c r="C18" s="3239">
        <f>'数据-汇总表'!D3</f>
        <v>0</v>
      </c>
      <c r="D18" s="1992" t="s">
        <v>362</v>
      </c>
      <c r="E18" s="3240" t="s">
        <v>366</v>
      </c>
      <c r="F18" s="3241"/>
      <c r="G18" s="3241"/>
      <c r="H18" s="3241"/>
      <c r="I18" s="3309"/>
      <c r="J18" s="2755"/>
      <c r="K18" s="3308"/>
      <c r="L18" s="3305"/>
      <c r="M18" s="3305"/>
      <c r="N18" s="2756"/>
      <c r="O18" s="3305"/>
      <c r="P18" s="2756"/>
      <c r="Q18" s="2755"/>
      <c r="R18" s="2755"/>
      <c r="S18" s="2755"/>
      <c r="T18" s="2755"/>
      <c r="U18" s="2755"/>
      <c r="V18" s="2755"/>
    </row>
    <row r="19" ht="37.5" spans="1:22">
      <c r="A19" s="2009" t="s">
        <v>367</v>
      </c>
      <c r="B19" s="1948" t="s">
        <v>368</v>
      </c>
      <c r="C19" s="3242"/>
      <c r="D19" s="3243" t="s">
        <v>369</v>
      </c>
      <c r="E19" s="3244"/>
      <c r="F19" s="3245" t="str">
        <f>IF(AND(C19="是",E19="否"),"是否提供他项权证或相关说明","")</f>
        <v/>
      </c>
      <c r="G19" s="3246"/>
      <c r="H19" s="2877"/>
      <c r="I19" s="2877"/>
      <c r="J19" s="2755"/>
      <c r="K19" s="3300"/>
      <c r="L19" s="3298"/>
      <c r="M19" s="3298"/>
      <c r="N19" s="2756"/>
      <c r="O19" s="3305"/>
      <c r="P19" s="2756"/>
      <c r="Q19" s="2755"/>
      <c r="R19" s="2755"/>
      <c r="S19" s="2755"/>
      <c r="T19" s="2755"/>
      <c r="U19" s="2755"/>
      <c r="V19" s="2755"/>
    </row>
    <row r="20" spans="1:28">
      <c r="A20" s="3247" t="s">
        <v>370</v>
      </c>
      <c r="B20" s="3248" t="s">
        <v>371</v>
      </c>
      <c r="C20" s="3249"/>
      <c r="D20" s="3250" t="s">
        <v>372</v>
      </c>
      <c r="E20" s="3251"/>
      <c r="F20" s="3252" t="s">
        <v>373</v>
      </c>
      <c r="G20" s="2877"/>
      <c r="H20" s="2877"/>
      <c r="I20" s="2877"/>
      <c r="J20" s="2755"/>
      <c r="K20" s="3094"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20"/>
      <c r="R20" s="3220"/>
      <c r="S20" s="3220"/>
      <c r="T20" s="3220"/>
      <c r="U20" s="3220"/>
      <c r="V20" s="3220"/>
      <c r="W20" s="2771"/>
      <c r="X20" s="2771"/>
      <c r="Y20" s="2771"/>
      <c r="Z20" s="2771"/>
      <c r="AA20" s="2771"/>
      <c r="AB20" s="2771"/>
    </row>
    <row r="21" ht="24.75" spans="1:28">
      <c r="A21" s="3247"/>
      <c r="B21" s="3253" t="s">
        <v>375</v>
      </c>
      <c r="C21" s="3254" t="s">
        <v>376</v>
      </c>
      <c r="D21" s="3255" t="s">
        <v>377</v>
      </c>
      <c r="E21" s="3256" t="s">
        <v>376</v>
      </c>
      <c r="F21" s="3257"/>
      <c r="G21" s="2877"/>
      <c r="H21" s="2877"/>
      <c r="I21" s="2877"/>
      <c r="J21" s="2755"/>
      <c r="K21" s="3094"/>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20"/>
      <c r="R21" s="3220"/>
      <c r="S21" s="3220"/>
      <c r="T21" s="3220"/>
      <c r="U21" s="3220"/>
      <c r="V21" s="3220"/>
      <c r="W21" s="2771"/>
      <c r="X21" s="2771"/>
      <c r="Y21" s="2771"/>
      <c r="Z21" s="2771"/>
      <c r="AA21" s="2771"/>
      <c r="AB21" s="2771"/>
    </row>
    <row r="22" ht="24.75" spans="1:28">
      <c r="A22" s="3247"/>
      <c r="B22" s="3258" t="s">
        <v>378</v>
      </c>
      <c r="C22" s="3254" t="s">
        <v>379</v>
      </c>
      <c r="D22" s="3182"/>
      <c r="E22" s="3182"/>
      <c r="F22" s="3182"/>
      <c r="G22" s="2877"/>
      <c r="H22" s="2877"/>
      <c r="I22" s="2877"/>
      <c r="J22" s="2755"/>
      <c r="K22" s="3094"/>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20"/>
      <c r="R22" s="3220"/>
      <c r="S22" s="3220"/>
      <c r="T22" s="3220"/>
      <c r="U22" s="3220"/>
      <c r="V22" s="3220"/>
      <c r="W22" s="2771"/>
      <c r="X22" s="2771"/>
      <c r="Y22" s="2771"/>
      <c r="Z22" s="2771"/>
      <c r="AA22" s="2771"/>
      <c r="AB22" s="2771"/>
    </row>
    <row r="23" spans="1:22">
      <c r="A23" s="3259" t="s">
        <v>380</v>
      </c>
      <c r="B23" s="2746" t="s">
        <v>381</v>
      </c>
      <c r="C23" s="3260"/>
      <c r="D23" s="3261" t="s">
        <v>381</v>
      </c>
      <c r="E23" s="3262"/>
      <c r="F23" s="3182"/>
      <c r="G23" s="2877"/>
      <c r="H23" s="2877"/>
      <c r="I23" s="2877"/>
      <c r="J23" s="2755"/>
      <c r="K23" s="3312"/>
      <c r="L23" s="2107"/>
      <c r="M23" s="3298"/>
      <c r="N23" s="2756"/>
      <c r="O23" s="3305"/>
      <c r="P23" s="2756"/>
      <c r="Q23" s="2755"/>
      <c r="R23" s="2755"/>
      <c r="S23" s="2755"/>
      <c r="T23" s="2755"/>
      <c r="U23" s="2755"/>
      <c r="V23" s="2755"/>
    </row>
    <row r="24" spans="1:22">
      <c r="A24" s="3259"/>
      <c r="B24" s="2746" t="s">
        <v>382</v>
      </c>
      <c r="C24" s="3263"/>
      <c r="D24" s="3259" t="s">
        <v>382</v>
      </c>
      <c r="E24" s="3264"/>
      <c r="F24" s="3182"/>
      <c r="G24" s="2877"/>
      <c r="H24" s="2877"/>
      <c r="I24" s="2877"/>
      <c r="J24" s="2755"/>
      <c r="K24" s="3312"/>
      <c r="L24" s="2107"/>
      <c r="M24" s="3298"/>
      <c r="N24" s="2756"/>
      <c r="O24" s="3305"/>
      <c r="P24" s="2756"/>
      <c r="Q24" s="2755"/>
      <c r="R24" s="2755"/>
      <c r="S24" s="2755"/>
      <c r="T24" s="2755"/>
      <c r="U24" s="2755"/>
      <c r="V24" s="2755"/>
    </row>
    <row r="25" spans="1:22">
      <c r="A25" s="3259"/>
      <c r="B25" s="2746" t="s">
        <v>383</v>
      </c>
      <c r="C25" s="3263"/>
      <c r="D25" s="3259" t="s">
        <v>383</v>
      </c>
      <c r="E25" s="3264"/>
      <c r="F25" s="3182"/>
      <c r="G25" s="2877"/>
      <c r="H25" s="2877"/>
      <c r="I25" s="2877"/>
      <c r="J25" s="2755"/>
      <c r="K25" s="3300"/>
      <c r="L25" s="3298"/>
      <c r="M25" s="3298"/>
      <c r="N25" s="2756"/>
      <c r="O25" s="3305"/>
      <c r="P25" s="2756"/>
      <c r="Q25" s="2755"/>
      <c r="R25" s="2755"/>
      <c r="S25" s="2755"/>
      <c r="T25" s="2755"/>
      <c r="U25" s="2755"/>
      <c r="V25" s="2755"/>
    </row>
    <row r="26" ht="13.5" spans="1:22">
      <c r="A26" s="3265"/>
      <c r="B26" s="3266" t="s">
        <v>384</v>
      </c>
      <c r="C26" s="3267"/>
      <c r="D26" s="3265" t="s">
        <v>384</v>
      </c>
      <c r="E26" s="3268"/>
      <c r="F26" s="3208"/>
      <c r="G26" s="3208"/>
      <c r="H26" s="3208"/>
      <c r="I26" s="3208"/>
      <c r="J26" s="2755"/>
      <c r="K26" s="3300"/>
      <c r="L26" s="3298"/>
      <c r="M26" s="3298"/>
      <c r="N26" s="2756"/>
      <c r="O26" s="3305"/>
      <c r="P26" s="2756"/>
      <c r="Q26" s="2755"/>
      <c r="R26" s="2755"/>
      <c r="S26" s="2755"/>
      <c r="T26" s="2755"/>
      <c r="U26" s="2755"/>
      <c r="V26" s="2755"/>
    </row>
    <row r="27" ht="13.5" spans="1:22">
      <c r="A27" s="1972" t="s">
        <v>385</v>
      </c>
      <c r="B27" s="1979" t="s">
        <v>386</v>
      </c>
      <c r="C27" s="3269" t="s">
        <v>387</v>
      </c>
      <c r="D27" s="3270"/>
      <c r="E27" s="2877"/>
      <c r="F27" s="2877"/>
      <c r="G27" s="2877"/>
      <c r="H27" s="2877"/>
      <c r="I27" s="2877"/>
      <c r="J27" s="2755"/>
      <c r="K27" s="3304"/>
      <c r="L27" s="3305"/>
      <c r="M27" s="3305"/>
      <c r="N27" s="2756"/>
      <c r="O27" s="3305"/>
      <c r="P27" s="2756"/>
      <c r="Q27" s="2755"/>
      <c r="R27" s="2755"/>
      <c r="S27" s="2755"/>
      <c r="T27" s="2755"/>
      <c r="U27" s="2755"/>
      <c r="V27" s="2755"/>
    </row>
    <row r="28" spans="1:22">
      <c r="A28" s="1972"/>
      <c r="B28" s="1943" t="s">
        <v>388</v>
      </c>
      <c r="C28" s="3271"/>
      <c r="D28" s="3272"/>
      <c r="E28" s="2877"/>
      <c r="F28" s="2877"/>
      <c r="G28" s="2877"/>
      <c r="H28" s="2877"/>
      <c r="I28" s="2877"/>
      <c r="J28" s="2755"/>
      <c r="K28" s="3300"/>
      <c r="L28" s="3298"/>
      <c r="M28" s="3298"/>
      <c r="N28" s="2755"/>
      <c r="O28" s="3299"/>
      <c r="P28" s="2755"/>
      <c r="Q28" s="2755"/>
      <c r="R28" s="2755"/>
      <c r="S28" s="2755"/>
      <c r="T28" s="2755"/>
      <c r="U28" s="2755"/>
      <c r="V28" s="2755"/>
    </row>
    <row r="29" spans="1:22">
      <c r="A29" s="1972"/>
      <c r="B29" s="1943" t="s">
        <v>389</v>
      </c>
      <c r="C29" s="3273" t="s">
        <v>390</v>
      </c>
      <c r="D29" s="3274"/>
      <c r="E29" s="2877"/>
      <c r="F29" s="2877"/>
      <c r="G29" s="2877"/>
      <c r="H29" s="2877"/>
      <c r="I29" s="2877"/>
      <c r="J29" s="2755"/>
      <c r="K29" s="3300"/>
      <c r="L29" s="3298"/>
      <c r="M29" s="3298"/>
      <c r="N29" s="2755"/>
      <c r="O29" s="3299"/>
      <c r="P29" s="2755"/>
      <c r="Q29" s="2755"/>
      <c r="R29" s="2755"/>
      <c r="S29" s="2755"/>
      <c r="T29" s="2755"/>
      <c r="U29" s="2755"/>
      <c r="V29" s="2755"/>
    </row>
    <row r="30" spans="1:22">
      <c r="A30" s="1979"/>
      <c r="B30" s="1943" t="s">
        <v>391</v>
      </c>
      <c r="C30" s="3275"/>
      <c r="D30" s="3276"/>
      <c r="E30" s="2877"/>
      <c r="F30" s="2877"/>
      <c r="G30" s="2877"/>
      <c r="H30" s="2877"/>
      <c r="I30" s="2877"/>
      <c r="J30" s="2755"/>
      <c r="K30" s="3300"/>
      <c r="L30" s="3298"/>
      <c r="M30" s="3298"/>
      <c r="N30" s="2755"/>
      <c r="O30" s="3299"/>
      <c r="P30" s="2755"/>
      <c r="Q30" s="2755"/>
      <c r="R30" s="2755"/>
      <c r="S30" s="2755"/>
      <c r="T30" s="2755"/>
      <c r="U30" s="2755"/>
      <c r="V30" s="2755"/>
    </row>
    <row r="31" spans="1:22">
      <c r="A31" s="3277" t="s">
        <v>392</v>
      </c>
      <c r="B31" s="3278"/>
      <c r="C31" s="2098" t="str">
        <f>IF(B31="现房","成新及维护状况正常否",IF(B31="在建","工程状态是否正常",IF(B31="土地","是否闲置","-")))</f>
        <v>-</v>
      </c>
      <c r="D31" s="2202"/>
      <c r="E31" s="3279"/>
      <c r="F31" s="2877"/>
      <c r="G31" s="2877"/>
      <c r="H31" s="2877"/>
      <c r="I31" s="2877"/>
      <c r="J31" s="2755"/>
      <c r="K31" s="3297"/>
      <c r="L31" s="3298"/>
      <c r="M31" s="3298"/>
      <c r="N31" s="2755"/>
      <c r="O31" s="3299"/>
      <c r="P31" s="2755"/>
      <c r="Q31" s="2755"/>
      <c r="R31" s="2755"/>
      <c r="S31" s="2755"/>
      <c r="T31" s="2755"/>
      <c r="U31" s="2755"/>
      <c r="V31" s="2755"/>
    </row>
    <row r="32" spans="1:22">
      <c r="A32" s="2454"/>
      <c r="B32" s="3278"/>
      <c r="C32" s="2098" t="str">
        <f>IF(B32="现房","成新及维护状况是否正常",IF(B32="在建","工程状态是否正常",IF(B32="土地","是否闲置","-")))</f>
        <v>-</v>
      </c>
      <c r="D32" s="2202"/>
      <c r="E32" s="3279"/>
      <c r="F32" s="2877"/>
      <c r="G32" s="2877"/>
      <c r="H32" s="2877"/>
      <c r="I32" s="2877"/>
      <c r="J32" s="2755"/>
      <c r="K32" s="3300"/>
      <c r="L32" s="3298"/>
      <c r="M32" s="3298"/>
      <c r="N32" s="2755"/>
      <c r="O32" s="3299"/>
      <c r="P32" s="2755"/>
      <c r="Q32" s="2755"/>
      <c r="R32" s="2755"/>
      <c r="S32" s="2755"/>
      <c r="T32" s="2755"/>
      <c r="U32" s="2755"/>
      <c r="V32" s="2755"/>
    </row>
    <row r="33" spans="1:22">
      <c r="A33" s="2454"/>
      <c r="B33" s="3280"/>
      <c r="C33" s="2453" t="str">
        <f>IF(B33="现房","成新及维护状况是否正常",IF(B33="在建","工程状态是否正常",IF(B33="土地","是否闲置","-")))</f>
        <v>-</v>
      </c>
      <c r="D33" s="1954"/>
      <c r="E33" s="3281"/>
      <c r="F33" s="2877"/>
      <c r="G33" s="2877"/>
      <c r="H33" s="2877"/>
      <c r="I33" s="2877"/>
      <c r="J33" s="2755"/>
      <c r="K33" s="3300"/>
      <c r="L33" s="3298"/>
      <c r="M33" s="3298"/>
      <c r="N33" s="2755"/>
      <c r="O33" s="3299"/>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2" t="str">
        <f>NUMBERSTRING(7-K34,1)&amp;"通"</f>
        <v>七通</v>
      </c>
      <c r="U34" s="2755"/>
      <c r="V34" s="2755"/>
    </row>
    <row r="35" spans="1:22">
      <c r="A35" s="3282"/>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3"/>
      <c r="B36" s="363" t="s">
        <v>350</v>
      </c>
      <c r="C36" s="363" t="s">
        <v>351</v>
      </c>
      <c r="D36" s="363" t="s">
        <v>349</v>
      </c>
      <c r="E36" s="363" t="s">
        <v>354</v>
      </c>
      <c r="F36" s="3284"/>
      <c r="G36" s="2877"/>
      <c r="H36" s="2877"/>
      <c r="I36" s="2877"/>
      <c r="J36" s="2755"/>
      <c r="K36" s="3300"/>
      <c r="L36" s="3298"/>
      <c r="M36" s="3298"/>
      <c r="N36" s="2755"/>
      <c r="O36" s="3299"/>
      <c r="P36" s="2755"/>
      <c r="Q36" s="2755"/>
      <c r="R36" s="2755"/>
      <c r="S36" s="2755"/>
      <c r="T36" s="2755"/>
      <c r="U36" s="2755"/>
      <c r="V36" s="2755"/>
    </row>
    <row r="37" spans="1:22">
      <c r="A37" s="3285" t="s">
        <v>403</v>
      </c>
      <c r="B37" s="3286"/>
      <c r="C37" s="3286"/>
      <c r="D37" s="3286" t="s">
        <v>278</v>
      </c>
      <c r="E37" s="3286"/>
      <c r="F37" s="3284"/>
      <c r="G37" s="2877"/>
      <c r="H37" s="2877"/>
      <c r="I37" s="2877"/>
      <c r="J37" s="2755"/>
      <c r="K37" s="3300"/>
      <c r="L37" s="3298"/>
      <c r="M37" s="3298"/>
      <c r="N37" s="2755"/>
      <c r="O37" s="3299"/>
      <c r="P37" s="2755"/>
      <c r="Q37" s="2755"/>
      <c r="R37" s="2755"/>
      <c r="S37" s="2755"/>
      <c r="T37" s="2755"/>
      <c r="U37" s="2755"/>
      <c r="V37" s="2755"/>
    </row>
    <row r="38" ht="13.5" spans="1:22">
      <c r="A38" s="3287" t="s">
        <v>404</v>
      </c>
      <c r="B38" s="3288"/>
      <c r="C38" s="3288"/>
      <c r="D38" s="3288" t="s">
        <v>405</v>
      </c>
      <c r="E38" s="3288"/>
      <c r="F38" s="3289"/>
      <c r="G38" s="3208"/>
      <c r="H38" s="3208"/>
      <c r="I38" s="3208"/>
      <c r="J38" s="2755"/>
      <c r="K38" s="3300"/>
      <c r="L38" s="3298"/>
      <c r="M38" s="3298"/>
      <c r="N38" s="2755"/>
      <c r="O38" s="3299"/>
      <c r="P38" s="2755"/>
      <c r="Q38" s="2755"/>
      <c r="R38" s="2755"/>
      <c r="S38" s="2755"/>
      <c r="T38" s="2755"/>
      <c r="U38" s="2755"/>
      <c r="V38" s="2755"/>
    </row>
    <row r="39" s="3171" customFormat="1" ht="14.25" spans="1:30">
      <c r="A39" s="3290" t="s">
        <v>406</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20"/>
      <c r="B40" s="3220"/>
      <c r="C40" s="3220"/>
      <c r="D40" s="3220"/>
      <c r="E40" s="3220"/>
      <c r="F40" s="3220"/>
      <c r="G40" s="3220"/>
      <c r="H40" s="3220"/>
      <c r="I40" s="2479"/>
      <c r="J40" s="2756"/>
      <c r="K40" s="3297"/>
      <c r="L40" s="3305"/>
      <c r="M40" s="3305"/>
      <c r="N40" s="2756"/>
      <c r="O40" s="3305"/>
      <c r="P40" s="2755"/>
      <c r="Q40" s="2755"/>
      <c r="R40" s="2755"/>
      <c r="S40" s="2755"/>
      <c r="T40" s="2755"/>
      <c r="U40" s="2755"/>
      <c r="V40" s="2755"/>
    </row>
    <row r="41" spans="1:22">
      <c r="A41" s="3292" t="s">
        <v>407</v>
      </c>
      <c r="B41" s="2344"/>
      <c r="C41" s="2202"/>
      <c r="D41" s="3220"/>
      <c r="E41" s="3220"/>
      <c r="F41" s="3220"/>
      <c r="G41" s="3220"/>
      <c r="H41" s="3220"/>
      <c r="I41" s="3083"/>
      <c r="J41" s="2755"/>
      <c r="K41" s="3300"/>
      <c r="L41" s="3298"/>
      <c r="M41" s="3298"/>
      <c r="N41" s="2755"/>
      <c r="O41" s="3299"/>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6" t="s">
        <v>417</v>
      </c>
      <c r="K42" s="3317" t="s">
        <v>418</v>
      </c>
      <c r="L42" s="3317" t="s">
        <v>419</v>
      </c>
      <c r="M42" s="3317" t="s">
        <v>420</v>
      </c>
      <c r="N42" s="3318" t="s">
        <v>421</v>
      </c>
      <c r="O42" s="3318" t="s">
        <v>422</v>
      </c>
      <c r="P42" s="3318" t="s">
        <v>423</v>
      </c>
      <c r="Q42" s="3324" t="s">
        <v>424</v>
      </c>
      <c r="R42" s="3324" t="s">
        <v>425</v>
      </c>
      <c r="S42" s="2755"/>
      <c r="T42" s="2755"/>
      <c r="U42" s="2755"/>
      <c r="V42" s="2755"/>
    </row>
    <row r="43" s="2973" customFormat="1" spans="1:22">
      <c r="A43" s="3108"/>
      <c r="B43" s="3104"/>
      <c r="C43" s="3104"/>
      <c r="D43" s="3104"/>
      <c r="E43" s="3104"/>
      <c r="F43" s="3104"/>
      <c r="G43" s="3104"/>
      <c r="H43" s="3104"/>
      <c r="I43" s="3104"/>
      <c r="J43" s="3319"/>
      <c r="K43" s="3320"/>
      <c r="L43" s="3320"/>
      <c r="M43" s="3104"/>
      <c r="N43" s="3104"/>
      <c r="O43" s="3104"/>
      <c r="P43" s="3104"/>
      <c r="Q43" s="3104"/>
      <c r="R43" s="3104"/>
      <c r="S43" s="2755"/>
      <c r="T43" s="2755"/>
      <c r="U43" s="2755"/>
      <c r="V43" s="2755"/>
    </row>
    <row r="44" s="2973" customFormat="1" spans="1:22">
      <c r="A44" s="3108"/>
      <c r="B44" s="3108"/>
      <c r="C44" s="3104"/>
      <c r="D44" s="3104"/>
      <c r="E44" s="3104"/>
      <c r="F44" s="3104"/>
      <c r="G44" s="3104"/>
      <c r="H44" s="3104"/>
      <c r="I44" s="3104"/>
      <c r="J44" s="3319"/>
      <c r="K44" s="3320"/>
      <c r="L44" s="3320"/>
      <c r="M44" s="3104"/>
      <c r="N44" s="3104"/>
      <c r="O44" s="3104"/>
      <c r="P44" s="3104"/>
      <c r="Q44" s="3104"/>
      <c r="R44" s="3104"/>
      <c r="S44" s="2755"/>
      <c r="T44" s="2755"/>
      <c r="U44" s="2755"/>
      <c r="V44" s="2755"/>
    </row>
    <row r="45" s="2973" customFormat="1" spans="1:22">
      <c r="A45" s="3108"/>
      <c r="B45" s="3108"/>
      <c r="C45" s="3104"/>
      <c r="D45" s="3104"/>
      <c r="E45" s="3104"/>
      <c r="F45" s="3104"/>
      <c r="G45" s="3104"/>
      <c r="H45" s="3104"/>
      <c r="I45" s="3104"/>
      <c r="J45" s="3319"/>
      <c r="K45" s="3320"/>
      <c r="L45" s="3320"/>
      <c r="M45" s="3104"/>
      <c r="N45" s="3104"/>
      <c r="O45" s="3104"/>
      <c r="P45" s="3104"/>
      <c r="Q45" s="3104"/>
      <c r="R45" s="3104"/>
      <c r="S45" s="2755"/>
      <c r="T45" s="2755"/>
      <c r="U45" s="2755"/>
      <c r="V45" s="2755"/>
    </row>
    <row r="46" s="2973" customFormat="1" spans="1:22">
      <c r="A46" s="3108"/>
      <c r="B46" s="3108"/>
      <c r="C46" s="3104"/>
      <c r="D46" s="3104"/>
      <c r="E46" s="3104"/>
      <c r="F46" s="3104"/>
      <c r="G46" s="3104"/>
      <c r="H46" s="3104"/>
      <c r="I46" s="3104"/>
      <c r="J46" s="3319"/>
      <c r="K46" s="3320"/>
      <c r="L46" s="3320"/>
      <c r="M46" s="3104"/>
      <c r="N46" s="3104"/>
      <c r="O46" s="3104"/>
      <c r="P46" s="3104"/>
      <c r="Q46" s="3104"/>
      <c r="R46" s="3104"/>
      <c r="S46" s="2755"/>
      <c r="T46" s="2755"/>
      <c r="U46" s="2755"/>
      <c r="V46" s="2755"/>
    </row>
    <row r="47" s="2973" customFormat="1" spans="1:22">
      <c r="A47" s="3108"/>
      <c r="B47" s="3108"/>
      <c r="C47" s="3104"/>
      <c r="D47" s="3104"/>
      <c r="E47" s="3104"/>
      <c r="F47" s="3104"/>
      <c r="G47" s="3104"/>
      <c r="H47" s="3104"/>
      <c r="I47" s="3104"/>
      <c r="J47" s="3319"/>
      <c r="K47" s="3320"/>
      <c r="L47" s="3320"/>
      <c r="M47" s="3104"/>
      <c r="N47" s="3104"/>
      <c r="O47" s="3104"/>
      <c r="P47" s="3104"/>
      <c r="Q47" s="3104"/>
      <c r="R47" s="3104"/>
      <c r="S47" s="2755"/>
      <c r="T47" s="2755"/>
      <c r="U47" s="2755"/>
      <c r="V47" s="2755"/>
    </row>
    <row r="48" s="2973" customFormat="1" spans="1:22">
      <c r="A48" s="3108"/>
      <c r="B48" s="3108"/>
      <c r="C48" s="3104"/>
      <c r="D48" s="3104"/>
      <c r="E48" s="3104"/>
      <c r="F48" s="3104"/>
      <c r="G48" s="3104"/>
      <c r="H48" s="3104"/>
      <c r="I48" s="3104"/>
      <c r="J48" s="3319"/>
      <c r="K48" s="3320"/>
      <c r="L48" s="3320"/>
      <c r="M48" s="3104"/>
      <c r="N48" s="3104"/>
      <c r="O48" s="3104"/>
      <c r="P48" s="3104"/>
      <c r="Q48" s="3104"/>
      <c r="R48" s="3104"/>
      <c r="S48" s="2755"/>
      <c r="T48" s="2755"/>
      <c r="U48" s="2755"/>
      <c r="V48" s="2755"/>
    </row>
    <row r="49" s="2973" customFormat="1" spans="1:22">
      <c r="A49" s="3108"/>
      <c r="B49" s="3108"/>
      <c r="C49" s="3104"/>
      <c r="D49" s="3104"/>
      <c r="E49" s="3104"/>
      <c r="F49" s="3104"/>
      <c r="G49" s="3104"/>
      <c r="H49" s="3104"/>
      <c r="I49" s="3104"/>
      <c r="J49" s="3319"/>
      <c r="K49" s="3320"/>
      <c r="L49" s="3320"/>
      <c r="M49" s="3104"/>
      <c r="N49" s="3104"/>
      <c r="O49" s="3104"/>
      <c r="P49" s="3104"/>
      <c r="Q49" s="3104"/>
      <c r="R49" s="3104"/>
      <c r="S49" s="2755"/>
      <c r="T49" s="2755"/>
      <c r="U49" s="2755"/>
      <c r="V49" s="2755"/>
    </row>
    <row r="50" s="2973" customFormat="1" spans="1:22">
      <c r="A50" s="3108"/>
      <c r="B50" s="3108"/>
      <c r="C50" s="3104"/>
      <c r="D50" s="3104"/>
      <c r="E50" s="3104"/>
      <c r="F50" s="3104"/>
      <c r="G50" s="3104"/>
      <c r="H50" s="3104"/>
      <c r="I50" s="3104"/>
      <c r="J50" s="3319"/>
      <c r="K50" s="3320"/>
      <c r="L50" s="3320"/>
      <c r="M50" s="3104"/>
      <c r="N50" s="3104"/>
      <c r="O50" s="3104"/>
      <c r="P50" s="3104"/>
      <c r="Q50" s="3104"/>
      <c r="R50" s="3104"/>
      <c r="S50" s="2755"/>
      <c r="T50" s="2755"/>
      <c r="U50" s="2755"/>
      <c r="V50" s="2755"/>
    </row>
    <row r="51" s="2973" customFormat="1" spans="1:18">
      <c r="A51" s="3108"/>
      <c r="B51" s="3108"/>
      <c r="C51" s="3104"/>
      <c r="D51" s="3104"/>
      <c r="E51" s="3104"/>
      <c r="F51" s="3104"/>
      <c r="G51" s="3104"/>
      <c r="H51" s="3104"/>
      <c r="I51" s="3104"/>
      <c r="J51" s="3319"/>
      <c r="K51" s="3320"/>
      <c r="L51" s="3320"/>
      <c r="M51" s="3104"/>
      <c r="N51" s="3104"/>
      <c r="O51" s="3104"/>
      <c r="P51" s="3104"/>
      <c r="Q51" s="3104"/>
      <c r="R51" s="3104"/>
    </row>
    <row r="52" s="2973" customFormat="1" spans="1:18">
      <c r="A52" s="3108"/>
      <c r="B52" s="3108"/>
      <c r="C52" s="3108"/>
      <c r="D52" s="3108"/>
      <c r="E52" s="3108"/>
      <c r="F52" s="3104"/>
      <c r="G52" s="3108"/>
      <c r="H52" s="3108"/>
      <c r="I52" s="3108"/>
      <c r="J52" s="3321"/>
      <c r="K52" s="3320"/>
      <c r="L52" s="3320"/>
      <c r="M52" s="3320"/>
      <c r="N52" s="3108"/>
      <c r="O52" s="3108"/>
      <c r="P52" s="3108"/>
      <c r="Q52" s="3108"/>
      <c r="R52" s="3108"/>
    </row>
    <row r="53" s="2973" customFormat="1" spans="1:18">
      <c r="A53" s="3108"/>
      <c r="B53" s="3108"/>
      <c r="C53" s="3108"/>
      <c r="D53" s="3108"/>
      <c r="E53" s="3108"/>
      <c r="F53" s="3104"/>
      <c r="G53" s="3108"/>
      <c r="H53" s="3108"/>
      <c r="I53" s="3108"/>
      <c r="J53" s="3321"/>
      <c r="K53" s="3320"/>
      <c r="L53" s="3320"/>
      <c r="M53" s="3320"/>
      <c r="N53" s="3108"/>
      <c r="O53" s="3108"/>
      <c r="P53" s="3108"/>
      <c r="Q53" s="3108"/>
      <c r="R53" s="3108"/>
    </row>
    <row r="54" s="2973" customFormat="1" spans="1:18">
      <c r="A54" s="3108"/>
      <c r="B54" s="3108"/>
      <c r="C54" s="3108"/>
      <c r="D54" s="3108"/>
      <c r="E54" s="3108"/>
      <c r="F54" s="3104"/>
      <c r="G54" s="3108"/>
      <c r="H54" s="3108"/>
      <c r="I54" s="3108"/>
      <c r="J54" s="3321"/>
      <c r="K54" s="3320"/>
      <c r="L54" s="3320"/>
      <c r="M54" s="3320"/>
      <c r="N54" s="3108"/>
      <c r="O54" s="3108"/>
      <c r="P54" s="3108"/>
      <c r="Q54" s="3108"/>
      <c r="R54" s="3108"/>
    </row>
    <row r="55" s="2973" customFormat="1" spans="1:18">
      <c r="A55" s="3108"/>
      <c r="B55" s="3108"/>
      <c r="C55" s="3108"/>
      <c r="D55" s="3108"/>
      <c r="E55" s="3108"/>
      <c r="F55" s="3104"/>
      <c r="G55" s="3108"/>
      <c r="H55" s="3108"/>
      <c r="I55" s="3108"/>
      <c r="J55" s="3321"/>
      <c r="K55" s="3320"/>
      <c r="L55" s="3320"/>
      <c r="M55" s="3320"/>
      <c r="N55" s="3108"/>
      <c r="O55" s="3108"/>
      <c r="P55" s="3108"/>
      <c r="Q55" s="3108"/>
      <c r="R55" s="3108"/>
    </row>
    <row r="56" s="2973" customFormat="1" spans="1:18">
      <c r="A56" s="3108"/>
      <c r="B56" s="3108"/>
      <c r="C56" s="3108"/>
      <c r="D56" s="3108"/>
      <c r="E56" s="3108"/>
      <c r="F56" s="3104"/>
      <c r="G56" s="3108"/>
      <c r="H56" s="3108"/>
      <c r="I56" s="3108"/>
      <c r="J56" s="3321"/>
      <c r="K56" s="3320"/>
      <c r="L56" s="3320"/>
      <c r="M56" s="3320"/>
      <c r="N56" s="3108"/>
      <c r="O56" s="3108"/>
      <c r="P56" s="3108"/>
      <c r="Q56" s="3108"/>
      <c r="R56" s="31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7" sqref="I17"/>
    </sheetView>
  </sheetViews>
  <sheetFormatPr defaultColWidth="8.88333333333333" defaultRowHeight="14.25"/>
  <cols>
    <col min="1" max="1" width="10.6333333333333" style="3080" customWidth="1"/>
    <col min="2" max="2" width="11" style="3080" customWidth="1"/>
    <col min="3" max="3" width="10.3833333333333" style="3080" customWidth="1"/>
    <col min="4" max="4" width="9.13333333333333" style="3080" customWidth="1"/>
    <col min="5" max="6" width="10" style="3078" customWidth="1"/>
    <col min="7" max="8" width="10" style="3080" customWidth="1"/>
    <col min="9" max="9" width="10.6333333333333" style="3080" customWidth="1"/>
    <col min="10" max="10" width="9.5" style="3080" customWidth="1"/>
    <col min="11" max="11" width="11" style="3080" customWidth="1"/>
    <col min="12" max="14" width="9.5" style="3080" customWidth="1"/>
    <col min="15" max="15" width="9.88333333333333" style="3080" customWidth="1"/>
    <col min="16" max="16" width="9.75" style="3080" customWidth="1"/>
    <col min="17" max="17" width="9.38333333333333" style="3080" customWidth="1"/>
    <col min="18" max="18" width="9.25" style="3080" customWidth="1"/>
    <col min="19" max="19" width="10.8833333333333" style="3080" customWidth="1"/>
    <col min="20" max="21" width="10.75" style="3080" customWidth="1"/>
    <col min="22" max="22" width="10.8833333333333" style="3080" customWidth="1"/>
    <col min="23" max="27" width="10.75" style="3080" customWidth="1"/>
    <col min="28" max="28" width="10.8833333333333" style="3080" customWidth="1"/>
    <col min="29" max="29" width="11" style="3080" customWidth="1"/>
    <col min="30" max="30" width="10" style="3080" customWidth="1"/>
    <col min="31" max="31" width="9.75" style="3080" customWidth="1"/>
    <col min="32" max="46" width="9.5" style="3080" customWidth="1"/>
    <col min="47" max="47" width="18.1333333333333" style="3080" customWidth="1"/>
    <col min="48" max="50" width="9.75" style="3080" customWidth="1"/>
    <col min="51" max="55" width="10.5" style="3080" customWidth="1"/>
    <col min="56" max="56" width="9.5" style="3080" customWidth="1"/>
    <col min="57" max="63" width="9.13333333333333" style="3080" customWidth="1"/>
    <col min="64" max="64" width="9.5" style="3080" customWidth="1"/>
    <col min="65" max="65" width="9.13333333333333" style="3080" customWidth="1"/>
    <col min="66" max="66" width="9.5" style="3080" customWidth="1"/>
    <col min="67" max="69" width="9.13333333333333" style="3080" customWidth="1"/>
    <col min="70" max="70" width="9.5" style="3080" customWidth="1"/>
    <col min="71" max="71" width="9" style="3080" customWidth="1"/>
    <col min="72" max="72" width="9.13333333333333" style="3080" customWidth="1"/>
    <col min="73" max="16384" width="8.88333333333333" style="3080"/>
  </cols>
  <sheetData>
    <row r="1" ht="20.25" spans="1:72">
      <c r="A1" s="3081" t="s">
        <v>426</v>
      </c>
      <c r="B1" s="3082"/>
      <c r="C1" s="3082"/>
      <c r="D1" s="3082"/>
      <c r="E1" s="3082"/>
      <c r="F1" s="3082"/>
      <c r="G1" s="3082"/>
      <c r="H1" s="3082"/>
      <c r="I1" s="3082"/>
      <c r="J1" s="3082"/>
      <c r="K1" s="3082"/>
      <c r="L1" s="3082"/>
      <c r="M1" s="3082"/>
      <c r="N1" s="3082"/>
      <c r="O1" s="3082"/>
      <c r="P1" s="3082"/>
      <c r="Q1" s="3082"/>
      <c r="R1" s="3082"/>
      <c r="S1" s="3082"/>
      <c r="T1" s="3082"/>
      <c r="U1" s="3082"/>
      <c r="V1" s="3082"/>
      <c r="W1" s="3082"/>
      <c r="X1" s="3082"/>
      <c r="Y1" s="3082"/>
      <c r="Z1" s="3082"/>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134" t="s">
        <v>427</v>
      </c>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row>
    <row r="2" s="3075" customFormat="1" ht="24" spans="1:72">
      <c r="A2" s="304" t="s">
        <v>365</v>
      </c>
      <c r="B2" s="304" t="s">
        <v>361</v>
      </c>
      <c r="C2" s="304" t="s">
        <v>428</v>
      </c>
      <c r="D2" s="3083"/>
      <c r="E2" s="2427"/>
      <c r="F2" s="2479"/>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144" t="s">
        <v>429</v>
      </c>
      <c r="AZ2" s="3145" t="s">
        <v>430</v>
      </c>
      <c r="BA2" s="304" t="s">
        <v>431</v>
      </c>
      <c r="BB2" s="3083"/>
      <c r="BC2" s="3083"/>
      <c r="BD2" s="3083"/>
      <c r="BE2" s="3083"/>
      <c r="BF2" s="3083"/>
      <c r="BG2" s="3083"/>
      <c r="BH2" s="3083"/>
      <c r="BI2" s="3083"/>
      <c r="BJ2" s="3083"/>
      <c r="BK2" s="3083"/>
      <c r="BL2" s="3083"/>
      <c r="BM2" s="3083"/>
      <c r="BN2" s="3083"/>
      <c r="BO2" s="3083"/>
      <c r="BP2" s="3083"/>
      <c r="BQ2" s="3083"/>
      <c r="BR2" s="3083"/>
      <c r="BS2" s="3083"/>
      <c r="BT2" s="3083"/>
    </row>
    <row r="3" s="3075" customFormat="1" ht="12.75" spans="1:72">
      <c r="A3" s="3084"/>
      <c r="B3" s="3085">
        <f>IF(C3="否",G5-AT5,G5)</f>
        <v>55180.06</v>
      </c>
      <c r="C3" s="3086" t="s">
        <v>432</v>
      </c>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083"/>
      <c r="AO3" s="3083"/>
      <c r="AP3" s="3083"/>
      <c r="AQ3" s="3083"/>
      <c r="AR3" s="3083"/>
      <c r="AS3" s="3083"/>
      <c r="AT3" s="3083"/>
      <c r="AU3" s="3083"/>
      <c r="AV3" s="3083"/>
      <c r="AW3" s="3083"/>
      <c r="AX3" s="3083"/>
      <c r="AY3" s="3146"/>
      <c r="AZ3" s="3104"/>
      <c r="BA3" s="3147"/>
      <c r="BB3" s="3083"/>
      <c r="BC3" s="3083"/>
      <c r="BD3" s="3083"/>
      <c r="BE3" s="3083"/>
      <c r="BF3" s="3083"/>
      <c r="BG3" s="3083"/>
      <c r="BH3" s="3083"/>
      <c r="BI3" s="3083"/>
      <c r="BJ3" s="3083"/>
      <c r="BK3" s="3083"/>
      <c r="BL3" s="3083"/>
      <c r="BM3" s="3083"/>
      <c r="BN3" s="3083"/>
      <c r="BO3" s="3083"/>
      <c r="BP3" s="3083"/>
      <c r="BQ3" s="3083"/>
      <c r="BR3" s="3083"/>
      <c r="BS3" s="3083"/>
      <c r="BT3" s="3083"/>
    </row>
    <row r="4" s="3076" customFormat="1" ht="13.5" spans="1:72">
      <c r="A4" s="3087"/>
      <c r="B4" s="3088"/>
      <c r="C4" s="3089"/>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148"/>
      <c r="BB4" s="3083"/>
      <c r="BC4" s="3083"/>
      <c r="BD4" s="3083"/>
      <c r="BE4" s="3083"/>
      <c r="BF4" s="3083"/>
      <c r="BG4" s="3083"/>
      <c r="BH4" s="3083"/>
      <c r="BI4" s="3083"/>
      <c r="BJ4" s="3083"/>
      <c r="BK4" s="3083"/>
      <c r="BL4" s="3083"/>
      <c r="BM4" s="3083"/>
      <c r="BN4" s="3083"/>
      <c r="BO4" s="3083"/>
      <c r="BP4" s="3083"/>
      <c r="BQ4" s="3083"/>
      <c r="BR4" s="3083"/>
      <c r="BS4" s="3083"/>
      <c r="BT4" s="3083"/>
    </row>
    <row r="5" s="3075" customFormat="1" ht="12.75" spans="1:72">
      <c r="A5" s="2098" t="s">
        <v>433</v>
      </c>
      <c r="B5" s="2340"/>
      <c r="C5" s="2340"/>
      <c r="D5" s="2494"/>
      <c r="E5" s="3090" t="s">
        <v>124</v>
      </c>
      <c r="F5" s="3090">
        <f>SUM(F13:F587)</f>
        <v>0</v>
      </c>
      <c r="G5" s="3090">
        <f>SUM(G13:G587)</f>
        <v>55180.06</v>
      </c>
      <c r="H5" s="3090">
        <f t="shared" ref="H5:AT5" si="0">SUM(H13:H656)</f>
        <v>55180.06</v>
      </c>
      <c r="I5" s="3090">
        <f t="shared" si="0"/>
        <v>55180.06</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339"/>
      <c r="AV5" s="2098" t="s">
        <v>433</v>
      </c>
      <c r="AW5" s="2340"/>
      <c r="AX5" s="2340"/>
      <c r="AY5" s="3149" t="s">
        <v>124</v>
      </c>
      <c r="AZ5" s="3150">
        <f t="shared" ref="AZ5:BT5" si="1">SUM(AZ13:AZ656)</f>
        <v>55180.06</v>
      </c>
      <c r="BA5" s="3150">
        <f t="shared" si="1"/>
        <v>55180.06</v>
      </c>
      <c r="BB5" s="3150">
        <f t="shared" si="1"/>
        <v>55180.06</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7" customFormat="1" ht="12.75" spans="1:72">
      <c r="A6" s="2098" t="s">
        <v>434</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2098" t="s">
        <v>434</v>
      </c>
      <c r="AW6" s="3091"/>
      <c r="AX6" s="3091"/>
      <c r="AY6" s="3151">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60">
        <f t="shared" si="5"/>
        <v>0</v>
      </c>
    </row>
    <row r="7" s="3075" customFormat="1" ht="24.75" spans="1:72">
      <c r="A7" s="3094" t="s">
        <v>435</v>
      </c>
      <c r="B7" s="3094" t="s">
        <v>436</v>
      </c>
      <c r="C7" s="3094" t="s">
        <v>409</v>
      </c>
      <c r="D7" s="3094" t="s">
        <v>437</v>
      </c>
      <c r="E7" s="3094" t="s">
        <v>434</v>
      </c>
      <c r="F7" s="3094" t="s">
        <v>438</v>
      </c>
      <c r="G7" s="2453" t="s">
        <v>439</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494"/>
      <c r="AU7" s="3095" t="s">
        <v>440</v>
      </c>
      <c r="AV7" s="3136" t="s">
        <v>435</v>
      </c>
      <c r="AW7" s="2479" t="s">
        <v>436</v>
      </c>
      <c r="AX7" s="3136" t="s">
        <v>409</v>
      </c>
      <c r="AY7" s="2340" t="s">
        <v>441</v>
      </c>
      <c r="AZ7" s="3127"/>
      <c r="BA7" s="3095"/>
      <c r="BB7" s="3095"/>
      <c r="BC7" s="3095"/>
      <c r="BD7" s="3095"/>
      <c r="BE7" s="3095"/>
      <c r="BF7" s="3095"/>
      <c r="BG7" s="3095"/>
      <c r="BH7" s="3095"/>
      <c r="BI7" s="3095"/>
      <c r="BJ7" s="3095"/>
      <c r="BK7" s="3095"/>
      <c r="BL7" s="3095"/>
      <c r="BM7" s="3095"/>
      <c r="BN7" s="3095"/>
      <c r="BO7" s="3095"/>
      <c r="BP7" s="3095"/>
      <c r="BQ7" s="3095"/>
      <c r="BR7" s="3095"/>
      <c r="BS7" s="3095"/>
      <c r="BT7" s="3161"/>
    </row>
    <row r="8" s="2774" customFormat="1" ht="24" spans="1:72">
      <c r="A8" s="3096"/>
      <c r="B8" s="3096"/>
      <c r="C8" s="3096"/>
      <c r="D8" s="3096"/>
      <c r="E8" s="3096"/>
      <c r="F8" s="3096"/>
      <c r="G8" s="3097" t="s">
        <v>442</v>
      </c>
      <c r="H8" s="3098" t="s">
        <v>443</v>
      </c>
      <c r="I8" s="3116"/>
      <c r="J8" s="303"/>
      <c r="K8" s="303"/>
      <c r="L8" s="303"/>
      <c r="M8" s="303"/>
      <c r="N8" s="303"/>
      <c r="O8" s="303"/>
      <c r="P8" s="303"/>
      <c r="Q8" s="303"/>
      <c r="R8" s="303"/>
      <c r="S8" s="303"/>
      <c r="T8" s="303"/>
      <c r="U8" s="303"/>
      <c r="V8" s="3123"/>
      <c r="W8" s="303"/>
      <c r="X8" s="303"/>
      <c r="Y8" s="303"/>
      <c r="Z8" s="303"/>
      <c r="AA8" s="3123"/>
      <c r="AB8" s="3125"/>
      <c r="AC8" s="2255" t="s">
        <v>444</v>
      </c>
      <c r="AD8" s="3126"/>
      <c r="AE8" s="3127"/>
      <c r="AF8" s="303"/>
      <c r="AG8" s="303"/>
      <c r="AH8" s="303"/>
      <c r="AI8" s="303"/>
      <c r="AJ8" s="303"/>
      <c r="AK8" s="303"/>
      <c r="AL8" s="303"/>
      <c r="AM8" s="303"/>
      <c r="AN8" s="303"/>
      <c r="AO8" s="303"/>
      <c r="AP8" s="303"/>
      <c r="AQ8" s="303"/>
      <c r="AR8" s="303"/>
      <c r="AS8" s="303"/>
      <c r="AT8" s="1935" t="s">
        <v>445</v>
      </c>
      <c r="AU8" s="3096"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6"/>
      <c r="B9" s="3096"/>
      <c r="C9" s="3096"/>
      <c r="D9" s="3096"/>
      <c r="E9" s="3096"/>
      <c r="F9" s="3096"/>
      <c r="G9" s="1935"/>
      <c r="H9" s="3099" t="s">
        <v>447</v>
      </c>
      <c r="I9" s="3117" t="s">
        <v>448</v>
      </c>
      <c r="J9" s="2255"/>
      <c r="K9" s="3117"/>
      <c r="L9" s="2255"/>
      <c r="M9" s="3117"/>
      <c r="N9" s="2255"/>
      <c r="O9" s="3117"/>
      <c r="P9" s="2255"/>
      <c r="Q9" s="3117"/>
      <c r="R9" s="2255"/>
      <c r="S9" s="3117"/>
      <c r="T9" s="2255"/>
      <c r="U9" s="3117"/>
      <c r="V9" s="2255"/>
      <c r="W9" s="3117"/>
      <c r="X9" s="3124"/>
      <c r="Y9" s="3117"/>
      <c r="Z9" s="2255"/>
      <c r="AA9" s="3117"/>
      <c r="AB9" s="2255"/>
      <c r="AC9" s="3097"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7"/>
      <c r="AT9" s="3096"/>
      <c r="AU9" s="3096" t="s">
        <v>451</v>
      </c>
      <c r="AV9" s="1935"/>
      <c r="AW9" s="2427"/>
      <c r="AX9" s="1935"/>
      <c r="AY9" s="3100"/>
      <c r="AZ9" s="3100" t="s">
        <v>442</v>
      </c>
      <c r="BA9" s="3152" t="s">
        <v>452</v>
      </c>
      <c r="BB9" s="3153"/>
      <c r="BC9" s="1996"/>
      <c r="BD9" s="1996"/>
      <c r="BE9" s="1996"/>
      <c r="BF9" s="1996"/>
      <c r="BG9" s="1996"/>
      <c r="BH9" s="1996"/>
      <c r="BI9" s="1996"/>
      <c r="BJ9" s="1996"/>
      <c r="BK9" s="3158"/>
      <c r="BL9" s="2098" t="s">
        <v>453</v>
      </c>
      <c r="BM9" s="303"/>
      <c r="BN9" s="3116"/>
      <c r="BO9" s="303"/>
      <c r="BP9" s="303"/>
      <c r="BQ9" s="303"/>
      <c r="BR9" s="303"/>
      <c r="BS9" s="303"/>
      <c r="BT9" s="1984"/>
    </row>
    <row r="10" s="2774" customFormat="1" ht="12.75" spans="1:72">
      <c r="A10" s="3096"/>
      <c r="B10" s="3096"/>
      <c r="C10" s="3096"/>
      <c r="D10" s="3096"/>
      <c r="E10" s="3096"/>
      <c r="F10" s="3096"/>
      <c r="G10" s="1935"/>
      <c r="H10" s="3100"/>
      <c r="I10" s="3117" t="s">
        <v>454</v>
      </c>
      <c r="J10" s="2255"/>
      <c r="K10" s="3118"/>
      <c r="L10" s="2255"/>
      <c r="M10" s="3118"/>
      <c r="N10" s="2255"/>
      <c r="O10" s="3118"/>
      <c r="P10" s="2255"/>
      <c r="Q10" s="3118"/>
      <c r="R10" s="2255"/>
      <c r="S10" s="3118"/>
      <c r="T10" s="2255"/>
      <c r="U10" s="3118"/>
      <c r="V10" s="2255"/>
      <c r="W10" s="3118"/>
      <c r="X10" s="2255"/>
      <c r="Y10" s="3118"/>
      <c r="Z10" s="2255"/>
      <c r="AA10" s="3118"/>
      <c r="AB10" s="2255"/>
      <c r="AC10" s="1935"/>
      <c r="AD10" s="2098" t="s">
        <v>455</v>
      </c>
      <c r="AE10" s="3128"/>
      <c r="AF10" s="2098" t="s">
        <v>455</v>
      </c>
      <c r="AG10" s="3128"/>
      <c r="AH10" s="2098" t="s">
        <v>456</v>
      </c>
      <c r="AI10" s="3128"/>
      <c r="AJ10" s="2098" t="s">
        <v>456</v>
      </c>
      <c r="AK10" s="3128"/>
      <c r="AL10" s="2098" t="s">
        <v>457</v>
      </c>
      <c r="AM10" s="1949"/>
      <c r="AN10" s="2098" t="s">
        <v>457</v>
      </c>
      <c r="AO10" s="1949"/>
      <c r="AP10" s="2098" t="s">
        <v>458</v>
      </c>
      <c r="AQ10" s="1949"/>
      <c r="AR10" s="2098" t="s">
        <v>458</v>
      </c>
      <c r="AS10" s="1949"/>
      <c r="AT10" s="3096"/>
      <c r="AU10" s="3096"/>
      <c r="AV10" s="1935"/>
      <c r="AW10" s="2427"/>
      <c r="AX10" s="1935"/>
      <c r="AY10" s="3100"/>
      <c r="AZ10" s="3100"/>
      <c r="BA10" s="3101" t="s">
        <v>447</v>
      </c>
      <c r="BB10" s="3154"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2" t="str">
        <f>AR9</f>
        <v>地下</v>
      </c>
    </row>
    <row r="11" s="2774" customFormat="1" ht="12.75" spans="1:72">
      <c r="A11" s="3096"/>
      <c r="B11" s="3096"/>
      <c r="C11" s="3096"/>
      <c r="D11" s="3096"/>
      <c r="E11" s="3096"/>
      <c r="F11" s="3096"/>
      <c r="G11" s="1935"/>
      <c r="H11" s="3101"/>
      <c r="I11" s="3119" t="s">
        <v>459</v>
      </c>
      <c r="J11" s="3120"/>
      <c r="K11" s="3119"/>
      <c r="L11" s="3120"/>
      <c r="M11" s="3119"/>
      <c r="N11" s="3120"/>
      <c r="O11" s="3119"/>
      <c r="P11" s="3120"/>
      <c r="Q11" s="3119"/>
      <c r="R11" s="3120"/>
      <c r="S11" s="3119"/>
      <c r="T11" s="3120"/>
      <c r="U11" s="3119"/>
      <c r="V11" s="3120"/>
      <c r="W11" s="3119"/>
      <c r="X11" s="3120"/>
      <c r="Y11" s="3119"/>
      <c r="Z11" s="3120"/>
      <c r="AA11" s="3119"/>
      <c r="AB11" s="3120"/>
      <c r="AC11" s="1935"/>
      <c r="AD11" s="3129" t="s">
        <v>460</v>
      </c>
      <c r="AE11" s="361"/>
      <c r="AF11" s="3129" t="s">
        <v>460</v>
      </c>
      <c r="AG11" s="361"/>
      <c r="AH11" s="3129" t="s">
        <v>461</v>
      </c>
      <c r="AI11" s="3133"/>
      <c r="AJ11" s="3129" t="s">
        <v>461</v>
      </c>
      <c r="AK11" s="361"/>
      <c r="AL11" s="302"/>
      <c r="AM11" s="361"/>
      <c r="AN11" s="302"/>
      <c r="AO11" s="361"/>
      <c r="AP11" s="302"/>
      <c r="AQ11" s="361"/>
      <c r="AR11" s="302"/>
      <c r="AS11" s="361"/>
      <c r="AT11" s="2427"/>
      <c r="AU11" s="3096"/>
      <c r="AV11" s="1935"/>
      <c r="AW11" s="2427"/>
      <c r="AX11" s="1935"/>
      <c r="AY11" s="3100"/>
      <c r="AZ11" s="3100"/>
      <c r="BA11" s="3100"/>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3" t="str">
        <f>AR10</f>
        <v>未注明</v>
      </c>
    </row>
    <row r="12" s="3075" customFormat="1" ht="12.75" spans="1:72">
      <c r="A12" s="3102"/>
      <c r="B12" s="3102"/>
      <c r="C12" s="3102"/>
      <c r="D12" s="3102"/>
      <c r="E12" s="3102"/>
      <c r="F12" s="3102"/>
      <c r="G12" s="673"/>
      <c r="H12" s="3103"/>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30"/>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2" t="s">
        <v>463</v>
      </c>
      <c r="AT12" s="3138"/>
      <c r="AU12" s="3102"/>
      <c r="AV12" s="3139"/>
      <c r="AW12" s="2479"/>
      <c r="AX12" s="3139"/>
      <c r="AY12" s="3155"/>
      <c r="AZ12" s="3100"/>
      <c r="BA12" s="3101"/>
      <c r="BB12" s="301" t="str">
        <f>I11</f>
        <v>平层住宅</v>
      </c>
      <c r="BC12" s="3156">
        <f>K11</f>
        <v>0</v>
      </c>
      <c r="BD12" s="3156">
        <f>M11</f>
        <v>0</v>
      </c>
      <c r="BE12" s="3125">
        <f>O11</f>
        <v>0</v>
      </c>
      <c r="BF12" s="3125">
        <f>Q11</f>
        <v>0</v>
      </c>
      <c r="BG12" s="3125">
        <f>S11</f>
        <v>0</v>
      </c>
      <c r="BH12" s="3125">
        <f>U11</f>
        <v>0</v>
      </c>
      <c r="BI12" s="3125">
        <f>W11</f>
        <v>0</v>
      </c>
      <c r="BJ12" s="3125">
        <f>Y11</f>
        <v>0</v>
      </c>
      <c r="BK12" s="3125">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3">
        <f>AR11</f>
        <v>0</v>
      </c>
    </row>
    <row r="13" s="3075" customFormat="1" ht="12.75" spans="1:72">
      <c r="A13" s="3104"/>
      <c r="B13" s="3104"/>
      <c r="C13" s="3104"/>
      <c r="D13" s="3105" t="s">
        <v>464</v>
      </c>
      <c r="E13" s="3090">
        <f>IF($C$3="是",ROUND($A$3*G13/$B$3,2),ROUND($A$3*(G13-AT13)/$B$3,2))</f>
        <v>0</v>
      </c>
      <c r="F13" s="3106"/>
      <c r="G13" s="3107">
        <f>H13+AC13+AT13</f>
        <v>55180.06</v>
      </c>
      <c r="H13" s="3093">
        <f>SUMIF(I$12:AB$12,"总值",I13:AB13)</f>
        <v>55180.06</v>
      </c>
      <c r="I13" s="3121">
        <v>55180.06</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304">
        <f t="shared" ref="AV13:AX17" si="6">A13</f>
        <v>0</v>
      </c>
      <c r="AW13" s="304">
        <f t="shared" si="6"/>
        <v>0</v>
      </c>
      <c r="AX13" s="304">
        <f t="shared" si="6"/>
        <v>0</v>
      </c>
      <c r="AY13" s="2494">
        <f>ROUND($AY$6*AZ13/$AZ$5,2)</f>
        <v>0</v>
      </c>
      <c r="AZ13" s="3090">
        <f>BA13+BL13</f>
        <v>55180.06</v>
      </c>
      <c r="BA13" s="3090">
        <f>SUM(BB13:BK13)</f>
        <v>55180.06</v>
      </c>
      <c r="BB13" s="3090">
        <f>IF($D13="是",I13-J13,0)</f>
        <v>55180.06</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60">
        <f>IF($D13="是",AR13-AS13,0)</f>
        <v>0</v>
      </c>
    </row>
    <row r="14" s="3075" customFormat="1" ht="12.75" spans="1:72">
      <c r="A14" s="3104"/>
      <c r="B14" s="3104"/>
      <c r="C14" s="3108"/>
      <c r="D14" s="3105"/>
      <c r="E14" s="3090">
        <f>IF($C$3="是",ROUND($A$3*G14/$B$3,2),ROUND($A$3*(G14-AT14)/$B$3,2))</f>
        <v>0</v>
      </c>
      <c r="F14" s="3106"/>
      <c r="G14" s="3107">
        <f>H14+AC14+AT14</f>
        <v>0</v>
      </c>
      <c r="H14" s="3093">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304">
        <f t="shared" si="6"/>
        <v>0</v>
      </c>
      <c r="AW14" s="304">
        <f t="shared" si="6"/>
        <v>0</v>
      </c>
      <c r="AX14" s="304">
        <f t="shared" si="6"/>
        <v>0</v>
      </c>
      <c r="AY14" s="2494">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60">
        <f>IF($D14="是",AR14-AS14,0)</f>
        <v>0</v>
      </c>
    </row>
    <row r="15" s="3075" customFormat="1" ht="12.75" spans="1:72">
      <c r="A15" s="3104"/>
      <c r="B15" s="3104"/>
      <c r="C15" s="3108"/>
      <c r="D15" s="3105"/>
      <c r="E15" s="3090">
        <f>IF($C$3="是",ROUND($A$3*G15/$B$3,2),ROUND($A$3*(G15-AT15)/$B$3,2))</f>
        <v>0</v>
      </c>
      <c r="F15" s="3106"/>
      <c r="G15" s="3107">
        <f>H15+AC15+AT15</f>
        <v>0</v>
      </c>
      <c r="H15" s="3093">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304">
        <f t="shared" si="6"/>
        <v>0</v>
      </c>
      <c r="AW15" s="304">
        <f t="shared" si="6"/>
        <v>0</v>
      </c>
      <c r="AX15" s="304">
        <f t="shared" si="6"/>
        <v>0</v>
      </c>
      <c r="AY15" s="2494">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60">
        <f>IF($D15="是",AR15-AS15,0)</f>
        <v>0</v>
      </c>
    </row>
    <row r="16" s="3075" customFormat="1" ht="12.75" spans="1:72">
      <c r="A16" s="3104"/>
      <c r="B16" s="3104"/>
      <c r="C16" s="3108"/>
      <c r="D16" s="3105"/>
      <c r="E16" s="3090">
        <f>IF($C$3="是",ROUND($A$3*G16/$B$3,2),ROUND($A$3*(G16-AT16)/$B$3,2))</f>
        <v>0</v>
      </c>
      <c r="F16" s="3106"/>
      <c r="G16" s="3107">
        <f>H16+AC16+AT16</f>
        <v>0</v>
      </c>
      <c r="H16" s="3093">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304">
        <f t="shared" si="6"/>
        <v>0</v>
      </c>
      <c r="AW16" s="304">
        <f t="shared" si="6"/>
        <v>0</v>
      </c>
      <c r="AX16" s="304">
        <f t="shared" si="6"/>
        <v>0</v>
      </c>
      <c r="AY16" s="2494">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60">
        <f>IF($D16="是",AR16-AS16,0)</f>
        <v>0</v>
      </c>
    </row>
    <row r="17" s="3075" customFormat="1" ht="12.75" spans="1:72">
      <c r="A17" s="3104"/>
      <c r="B17" s="3104"/>
      <c r="C17" s="3108"/>
      <c r="D17" s="3105"/>
      <c r="E17" s="3090">
        <f>IF($C$3="是",ROUND($A$3*G17/$B$3,2),ROUND($A$3*(G17-AT17)/$B$3,2))</f>
        <v>0</v>
      </c>
      <c r="F17" s="3106"/>
      <c r="G17" s="3107">
        <f>H17+AC17+AT17</f>
        <v>0</v>
      </c>
      <c r="H17" s="3093">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304">
        <f t="shared" si="6"/>
        <v>0</v>
      </c>
      <c r="AW17" s="304">
        <f t="shared" si="6"/>
        <v>0</v>
      </c>
      <c r="AX17" s="304">
        <f t="shared" si="6"/>
        <v>0</v>
      </c>
      <c r="AY17" s="2494">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60">
        <f>IF($D17="是",AR17-AS17,0)</f>
        <v>0</v>
      </c>
    </row>
    <row r="18" spans="1:72">
      <c r="A18" s="3109"/>
      <c r="B18" s="3110"/>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1200">
        <f t="shared" ref="AV18:AV112" si="11">A18</f>
        <v>0</v>
      </c>
      <c r="AW18" s="1200">
        <f t="shared" ref="AW18:AW112" si="12">B18</f>
        <v>0</v>
      </c>
      <c r="AX18" s="1200">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9"/>
      <c r="B19" s="3110"/>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1200">
        <f t="shared" si="11"/>
        <v>0</v>
      </c>
      <c r="AW19" s="1200">
        <f t="shared" si="12"/>
        <v>0</v>
      </c>
      <c r="AX19" s="1200">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9"/>
      <c r="B20" s="3110"/>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1200">
        <f t="shared" si="11"/>
        <v>0</v>
      </c>
      <c r="AW20" s="1200">
        <f t="shared" si="12"/>
        <v>0</v>
      </c>
      <c r="AX20" s="1200">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9"/>
      <c r="B21" s="3110"/>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1200">
        <f t="shared" si="11"/>
        <v>0</v>
      </c>
      <c r="AW21" s="1200">
        <f t="shared" si="12"/>
        <v>0</v>
      </c>
      <c r="AX21" s="1200">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9"/>
      <c r="B22" s="3110"/>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1200">
        <f t="shared" si="11"/>
        <v>0</v>
      </c>
      <c r="AW22" s="1200">
        <f t="shared" si="12"/>
        <v>0</v>
      </c>
      <c r="AX22" s="1200">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9"/>
      <c r="B23" s="3110"/>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1200">
        <f t="shared" si="11"/>
        <v>0</v>
      </c>
      <c r="AW23" s="1200">
        <f t="shared" si="12"/>
        <v>0</v>
      </c>
      <c r="AX23" s="1200">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9"/>
      <c r="B24" s="3110"/>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1200">
        <f t="shared" si="11"/>
        <v>0</v>
      </c>
      <c r="AW24" s="1200">
        <f t="shared" si="12"/>
        <v>0</v>
      </c>
      <c r="AX24" s="1200">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9"/>
      <c r="B25" s="3110"/>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1200">
        <f t="shared" si="11"/>
        <v>0</v>
      </c>
      <c r="AW25" s="1200">
        <f t="shared" si="12"/>
        <v>0</v>
      </c>
      <c r="AX25" s="1200">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9"/>
      <c r="B26" s="3110"/>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1200">
        <f t="shared" si="11"/>
        <v>0</v>
      </c>
      <c r="AW26" s="1200">
        <f t="shared" si="12"/>
        <v>0</v>
      </c>
      <c r="AX26" s="1200">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9"/>
      <c r="B27" s="3110"/>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1200">
        <f t="shared" si="11"/>
        <v>0</v>
      </c>
      <c r="AW27" s="1200">
        <f t="shared" si="12"/>
        <v>0</v>
      </c>
      <c r="AX27" s="1200">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9"/>
      <c r="B28" s="3110"/>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1200">
        <f t="shared" si="11"/>
        <v>0</v>
      </c>
      <c r="AW28" s="1200">
        <f t="shared" si="12"/>
        <v>0</v>
      </c>
      <c r="AX28" s="1200">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9"/>
      <c r="B29" s="3110"/>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1200">
        <f t="shared" si="11"/>
        <v>0</v>
      </c>
      <c r="AW29" s="1200">
        <f t="shared" si="12"/>
        <v>0</v>
      </c>
      <c r="AX29" s="1200">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9"/>
      <c r="B30" s="3110"/>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1200">
        <f t="shared" si="11"/>
        <v>0</v>
      </c>
      <c r="AW30" s="1200">
        <f t="shared" si="12"/>
        <v>0</v>
      </c>
      <c r="AX30" s="1200">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9"/>
      <c r="B31" s="3110"/>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1200">
        <f t="shared" si="11"/>
        <v>0</v>
      </c>
      <c r="AW31" s="1200">
        <f t="shared" si="12"/>
        <v>0</v>
      </c>
      <c r="AX31" s="1200">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9"/>
      <c r="B32" s="3110"/>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1200">
        <f t="shared" si="11"/>
        <v>0</v>
      </c>
      <c r="AW32" s="1200">
        <f t="shared" si="12"/>
        <v>0</v>
      </c>
      <c r="AX32" s="1200">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9"/>
      <c r="B33" s="3110"/>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1200">
        <f t="shared" si="11"/>
        <v>0</v>
      </c>
      <c r="AW33" s="1200">
        <f t="shared" si="12"/>
        <v>0</v>
      </c>
      <c r="AX33" s="1200">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9"/>
      <c r="B34" s="3110"/>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1200">
        <f t="shared" si="11"/>
        <v>0</v>
      </c>
      <c r="AW34" s="1200">
        <f t="shared" si="12"/>
        <v>0</v>
      </c>
      <c r="AX34" s="1200">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9"/>
      <c r="B35" s="3110"/>
      <c r="C35" s="3110"/>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1200">
        <f t="shared" si="11"/>
        <v>0</v>
      </c>
      <c r="AW35" s="1200">
        <f t="shared" si="12"/>
        <v>0</v>
      </c>
      <c r="AX35" s="1200">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9"/>
      <c r="B36" s="3110"/>
      <c r="C36" s="3110"/>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1200">
        <f t="shared" si="11"/>
        <v>0</v>
      </c>
      <c r="AW36" s="1200">
        <f t="shared" si="12"/>
        <v>0</v>
      </c>
      <c r="AX36" s="1200">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9"/>
      <c r="B37" s="3110"/>
      <c r="C37" s="3110"/>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1200">
        <f t="shared" si="11"/>
        <v>0</v>
      </c>
      <c r="AW37" s="1200">
        <f t="shared" si="12"/>
        <v>0</v>
      </c>
      <c r="AX37" s="1200">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9"/>
      <c r="B38" s="3110"/>
      <c r="C38" s="3110"/>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1200">
        <f t="shared" si="11"/>
        <v>0</v>
      </c>
      <c r="AW38" s="1200">
        <f t="shared" si="12"/>
        <v>0</v>
      </c>
      <c r="AX38" s="1200">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9"/>
      <c r="B39" s="3110"/>
      <c r="C39" s="3110"/>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1200">
        <f t="shared" si="11"/>
        <v>0</v>
      </c>
      <c r="AW39" s="1200">
        <f t="shared" si="12"/>
        <v>0</v>
      </c>
      <c r="AX39" s="1200">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9"/>
      <c r="B40" s="3110"/>
      <c r="C40" s="3110"/>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1200">
        <f t="shared" si="11"/>
        <v>0</v>
      </c>
      <c r="AW40" s="1200">
        <f t="shared" si="12"/>
        <v>0</v>
      </c>
      <c r="AX40" s="1200">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9"/>
      <c r="B41" s="3110"/>
      <c r="C41" s="3110"/>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1200">
        <f t="shared" si="11"/>
        <v>0</v>
      </c>
      <c r="AW41" s="1200">
        <f t="shared" si="12"/>
        <v>0</v>
      </c>
      <c r="AX41" s="1200">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9"/>
      <c r="B42" s="3110"/>
      <c r="C42" s="3110"/>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1200">
        <f t="shared" si="11"/>
        <v>0</v>
      </c>
      <c r="AW42" s="1200">
        <f t="shared" si="12"/>
        <v>0</v>
      </c>
      <c r="AX42" s="1200">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9"/>
      <c r="B43" s="3110"/>
      <c r="C43" s="3110"/>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1200">
        <f t="shared" si="11"/>
        <v>0</v>
      </c>
      <c r="AW43" s="1200">
        <f t="shared" si="12"/>
        <v>0</v>
      </c>
      <c r="AX43" s="1200">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9"/>
      <c r="B44" s="3110"/>
      <c r="C44" s="3110"/>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1200">
        <f t="shared" si="11"/>
        <v>0</v>
      </c>
      <c r="AW44" s="1200">
        <f t="shared" si="12"/>
        <v>0</v>
      </c>
      <c r="AX44" s="1200">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9"/>
      <c r="B45" s="3110"/>
      <c r="C45" s="3110"/>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1200">
        <f t="shared" si="11"/>
        <v>0</v>
      </c>
      <c r="AW45" s="1200">
        <f t="shared" si="12"/>
        <v>0</v>
      </c>
      <c r="AX45" s="1200">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9"/>
      <c r="B46" s="3110"/>
      <c r="C46" s="3110"/>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1200">
        <f t="shared" si="11"/>
        <v>0</v>
      </c>
      <c r="AW46" s="1200">
        <f t="shared" si="12"/>
        <v>0</v>
      </c>
      <c r="AX46" s="1200">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9"/>
      <c r="B47" s="3110"/>
      <c r="C47" s="3110"/>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1200">
        <f t="shared" si="11"/>
        <v>0</v>
      </c>
      <c r="AW47" s="1200">
        <f t="shared" si="12"/>
        <v>0</v>
      </c>
      <c r="AX47" s="1200">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9"/>
      <c r="B48" s="3110"/>
      <c r="C48" s="3110"/>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1200">
        <f t="shared" si="11"/>
        <v>0</v>
      </c>
      <c r="AW48" s="1200">
        <f t="shared" si="12"/>
        <v>0</v>
      </c>
      <c r="AX48" s="1200">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9"/>
      <c r="B49" s="3110"/>
      <c r="C49" s="3110"/>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1200">
        <f t="shared" si="11"/>
        <v>0</v>
      </c>
      <c r="AW49" s="1200">
        <f t="shared" si="12"/>
        <v>0</v>
      </c>
      <c r="AX49" s="1200">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9"/>
      <c r="B50" s="3110"/>
      <c r="C50" s="3110"/>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1200">
        <f t="shared" si="11"/>
        <v>0</v>
      </c>
      <c r="AW50" s="1200">
        <f t="shared" si="12"/>
        <v>0</v>
      </c>
      <c r="AX50" s="1200">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9"/>
      <c r="B51" s="3110"/>
      <c r="C51" s="3110"/>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1200">
        <f t="shared" si="11"/>
        <v>0</v>
      </c>
      <c r="AW51" s="1200">
        <f t="shared" si="12"/>
        <v>0</v>
      </c>
      <c r="AX51" s="1200">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9"/>
      <c r="B52" s="3110"/>
      <c r="C52" s="3110"/>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1200">
        <f t="shared" si="11"/>
        <v>0</v>
      </c>
      <c r="AW52" s="1200">
        <f t="shared" si="12"/>
        <v>0</v>
      </c>
      <c r="AX52" s="1200">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9"/>
      <c r="B53" s="3110"/>
      <c r="C53" s="3110"/>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1200">
        <f t="shared" si="11"/>
        <v>0</v>
      </c>
      <c r="AW53" s="1200">
        <f t="shared" si="12"/>
        <v>0</v>
      </c>
      <c r="AX53" s="1200">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9"/>
      <c r="B54" s="3110"/>
      <c r="C54" s="3110"/>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1200">
        <f t="shared" si="11"/>
        <v>0</v>
      </c>
      <c r="AW54" s="1200">
        <f t="shared" si="12"/>
        <v>0</v>
      </c>
      <c r="AX54" s="1200">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9"/>
      <c r="B55" s="3110"/>
      <c r="C55" s="3110"/>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1200">
        <f t="shared" si="11"/>
        <v>0</v>
      </c>
      <c r="AW55" s="1200">
        <f t="shared" si="12"/>
        <v>0</v>
      </c>
      <c r="AX55" s="1200">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9"/>
      <c r="B56" s="3110"/>
      <c r="C56" s="3110"/>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1200">
        <f t="shared" si="11"/>
        <v>0</v>
      </c>
      <c r="AW56" s="1200">
        <f t="shared" si="12"/>
        <v>0</v>
      </c>
      <c r="AX56" s="1200">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9"/>
      <c r="B57" s="3110"/>
      <c r="C57" s="3110"/>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1200">
        <f t="shared" si="11"/>
        <v>0</v>
      </c>
      <c r="AW57" s="1200">
        <f t="shared" si="12"/>
        <v>0</v>
      </c>
      <c r="AX57" s="1200">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9"/>
      <c r="B58" s="3110"/>
      <c r="C58" s="3110"/>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1200">
        <f t="shared" si="11"/>
        <v>0</v>
      </c>
      <c r="AW58" s="1200">
        <f t="shared" si="12"/>
        <v>0</v>
      </c>
      <c r="AX58" s="1200">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9"/>
      <c r="B59" s="3110"/>
      <c r="C59" s="3110"/>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1200">
        <f t="shared" si="11"/>
        <v>0</v>
      </c>
      <c r="AW59" s="1200">
        <f t="shared" si="12"/>
        <v>0</v>
      </c>
      <c r="AX59" s="1200">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9"/>
      <c r="B60" s="3110"/>
      <c r="C60" s="3110"/>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1200">
        <f t="shared" si="11"/>
        <v>0</v>
      </c>
      <c r="AW60" s="1200">
        <f t="shared" si="12"/>
        <v>0</v>
      </c>
      <c r="AX60" s="1200">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9"/>
      <c r="B61" s="3110"/>
      <c r="C61" s="3110"/>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1200">
        <f t="shared" si="11"/>
        <v>0</v>
      </c>
      <c r="AW61" s="1200">
        <f t="shared" si="12"/>
        <v>0</v>
      </c>
      <c r="AX61" s="1200">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9"/>
      <c r="B62" s="3110"/>
      <c r="C62" s="3110"/>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1200">
        <f t="shared" si="11"/>
        <v>0</v>
      </c>
      <c r="AW62" s="1200">
        <f t="shared" si="12"/>
        <v>0</v>
      </c>
      <c r="AX62" s="1200">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9"/>
      <c r="B63" s="3110"/>
      <c r="C63" s="3110"/>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1200">
        <f t="shared" si="11"/>
        <v>0</v>
      </c>
      <c r="AW63" s="1200">
        <f t="shared" si="12"/>
        <v>0</v>
      </c>
      <c r="AX63" s="1200">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9"/>
      <c r="B64" s="3110"/>
      <c r="C64" s="3110"/>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1200">
        <f t="shared" si="11"/>
        <v>0</v>
      </c>
      <c r="AW64" s="1200">
        <f t="shared" si="12"/>
        <v>0</v>
      </c>
      <c r="AX64" s="1200">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9"/>
      <c r="B65" s="3110"/>
      <c r="C65" s="3110"/>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1200">
        <f t="shared" si="11"/>
        <v>0</v>
      </c>
      <c r="AW65" s="1200">
        <f t="shared" si="12"/>
        <v>0</v>
      </c>
      <c r="AX65" s="1200">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9"/>
      <c r="B66" s="3110"/>
      <c r="C66" s="3110"/>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1200">
        <f t="shared" si="11"/>
        <v>0</v>
      </c>
      <c r="AW66" s="1200">
        <f t="shared" si="12"/>
        <v>0</v>
      </c>
      <c r="AX66" s="1200">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9"/>
      <c r="B67" s="3110"/>
      <c r="C67" s="3110"/>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1200">
        <f t="shared" si="11"/>
        <v>0</v>
      </c>
      <c r="AW67" s="1200">
        <f t="shared" si="12"/>
        <v>0</v>
      </c>
      <c r="AX67" s="1200">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9"/>
      <c r="B68" s="3110"/>
      <c r="C68" s="3110"/>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1200">
        <f t="shared" si="11"/>
        <v>0</v>
      </c>
      <c r="AW68" s="1200">
        <f t="shared" si="12"/>
        <v>0</v>
      </c>
      <c r="AX68" s="1200">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9"/>
      <c r="B69" s="3110"/>
      <c r="C69" s="3110"/>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1200">
        <f t="shared" si="11"/>
        <v>0</v>
      </c>
      <c r="AW69" s="1200">
        <f t="shared" si="12"/>
        <v>0</v>
      </c>
      <c r="AX69" s="1200">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9"/>
      <c r="B70" s="3110"/>
      <c r="C70" s="3110"/>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1200">
        <f t="shared" si="11"/>
        <v>0</v>
      </c>
      <c r="AW70" s="1200">
        <f t="shared" si="12"/>
        <v>0</v>
      </c>
      <c r="AX70" s="1200">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9"/>
      <c r="B71" s="3110"/>
      <c r="C71" s="3110"/>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1200">
        <f t="shared" si="11"/>
        <v>0</v>
      </c>
      <c r="AW71" s="1200">
        <f t="shared" si="12"/>
        <v>0</v>
      </c>
      <c r="AX71" s="1200">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9"/>
      <c r="B72" s="3110"/>
      <c r="C72" s="3110"/>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1200">
        <f t="shared" si="11"/>
        <v>0</v>
      </c>
      <c r="AW72" s="1200">
        <f t="shared" si="12"/>
        <v>0</v>
      </c>
      <c r="AX72" s="1200">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9"/>
      <c r="B73" s="3110"/>
      <c r="C73" s="3110"/>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1200">
        <f t="shared" si="11"/>
        <v>0</v>
      </c>
      <c r="AW73" s="1200">
        <f t="shared" si="12"/>
        <v>0</v>
      </c>
      <c r="AX73" s="1200">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9"/>
      <c r="B74" s="3110"/>
      <c r="C74" s="3110"/>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1200">
        <f t="shared" si="11"/>
        <v>0</v>
      </c>
      <c r="AW74" s="1200">
        <f t="shared" si="12"/>
        <v>0</v>
      </c>
      <c r="AX74" s="1200">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9"/>
      <c r="B75" s="3110"/>
      <c r="C75" s="3110"/>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1200">
        <f t="shared" si="11"/>
        <v>0</v>
      </c>
      <c r="AW75" s="1200">
        <f t="shared" si="12"/>
        <v>0</v>
      </c>
      <c r="AX75" s="1200">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9"/>
      <c r="B76" s="3110"/>
      <c r="C76" s="3110"/>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1200">
        <f t="shared" si="11"/>
        <v>0</v>
      </c>
      <c r="AW76" s="1200">
        <f t="shared" si="12"/>
        <v>0</v>
      </c>
      <c r="AX76" s="1200">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9"/>
      <c r="B77" s="3110"/>
      <c r="C77" s="3110"/>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1200">
        <f t="shared" si="11"/>
        <v>0</v>
      </c>
      <c r="AW77" s="1200">
        <f t="shared" si="12"/>
        <v>0</v>
      </c>
      <c r="AX77" s="1200">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9"/>
      <c r="B78" s="3110"/>
      <c r="C78" s="3110"/>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1200">
        <f t="shared" si="11"/>
        <v>0</v>
      </c>
      <c r="AW78" s="1200">
        <f t="shared" si="12"/>
        <v>0</v>
      </c>
      <c r="AX78" s="1200">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9"/>
      <c r="B79" s="3110"/>
      <c r="C79" s="3110"/>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1200">
        <f t="shared" si="11"/>
        <v>0</v>
      </c>
      <c r="AW79" s="1200">
        <f t="shared" si="12"/>
        <v>0</v>
      </c>
      <c r="AX79" s="1200">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9"/>
      <c r="B80" s="3110"/>
      <c r="C80" s="3110"/>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1200">
        <f t="shared" si="11"/>
        <v>0</v>
      </c>
      <c r="AW80" s="1200">
        <f t="shared" si="12"/>
        <v>0</v>
      </c>
      <c r="AX80" s="1200">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9"/>
      <c r="B81" s="3110"/>
      <c r="C81" s="3110"/>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1200">
        <f t="shared" si="11"/>
        <v>0</v>
      </c>
      <c r="AW81" s="1200">
        <f t="shared" si="12"/>
        <v>0</v>
      </c>
      <c r="AX81" s="1200">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9"/>
      <c r="B82" s="3110"/>
      <c r="C82" s="3110"/>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1200">
        <f t="shared" si="11"/>
        <v>0</v>
      </c>
      <c r="AW82" s="1200">
        <f t="shared" si="12"/>
        <v>0</v>
      </c>
      <c r="AX82" s="1200">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9"/>
      <c r="B83" s="3110"/>
      <c r="C83" s="3110"/>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1200">
        <f t="shared" si="11"/>
        <v>0</v>
      </c>
      <c r="AW83" s="1200">
        <f t="shared" si="12"/>
        <v>0</v>
      </c>
      <c r="AX83" s="1200">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9"/>
      <c r="B84" s="3110"/>
      <c r="C84" s="3110"/>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1200">
        <f t="shared" si="11"/>
        <v>0</v>
      </c>
      <c r="AW84" s="1200">
        <f t="shared" si="12"/>
        <v>0</v>
      </c>
      <c r="AX84" s="1200">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9"/>
      <c r="B85" s="3110"/>
      <c r="C85" s="3110"/>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1200">
        <f t="shared" si="11"/>
        <v>0</v>
      </c>
      <c r="AW85" s="1200">
        <f t="shared" si="12"/>
        <v>0</v>
      </c>
      <c r="AX85" s="1200">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9"/>
      <c r="B86" s="3110"/>
      <c r="C86" s="3110"/>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1200">
        <f t="shared" si="11"/>
        <v>0</v>
      </c>
      <c r="AW86" s="1200">
        <f t="shared" si="12"/>
        <v>0</v>
      </c>
      <c r="AX86" s="1200">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9"/>
      <c r="B87" s="3110"/>
      <c r="C87" s="3110"/>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1200">
        <f t="shared" si="11"/>
        <v>0</v>
      </c>
      <c r="AW87" s="1200">
        <f t="shared" si="12"/>
        <v>0</v>
      </c>
      <c r="AX87" s="1200">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9"/>
      <c r="B88" s="3110"/>
      <c r="C88" s="3110"/>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1200">
        <f t="shared" si="11"/>
        <v>0</v>
      </c>
      <c r="AW88" s="1200">
        <f t="shared" si="12"/>
        <v>0</v>
      </c>
      <c r="AX88" s="1200">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9"/>
      <c r="B89" s="3110"/>
      <c r="C89" s="3110"/>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1200">
        <f t="shared" si="11"/>
        <v>0</v>
      </c>
      <c r="AW89" s="1200">
        <f t="shared" si="12"/>
        <v>0</v>
      </c>
      <c r="AX89" s="1200">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9"/>
      <c r="B90" s="3110"/>
      <c r="C90" s="3110"/>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1200">
        <f t="shared" si="11"/>
        <v>0</v>
      </c>
      <c r="AW90" s="1200">
        <f t="shared" si="12"/>
        <v>0</v>
      </c>
      <c r="AX90" s="1200">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9"/>
      <c r="B91" s="3110"/>
      <c r="C91" s="3110"/>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1200">
        <f t="shared" si="11"/>
        <v>0</v>
      </c>
      <c r="AW91" s="1200">
        <f t="shared" si="12"/>
        <v>0</v>
      </c>
      <c r="AX91" s="1200">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9"/>
      <c r="B92" s="3110"/>
      <c r="C92" s="3110"/>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1200">
        <f t="shared" si="11"/>
        <v>0</v>
      </c>
      <c r="AW92" s="1200">
        <f t="shared" si="12"/>
        <v>0</v>
      </c>
      <c r="AX92" s="1200">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9"/>
      <c r="B93" s="3110"/>
      <c r="C93" s="3110"/>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1200">
        <f t="shared" si="11"/>
        <v>0</v>
      </c>
      <c r="AW93" s="1200">
        <f t="shared" si="12"/>
        <v>0</v>
      </c>
      <c r="AX93" s="1200">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9"/>
      <c r="B94" s="3110"/>
      <c r="C94" s="3110"/>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1200">
        <f t="shared" si="11"/>
        <v>0</v>
      </c>
      <c r="AW94" s="1200">
        <f t="shared" si="12"/>
        <v>0</v>
      </c>
      <c r="AX94" s="1200">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9"/>
      <c r="B95" s="3110"/>
      <c r="C95" s="3110"/>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1200">
        <f t="shared" si="11"/>
        <v>0</v>
      </c>
      <c r="AW95" s="1200">
        <f t="shared" si="12"/>
        <v>0</v>
      </c>
      <c r="AX95" s="1200">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9"/>
      <c r="B96" s="3110"/>
      <c r="C96" s="3110"/>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1200">
        <f t="shared" si="11"/>
        <v>0</v>
      </c>
      <c r="AW96" s="1200">
        <f t="shared" si="12"/>
        <v>0</v>
      </c>
      <c r="AX96" s="1200">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9"/>
      <c r="B97" s="3110"/>
      <c r="C97" s="3110"/>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1200">
        <f t="shared" si="11"/>
        <v>0</v>
      </c>
      <c r="AW97" s="1200">
        <f t="shared" si="12"/>
        <v>0</v>
      </c>
      <c r="AX97" s="1200">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9"/>
      <c r="B98" s="3110"/>
      <c r="C98" s="3110"/>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1200">
        <f t="shared" si="11"/>
        <v>0</v>
      </c>
      <c r="AW98" s="1200">
        <f t="shared" si="12"/>
        <v>0</v>
      </c>
      <c r="AX98" s="1200">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9"/>
      <c r="B99" s="3110"/>
      <c r="C99" s="3110"/>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1200">
        <f t="shared" si="11"/>
        <v>0</v>
      </c>
      <c r="AW99" s="1200">
        <f t="shared" si="12"/>
        <v>0</v>
      </c>
      <c r="AX99" s="1200">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9"/>
      <c r="B100" s="3110"/>
      <c r="C100" s="3110"/>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1200">
        <f t="shared" si="11"/>
        <v>0</v>
      </c>
      <c r="AW100" s="1200">
        <f t="shared" si="12"/>
        <v>0</v>
      </c>
      <c r="AX100" s="1200">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9"/>
      <c r="B101" s="3110"/>
      <c r="C101" s="3110"/>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1200">
        <f t="shared" si="11"/>
        <v>0</v>
      </c>
      <c r="AW101" s="1200">
        <f t="shared" si="12"/>
        <v>0</v>
      </c>
      <c r="AX101" s="1200">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9"/>
      <c r="B102" s="3110"/>
      <c r="C102" s="3110"/>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1200">
        <f t="shared" si="11"/>
        <v>0</v>
      </c>
      <c r="AW102" s="1200">
        <f t="shared" si="12"/>
        <v>0</v>
      </c>
      <c r="AX102" s="1200">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9"/>
      <c r="B103" s="3110"/>
      <c r="C103" s="3110"/>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1200">
        <f t="shared" si="11"/>
        <v>0</v>
      </c>
      <c r="AW103" s="1200">
        <f t="shared" si="12"/>
        <v>0</v>
      </c>
      <c r="AX103" s="1200">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9"/>
      <c r="B104" s="3110"/>
      <c r="C104" s="3110"/>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1200">
        <f t="shared" si="11"/>
        <v>0</v>
      </c>
      <c r="AW104" s="1200">
        <f t="shared" si="12"/>
        <v>0</v>
      </c>
      <c r="AX104" s="1200">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9"/>
      <c r="B105" s="3110"/>
      <c r="C105" s="3110"/>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1200">
        <f t="shared" si="11"/>
        <v>0</v>
      </c>
      <c r="AW105" s="1200">
        <f t="shared" si="12"/>
        <v>0</v>
      </c>
      <c r="AX105" s="1200">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9"/>
      <c r="B106" s="3110"/>
      <c r="C106" s="3110"/>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1200">
        <f t="shared" si="11"/>
        <v>0</v>
      </c>
      <c r="AW106" s="1200">
        <f t="shared" si="12"/>
        <v>0</v>
      </c>
      <c r="AX106" s="1200">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9"/>
      <c r="B107" s="3110"/>
      <c r="C107" s="3110"/>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1200">
        <f t="shared" si="11"/>
        <v>0</v>
      </c>
      <c r="AW107" s="1200">
        <f t="shared" si="12"/>
        <v>0</v>
      </c>
      <c r="AX107" s="1200">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9"/>
      <c r="B108" s="3110"/>
      <c r="C108" s="3110"/>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1200">
        <f t="shared" si="11"/>
        <v>0</v>
      </c>
      <c r="AW108" s="1200">
        <f t="shared" si="12"/>
        <v>0</v>
      </c>
      <c r="AX108" s="1200">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9"/>
      <c r="B109" s="3110"/>
      <c r="C109" s="3110"/>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1200">
        <f t="shared" si="11"/>
        <v>0</v>
      </c>
      <c r="AW109" s="1200">
        <f t="shared" si="12"/>
        <v>0</v>
      </c>
      <c r="AX109" s="1200">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9"/>
      <c r="B110" s="3109"/>
      <c r="C110" s="3109"/>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1200">
        <f t="shared" si="11"/>
        <v>0</v>
      </c>
      <c r="AW110" s="1200">
        <f t="shared" si="12"/>
        <v>0</v>
      </c>
      <c r="AX110" s="1200">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9"/>
      <c r="B111" s="3109"/>
      <c r="C111" s="3109"/>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1200">
        <f t="shared" si="11"/>
        <v>0</v>
      </c>
      <c r="AW111" s="1200">
        <f t="shared" si="12"/>
        <v>0</v>
      </c>
      <c r="AX111" s="1200">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9"/>
      <c r="B112" s="3109"/>
      <c r="C112" s="3109"/>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1200">
        <f t="shared" si="11"/>
        <v>0</v>
      </c>
      <c r="AW112" s="1200">
        <f t="shared" si="12"/>
        <v>0</v>
      </c>
      <c r="AX112" s="1200">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9"/>
      <c r="B113" s="3110"/>
      <c r="C113" s="3110"/>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1200">
        <f t="shared" ref="AV113:AV144" si="62">A113</f>
        <v>0</v>
      </c>
      <c r="AW113" s="1200">
        <f t="shared" ref="AW113:AW144" si="63">B113</f>
        <v>0</v>
      </c>
      <c r="AX113" s="1200">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9"/>
      <c r="B114" s="3110"/>
      <c r="C114" s="3110"/>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1200">
        <f t="shared" si="62"/>
        <v>0</v>
      </c>
      <c r="AW114" s="1200">
        <f t="shared" si="63"/>
        <v>0</v>
      </c>
      <c r="AX114" s="1200">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9"/>
      <c r="B115" s="3110"/>
      <c r="C115" s="3110"/>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1200">
        <f t="shared" si="62"/>
        <v>0</v>
      </c>
      <c r="AW115" s="1200">
        <f t="shared" si="63"/>
        <v>0</v>
      </c>
      <c r="AX115" s="1200">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9"/>
      <c r="B116" s="3110"/>
      <c r="C116" s="3110"/>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1200">
        <f t="shared" si="62"/>
        <v>0</v>
      </c>
      <c r="AW116" s="1200">
        <f t="shared" si="63"/>
        <v>0</v>
      </c>
      <c r="AX116" s="1200">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9"/>
      <c r="B117" s="3110"/>
      <c r="C117" s="3110"/>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1200">
        <f t="shared" si="62"/>
        <v>0</v>
      </c>
      <c r="AW117" s="1200">
        <f t="shared" si="63"/>
        <v>0</v>
      </c>
      <c r="AX117" s="1200">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9"/>
      <c r="B118" s="3110"/>
      <c r="C118" s="3110"/>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1200">
        <f t="shared" si="62"/>
        <v>0</v>
      </c>
      <c r="AW118" s="1200">
        <f t="shared" si="63"/>
        <v>0</v>
      </c>
      <c r="AX118" s="1200">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9"/>
      <c r="B119" s="3110"/>
      <c r="C119" s="3110"/>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1200">
        <f t="shared" si="62"/>
        <v>0</v>
      </c>
      <c r="AW119" s="1200">
        <f t="shared" si="63"/>
        <v>0</v>
      </c>
      <c r="AX119" s="1200">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9"/>
      <c r="B120" s="3110"/>
      <c r="C120" s="3110"/>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1200">
        <f t="shared" si="62"/>
        <v>0</v>
      </c>
      <c r="AW120" s="1200">
        <f t="shared" si="63"/>
        <v>0</v>
      </c>
      <c r="AX120" s="1200">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9"/>
      <c r="B121" s="3110"/>
      <c r="C121" s="3110"/>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1200">
        <f t="shared" si="62"/>
        <v>0</v>
      </c>
      <c r="AW121" s="1200">
        <f t="shared" si="63"/>
        <v>0</v>
      </c>
      <c r="AX121" s="1200">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9"/>
      <c r="B122" s="3110"/>
      <c r="C122" s="3110"/>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1200">
        <f t="shared" si="62"/>
        <v>0</v>
      </c>
      <c r="AW122" s="1200">
        <f t="shared" si="63"/>
        <v>0</v>
      </c>
      <c r="AX122" s="1200">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9"/>
      <c r="B123" s="3110"/>
      <c r="C123" s="3110"/>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1200">
        <f t="shared" si="62"/>
        <v>0</v>
      </c>
      <c r="AW123" s="1200">
        <f t="shared" si="63"/>
        <v>0</v>
      </c>
      <c r="AX123" s="1200">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9"/>
      <c r="B124" s="3110"/>
      <c r="C124" s="3110"/>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1200">
        <f t="shared" si="62"/>
        <v>0</v>
      </c>
      <c r="AW124" s="1200">
        <f t="shared" si="63"/>
        <v>0</v>
      </c>
      <c r="AX124" s="1200">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9"/>
      <c r="B125" s="3110"/>
      <c r="C125" s="3110"/>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1200">
        <f t="shared" si="62"/>
        <v>0</v>
      </c>
      <c r="AW125" s="1200">
        <f t="shared" si="63"/>
        <v>0</v>
      </c>
      <c r="AX125" s="1200">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9"/>
      <c r="B126" s="3110"/>
      <c r="C126" s="3110"/>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1200">
        <f t="shared" si="62"/>
        <v>0</v>
      </c>
      <c r="AW126" s="1200">
        <f t="shared" si="63"/>
        <v>0</v>
      </c>
      <c r="AX126" s="1200">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9"/>
      <c r="B127" s="3110"/>
      <c r="C127" s="3110"/>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1200">
        <f t="shared" si="62"/>
        <v>0</v>
      </c>
      <c r="AW127" s="1200">
        <f t="shared" si="63"/>
        <v>0</v>
      </c>
      <c r="AX127" s="1200">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9"/>
      <c r="B128" s="3110"/>
      <c r="C128" s="3110"/>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1200">
        <f t="shared" si="62"/>
        <v>0</v>
      </c>
      <c r="AW128" s="1200">
        <f t="shared" si="63"/>
        <v>0</v>
      </c>
      <c r="AX128" s="1200">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9"/>
      <c r="B129" s="3110"/>
      <c r="C129" s="3110"/>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1200">
        <f t="shared" si="62"/>
        <v>0</v>
      </c>
      <c r="AW129" s="1200">
        <f t="shared" si="63"/>
        <v>0</v>
      </c>
      <c r="AX129" s="1200">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9"/>
      <c r="B130" s="3110"/>
      <c r="C130" s="3110"/>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1200">
        <f t="shared" si="62"/>
        <v>0</v>
      </c>
      <c r="AW130" s="1200">
        <f t="shared" si="63"/>
        <v>0</v>
      </c>
      <c r="AX130" s="1200">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9"/>
      <c r="B131" s="3110"/>
      <c r="C131" s="3110"/>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1200">
        <f t="shared" si="62"/>
        <v>0</v>
      </c>
      <c r="AW131" s="1200">
        <f t="shared" si="63"/>
        <v>0</v>
      </c>
      <c r="AX131" s="1200">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9"/>
      <c r="B132" s="3110"/>
      <c r="C132" s="3110"/>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1200">
        <f t="shared" si="62"/>
        <v>0</v>
      </c>
      <c r="AW132" s="1200">
        <f t="shared" si="63"/>
        <v>0</v>
      </c>
      <c r="AX132" s="1200">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9"/>
      <c r="B133" s="3110"/>
      <c r="C133" s="3110"/>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1200">
        <f t="shared" si="62"/>
        <v>0</v>
      </c>
      <c r="AW133" s="1200">
        <f t="shared" si="63"/>
        <v>0</v>
      </c>
      <c r="AX133" s="1200">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9"/>
      <c r="B134" s="3110"/>
      <c r="C134" s="3110"/>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1200">
        <f t="shared" si="62"/>
        <v>0</v>
      </c>
      <c r="AW134" s="1200">
        <f t="shared" si="63"/>
        <v>0</v>
      </c>
      <c r="AX134" s="1200">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9"/>
      <c r="B135" s="3110"/>
      <c r="C135" s="3110"/>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1200">
        <f t="shared" si="62"/>
        <v>0</v>
      </c>
      <c r="AW135" s="1200">
        <f t="shared" si="63"/>
        <v>0</v>
      </c>
      <c r="AX135" s="1200">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9"/>
      <c r="B136" s="3110"/>
      <c r="C136" s="3110"/>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1200">
        <f t="shared" si="62"/>
        <v>0</v>
      </c>
      <c r="AW136" s="1200">
        <f t="shared" si="63"/>
        <v>0</v>
      </c>
      <c r="AX136" s="1200">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9"/>
      <c r="B137" s="3110"/>
      <c r="C137" s="3110"/>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1200">
        <f t="shared" si="62"/>
        <v>0</v>
      </c>
      <c r="AW137" s="1200">
        <f t="shared" si="63"/>
        <v>0</v>
      </c>
      <c r="AX137" s="1200">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9"/>
      <c r="B138" s="3110"/>
      <c r="C138" s="3110"/>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1200">
        <f t="shared" si="62"/>
        <v>0</v>
      </c>
      <c r="AW138" s="1200">
        <f t="shared" si="63"/>
        <v>0</v>
      </c>
      <c r="AX138" s="1200">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9"/>
      <c r="B139" s="3110"/>
      <c r="C139" s="3110"/>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1200">
        <f t="shared" si="62"/>
        <v>0</v>
      </c>
      <c r="AW139" s="1200">
        <f t="shared" si="63"/>
        <v>0</v>
      </c>
      <c r="AX139" s="1200">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9"/>
      <c r="B140" s="3110"/>
      <c r="C140" s="3110"/>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1200">
        <f t="shared" si="62"/>
        <v>0</v>
      </c>
      <c r="AW140" s="1200">
        <f t="shared" si="63"/>
        <v>0</v>
      </c>
      <c r="AX140" s="1200">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9"/>
      <c r="B141" s="3110"/>
      <c r="C141" s="3110"/>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1200">
        <f t="shared" si="62"/>
        <v>0</v>
      </c>
      <c r="AW141" s="1200">
        <f t="shared" si="63"/>
        <v>0</v>
      </c>
      <c r="AX141" s="1200">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9"/>
      <c r="B142" s="3110"/>
      <c r="C142" s="3110"/>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1200">
        <f t="shared" si="62"/>
        <v>0</v>
      </c>
      <c r="AW142" s="1200">
        <f t="shared" si="63"/>
        <v>0</v>
      </c>
      <c r="AX142" s="1200">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9"/>
      <c r="B143" s="3110"/>
      <c r="C143" s="3110"/>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1200">
        <f t="shared" si="62"/>
        <v>0</v>
      </c>
      <c r="AW143" s="1200">
        <f t="shared" si="63"/>
        <v>0</v>
      </c>
      <c r="AX143" s="1200">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9"/>
      <c r="B144" s="3110"/>
      <c r="C144" s="3110"/>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1200">
        <f t="shared" si="62"/>
        <v>0</v>
      </c>
      <c r="AW144" s="1200">
        <f t="shared" si="63"/>
        <v>0</v>
      </c>
      <c r="AX144" s="1200">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9"/>
      <c r="B145" s="3110"/>
      <c r="C145" s="3110"/>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1200">
        <f t="shared" ref="AV145:AV176" si="91">A145</f>
        <v>0</v>
      </c>
      <c r="AW145" s="1200">
        <f t="shared" ref="AW145:AW176" si="92">B145</f>
        <v>0</v>
      </c>
      <c r="AX145" s="1200">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9"/>
      <c r="B146" s="3110"/>
      <c r="C146" s="3110"/>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1200">
        <f t="shared" si="91"/>
        <v>0</v>
      </c>
      <c r="AW146" s="1200">
        <f t="shared" si="92"/>
        <v>0</v>
      </c>
      <c r="AX146" s="1200">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9"/>
      <c r="B147" s="3110"/>
      <c r="C147" s="3110"/>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1200">
        <f t="shared" si="91"/>
        <v>0</v>
      </c>
      <c r="AW147" s="1200">
        <f t="shared" si="92"/>
        <v>0</v>
      </c>
      <c r="AX147" s="1200">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9"/>
      <c r="B148" s="3110"/>
      <c r="C148" s="3110"/>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1200">
        <f t="shared" si="91"/>
        <v>0</v>
      </c>
      <c r="AW148" s="1200">
        <f t="shared" si="92"/>
        <v>0</v>
      </c>
      <c r="AX148" s="1200">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9"/>
      <c r="B149" s="3110"/>
      <c r="C149" s="3110"/>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1200">
        <f t="shared" si="91"/>
        <v>0</v>
      </c>
      <c r="AW149" s="1200">
        <f t="shared" si="92"/>
        <v>0</v>
      </c>
      <c r="AX149" s="1200">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9"/>
      <c r="B150" s="3110"/>
      <c r="C150" s="3110"/>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1200">
        <f t="shared" si="91"/>
        <v>0</v>
      </c>
      <c r="AW150" s="1200">
        <f t="shared" si="92"/>
        <v>0</v>
      </c>
      <c r="AX150" s="1200">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9"/>
      <c r="B151" s="3110"/>
      <c r="C151" s="3110"/>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1200">
        <f t="shared" si="91"/>
        <v>0</v>
      </c>
      <c r="AW151" s="1200">
        <f t="shared" si="92"/>
        <v>0</v>
      </c>
      <c r="AX151" s="1200">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9"/>
      <c r="B152" s="3110"/>
      <c r="C152" s="3110"/>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1200">
        <f t="shared" si="91"/>
        <v>0</v>
      </c>
      <c r="AW152" s="1200">
        <f t="shared" si="92"/>
        <v>0</v>
      </c>
      <c r="AX152" s="1200">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9"/>
      <c r="B153" s="3110"/>
      <c r="C153" s="3110"/>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1200">
        <f t="shared" si="91"/>
        <v>0</v>
      </c>
      <c r="AW153" s="1200">
        <f t="shared" si="92"/>
        <v>0</v>
      </c>
      <c r="AX153" s="1200">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9"/>
      <c r="B154" s="3110"/>
      <c r="C154" s="3110"/>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1200">
        <f t="shared" si="91"/>
        <v>0</v>
      </c>
      <c r="AW154" s="1200">
        <f t="shared" si="92"/>
        <v>0</v>
      </c>
      <c r="AX154" s="1200">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9"/>
      <c r="B155" s="3110"/>
      <c r="C155" s="3110"/>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1200">
        <f t="shared" si="91"/>
        <v>0</v>
      </c>
      <c r="AW155" s="1200">
        <f t="shared" si="92"/>
        <v>0</v>
      </c>
      <c r="AX155" s="1200">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9"/>
      <c r="B156" s="3110"/>
      <c r="C156" s="3110"/>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1200">
        <f t="shared" si="91"/>
        <v>0</v>
      </c>
      <c r="AW156" s="1200">
        <f t="shared" si="92"/>
        <v>0</v>
      </c>
      <c r="AX156" s="1200">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9"/>
      <c r="B157" s="3110"/>
      <c r="C157" s="3110"/>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1200">
        <f t="shared" si="91"/>
        <v>0</v>
      </c>
      <c r="AW157" s="1200">
        <f t="shared" si="92"/>
        <v>0</v>
      </c>
      <c r="AX157" s="1200">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9"/>
      <c r="B158" s="3110"/>
      <c r="C158" s="3110"/>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1200">
        <f t="shared" si="91"/>
        <v>0</v>
      </c>
      <c r="AW158" s="1200">
        <f t="shared" si="92"/>
        <v>0</v>
      </c>
      <c r="AX158" s="1200">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9"/>
      <c r="B159" s="3110"/>
      <c r="C159" s="3110"/>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1200">
        <f t="shared" si="91"/>
        <v>0</v>
      </c>
      <c r="AW159" s="1200">
        <f t="shared" si="92"/>
        <v>0</v>
      </c>
      <c r="AX159" s="1200">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9"/>
      <c r="B160" s="3110"/>
      <c r="C160" s="3110"/>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1200">
        <f t="shared" si="91"/>
        <v>0</v>
      </c>
      <c r="AW160" s="1200">
        <f t="shared" si="92"/>
        <v>0</v>
      </c>
      <c r="AX160" s="1200">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9"/>
      <c r="B161" s="3110"/>
      <c r="C161" s="3110"/>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1200">
        <f t="shared" si="91"/>
        <v>0</v>
      </c>
      <c r="AW161" s="1200">
        <f t="shared" si="92"/>
        <v>0</v>
      </c>
      <c r="AX161" s="1200">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9"/>
      <c r="B162" s="3110"/>
      <c r="C162" s="3110"/>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1200">
        <f t="shared" si="91"/>
        <v>0</v>
      </c>
      <c r="AW162" s="1200">
        <f t="shared" si="92"/>
        <v>0</v>
      </c>
      <c r="AX162" s="1200">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9"/>
      <c r="B163" s="3110"/>
      <c r="C163" s="3110"/>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1200">
        <f t="shared" si="91"/>
        <v>0</v>
      </c>
      <c r="AW163" s="1200">
        <f t="shared" si="92"/>
        <v>0</v>
      </c>
      <c r="AX163" s="1200">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9"/>
      <c r="B164" s="3110"/>
      <c r="C164" s="3110"/>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1200">
        <f t="shared" si="91"/>
        <v>0</v>
      </c>
      <c r="AW164" s="1200">
        <f t="shared" si="92"/>
        <v>0</v>
      </c>
      <c r="AX164" s="1200">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9"/>
      <c r="B165" s="3110"/>
      <c r="C165" s="3110"/>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1200">
        <f t="shared" si="91"/>
        <v>0</v>
      </c>
      <c r="AW165" s="1200">
        <f t="shared" si="92"/>
        <v>0</v>
      </c>
      <c r="AX165" s="1200">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9"/>
      <c r="B166" s="3110"/>
      <c r="C166" s="3110"/>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1200">
        <f t="shared" si="91"/>
        <v>0</v>
      </c>
      <c r="AW166" s="1200">
        <f t="shared" si="92"/>
        <v>0</v>
      </c>
      <c r="AX166" s="1200">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9"/>
      <c r="B167" s="3110"/>
      <c r="C167" s="3110"/>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1200">
        <f t="shared" si="91"/>
        <v>0</v>
      </c>
      <c r="AW167" s="1200">
        <f t="shared" si="92"/>
        <v>0</v>
      </c>
      <c r="AX167" s="1200">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9"/>
      <c r="B168" s="3110"/>
      <c r="C168" s="3110"/>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1200">
        <f t="shared" si="91"/>
        <v>0</v>
      </c>
      <c r="AW168" s="1200">
        <f t="shared" si="92"/>
        <v>0</v>
      </c>
      <c r="AX168" s="1200">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9"/>
      <c r="B169" s="3110"/>
      <c r="C169" s="3110"/>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1200">
        <f t="shared" si="91"/>
        <v>0</v>
      </c>
      <c r="AW169" s="1200">
        <f t="shared" si="92"/>
        <v>0</v>
      </c>
      <c r="AX169" s="1200">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9"/>
      <c r="B170" s="3110"/>
      <c r="C170" s="3110"/>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1200">
        <f t="shared" si="91"/>
        <v>0</v>
      </c>
      <c r="AW170" s="1200">
        <f t="shared" si="92"/>
        <v>0</v>
      </c>
      <c r="AX170" s="1200">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9"/>
      <c r="B171" s="3110"/>
      <c r="C171" s="3110"/>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1200">
        <f t="shared" si="91"/>
        <v>0</v>
      </c>
      <c r="AW171" s="1200">
        <f t="shared" si="92"/>
        <v>0</v>
      </c>
      <c r="AX171" s="1200">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9"/>
      <c r="B172" s="3110"/>
      <c r="C172" s="3110"/>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1200">
        <f t="shared" si="91"/>
        <v>0</v>
      </c>
      <c r="AW172" s="1200">
        <f t="shared" si="92"/>
        <v>0</v>
      </c>
      <c r="AX172" s="1200">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9"/>
      <c r="B173" s="3110"/>
      <c r="C173" s="3110"/>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1200">
        <f t="shared" si="91"/>
        <v>0</v>
      </c>
      <c r="AW173" s="1200">
        <f t="shared" si="92"/>
        <v>0</v>
      </c>
      <c r="AX173" s="1200">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9"/>
      <c r="B174" s="3110"/>
      <c r="C174" s="3110"/>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1200">
        <f t="shared" si="91"/>
        <v>0</v>
      </c>
      <c r="AW174" s="1200">
        <f t="shared" si="92"/>
        <v>0</v>
      </c>
      <c r="AX174" s="1200">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9"/>
      <c r="B175" s="3110"/>
      <c r="C175" s="3110"/>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1200">
        <f t="shared" si="91"/>
        <v>0</v>
      </c>
      <c r="AW175" s="1200">
        <f t="shared" si="92"/>
        <v>0</v>
      </c>
      <c r="AX175" s="1200">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9"/>
      <c r="B176" s="3110"/>
      <c r="C176" s="3110"/>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1200">
        <f t="shared" si="91"/>
        <v>0</v>
      </c>
      <c r="AW176" s="1200">
        <f t="shared" si="92"/>
        <v>0</v>
      </c>
      <c r="AX176" s="1200">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9"/>
      <c r="B177" s="3110"/>
      <c r="C177" s="3110"/>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1200">
        <f t="shared" ref="AV177:AV207" si="120">A177</f>
        <v>0</v>
      </c>
      <c r="AW177" s="1200">
        <f t="shared" ref="AW177:AW207" si="121">B177</f>
        <v>0</v>
      </c>
      <c r="AX177" s="1200">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9"/>
      <c r="B178" s="3110"/>
      <c r="C178" s="3110"/>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1200">
        <f t="shared" si="120"/>
        <v>0</v>
      </c>
      <c r="AW178" s="1200">
        <f t="shared" si="121"/>
        <v>0</v>
      </c>
      <c r="AX178" s="1200">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9"/>
      <c r="B179" s="3110"/>
      <c r="C179" s="3110"/>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1200">
        <f t="shared" si="120"/>
        <v>0</v>
      </c>
      <c r="AW179" s="1200">
        <f t="shared" si="121"/>
        <v>0</v>
      </c>
      <c r="AX179" s="1200">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9"/>
      <c r="B180" s="3110"/>
      <c r="C180" s="3110"/>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1200">
        <f t="shared" si="120"/>
        <v>0</v>
      </c>
      <c r="AW180" s="1200">
        <f t="shared" si="121"/>
        <v>0</v>
      </c>
      <c r="AX180" s="1200">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9"/>
      <c r="B181" s="3110"/>
      <c r="C181" s="3110"/>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1200">
        <f t="shared" si="120"/>
        <v>0</v>
      </c>
      <c r="AW181" s="1200">
        <f t="shared" si="121"/>
        <v>0</v>
      </c>
      <c r="AX181" s="1200">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9"/>
      <c r="B182" s="3110"/>
      <c r="C182" s="3110"/>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1200">
        <f t="shared" si="120"/>
        <v>0</v>
      </c>
      <c r="AW182" s="1200">
        <f t="shared" si="121"/>
        <v>0</v>
      </c>
      <c r="AX182" s="1200">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9"/>
      <c r="B183" s="3110"/>
      <c r="C183" s="3110"/>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1200">
        <f t="shared" si="120"/>
        <v>0</v>
      </c>
      <c r="AW183" s="1200">
        <f t="shared" si="121"/>
        <v>0</v>
      </c>
      <c r="AX183" s="1200">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9"/>
      <c r="B184" s="3110"/>
      <c r="C184" s="3110"/>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1200">
        <f t="shared" si="120"/>
        <v>0</v>
      </c>
      <c r="AW184" s="1200">
        <f t="shared" si="121"/>
        <v>0</v>
      </c>
      <c r="AX184" s="1200">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9"/>
      <c r="B185" s="3110"/>
      <c r="C185" s="3110"/>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1200">
        <f t="shared" si="120"/>
        <v>0</v>
      </c>
      <c r="AW185" s="1200">
        <f t="shared" si="121"/>
        <v>0</v>
      </c>
      <c r="AX185" s="1200">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9"/>
      <c r="B186" s="3110"/>
      <c r="C186" s="3110"/>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1200">
        <f t="shared" si="120"/>
        <v>0</v>
      </c>
      <c r="AW186" s="1200">
        <f t="shared" si="121"/>
        <v>0</v>
      </c>
      <c r="AX186" s="1200">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9"/>
      <c r="B187" s="3110"/>
      <c r="C187" s="3110"/>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1200">
        <f t="shared" si="120"/>
        <v>0</v>
      </c>
      <c r="AW187" s="1200">
        <f t="shared" si="121"/>
        <v>0</v>
      </c>
      <c r="AX187" s="1200">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9"/>
      <c r="B188" s="3110"/>
      <c r="C188" s="3110"/>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1200">
        <f t="shared" si="120"/>
        <v>0</v>
      </c>
      <c r="AW188" s="1200">
        <f t="shared" si="121"/>
        <v>0</v>
      </c>
      <c r="AX188" s="1200">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9"/>
      <c r="B189" s="3110"/>
      <c r="C189" s="3110"/>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1200">
        <f t="shared" si="120"/>
        <v>0</v>
      </c>
      <c r="AW189" s="1200">
        <f t="shared" si="121"/>
        <v>0</v>
      </c>
      <c r="AX189" s="1200">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9"/>
      <c r="B190" s="3110"/>
      <c r="C190" s="3110"/>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1200">
        <f t="shared" si="120"/>
        <v>0</v>
      </c>
      <c r="AW190" s="1200">
        <f t="shared" si="121"/>
        <v>0</v>
      </c>
      <c r="AX190" s="1200">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9"/>
      <c r="B191" s="3110"/>
      <c r="C191" s="3110"/>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1200">
        <f t="shared" si="120"/>
        <v>0</v>
      </c>
      <c r="AW191" s="1200">
        <f t="shared" si="121"/>
        <v>0</v>
      </c>
      <c r="AX191" s="1200">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9"/>
      <c r="B192" s="3110"/>
      <c r="C192" s="3110"/>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1200">
        <f t="shared" si="120"/>
        <v>0</v>
      </c>
      <c r="AW192" s="1200">
        <f t="shared" si="121"/>
        <v>0</v>
      </c>
      <c r="AX192" s="1200">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9"/>
      <c r="B193" s="3110"/>
      <c r="C193" s="3110"/>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1200">
        <f t="shared" si="120"/>
        <v>0</v>
      </c>
      <c r="AW193" s="1200">
        <f t="shared" si="121"/>
        <v>0</v>
      </c>
      <c r="AX193" s="1200">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9"/>
      <c r="B194" s="3110"/>
      <c r="C194" s="3110"/>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1200">
        <f t="shared" si="120"/>
        <v>0</v>
      </c>
      <c r="AW194" s="1200">
        <f t="shared" si="121"/>
        <v>0</v>
      </c>
      <c r="AX194" s="1200">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9"/>
      <c r="B195" s="3110"/>
      <c r="C195" s="3110"/>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1200">
        <f t="shared" si="120"/>
        <v>0</v>
      </c>
      <c r="AW195" s="1200">
        <f t="shared" si="121"/>
        <v>0</v>
      </c>
      <c r="AX195" s="1200">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9"/>
      <c r="B196" s="3110"/>
      <c r="C196" s="3110"/>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1200">
        <f t="shared" si="120"/>
        <v>0</v>
      </c>
      <c r="AW196" s="1200">
        <f t="shared" si="121"/>
        <v>0</v>
      </c>
      <c r="AX196" s="1200">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9"/>
      <c r="B197" s="3110"/>
      <c r="C197" s="3110"/>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1200">
        <f t="shared" si="120"/>
        <v>0</v>
      </c>
      <c r="AW197" s="1200">
        <f t="shared" si="121"/>
        <v>0</v>
      </c>
      <c r="AX197" s="1200">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9"/>
      <c r="B198" s="3110"/>
      <c r="C198" s="3110"/>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1200">
        <f t="shared" si="120"/>
        <v>0</v>
      </c>
      <c r="AW198" s="1200">
        <f t="shared" si="121"/>
        <v>0</v>
      </c>
      <c r="AX198" s="1200">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9"/>
      <c r="B199" s="3110"/>
      <c r="C199" s="3110"/>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1200">
        <f t="shared" si="120"/>
        <v>0</v>
      </c>
      <c r="AW199" s="1200">
        <f t="shared" si="121"/>
        <v>0</v>
      </c>
      <c r="AX199" s="1200">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9"/>
      <c r="B200" s="3110"/>
      <c r="C200" s="3110"/>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1200">
        <f t="shared" si="120"/>
        <v>0</v>
      </c>
      <c r="AW200" s="1200">
        <f t="shared" si="121"/>
        <v>0</v>
      </c>
      <c r="AX200" s="1200">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9"/>
      <c r="B201" s="3110"/>
      <c r="C201" s="3110"/>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1200">
        <f t="shared" si="120"/>
        <v>0</v>
      </c>
      <c r="AW201" s="1200">
        <f t="shared" si="121"/>
        <v>0</v>
      </c>
      <c r="AX201" s="1200">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9"/>
      <c r="B202" s="3110"/>
      <c r="C202" s="3110"/>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1200">
        <f t="shared" si="120"/>
        <v>0</v>
      </c>
      <c r="AW202" s="1200">
        <f t="shared" si="121"/>
        <v>0</v>
      </c>
      <c r="AX202" s="1200">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9"/>
      <c r="B203" s="3110"/>
      <c r="C203" s="3110"/>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1200">
        <f t="shared" si="120"/>
        <v>0</v>
      </c>
      <c r="AW203" s="1200">
        <f t="shared" si="121"/>
        <v>0</v>
      </c>
      <c r="AX203" s="1200">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9"/>
      <c r="B204" s="3110"/>
      <c r="C204" s="3110"/>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1200">
        <f t="shared" si="120"/>
        <v>0</v>
      </c>
      <c r="AW204" s="1200">
        <f t="shared" si="121"/>
        <v>0</v>
      </c>
      <c r="AX204" s="1200">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9"/>
      <c r="B205" s="3109"/>
      <c r="C205" s="3109"/>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1200">
        <f t="shared" si="120"/>
        <v>0</v>
      </c>
      <c r="AW205" s="1200">
        <f t="shared" si="121"/>
        <v>0</v>
      </c>
      <c r="AX205" s="1200">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9"/>
      <c r="B206" s="3109"/>
      <c r="C206" s="3109"/>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1200">
        <f t="shared" si="120"/>
        <v>0</v>
      </c>
      <c r="AW206" s="1200">
        <f t="shared" si="121"/>
        <v>0</v>
      </c>
      <c r="AX206" s="1200">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9"/>
      <c r="B207" s="3109"/>
      <c r="C207" s="3109"/>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1200">
        <f t="shared" si="120"/>
        <v>0</v>
      </c>
      <c r="AW207" s="1200">
        <f t="shared" si="121"/>
        <v>0</v>
      </c>
      <c r="AX207" s="1200">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9"/>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1200">
        <f t="shared" ref="AV208:AV302" si="127">A208</f>
        <v>0</v>
      </c>
      <c r="AW208" s="1200">
        <f t="shared" ref="AW208:AW302" si="128">B208</f>
        <v>0</v>
      </c>
      <c r="AX208" s="1200">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9"/>
      <c r="B209" s="3110"/>
      <c r="C209" s="3110"/>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1200">
        <f t="shared" si="127"/>
        <v>0</v>
      </c>
      <c r="AW209" s="1200">
        <f t="shared" si="128"/>
        <v>0</v>
      </c>
      <c r="AX209" s="1200">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9"/>
      <c r="B210" s="3110"/>
      <c r="C210" s="3110"/>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1200">
        <f t="shared" si="127"/>
        <v>0</v>
      </c>
      <c r="AW210" s="1200">
        <f t="shared" si="128"/>
        <v>0</v>
      </c>
      <c r="AX210" s="1200">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9"/>
      <c r="B211" s="3110"/>
      <c r="C211" s="3110"/>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1200">
        <f t="shared" si="127"/>
        <v>0</v>
      </c>
      <c r="AW211" s="1200">
        <f t="shared" si="128"/>
        <v>0</v>
      </c>
      <c r="AX211" s="1200">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9"/>
      <c r="B212" s="3110"/>
      <c r="C212" s="3110"/>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1200">
        <f t="shared" si="127"/>
        <v>0</v>
      </c>
      <c r="AW212" s="1200">
        <f t="shared" si="128"/>
        <v>0</v>
      </c>
      <c r="AX212" s="1200">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9"/>
      <c r="B213" s="3110"/>
      <c r="C213" s="3110"/>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1200">
        <f t="shared" si="127"/>
        <v>0</v>
      </c>
      <c r="AW213" s="1200">
        <f t="shared" si="128"/>
        <v>0</v>
      </c>
      <c r="AX213" s="1200">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9"/>
      <c r="B214" s="3110"/>
      <c r="C214" s="3110"/>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1200">
        <f t="shared" si="127"/>
        <v>0</v>
      </c>
      <c r="AW214" s="1200">
        <f t="shared" si="128"/>
        <v>0</v>
      </c>
      <c r="AX214" s="1200">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9"/>
      <c r="B215" s="3110"/>
      <c r="C215" s="3110"/>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1200">
        <f t="shared" si="127"/>
        <v>0</v>
      </c>
      <c r="AW215" s="1200">
        <f t="shared" si="128"/>
        <v>0</v>
      </c>
      <c r="AX215" s="1200">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9"/>
      <c r="B216" s="3110"/>
      <c r="C216" s="3110"/>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1200">
        <f t="shared" si="127"/>
        <v>0</v>
      </c>
      <c r="AW216" s="1200">
        <f t="shared" si="128"/>
        <v>0</v>
      </c>
      <c r="AX216" s="1200">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9"/>
      <c r="B217" s="3110"/>
      <c r="C217" s="3110"/>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1200">
        <f t="shared" si="127"/>
        <v>0</v>
      </c>
      <c r="AW217" s="1200">
        <f t="shared" si="128"/>
        <v>0</v>
      </c>
      <c r="AX217" s="1200">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9"/>
      <c r="B218" s="3110"/>
      <c r="C218" s="3110"/>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1200">
        <f t="shared" si="127"/>
        <v>0</v>
      </c>
      <c r="AW218" s="1200">
        <f t="shared" si="128"/>
        <v>0</v>
      </c>
      <c r="AX218" s="1200">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9"/>
      <c r="B219" s="3110"/>
      <c r="C219" s="3110"/>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1200">
        <f t="shared" si="127"/>
        <v>0</v>
      </c>
      <c r="AW219" s="1200">
        <f t="shared" si="128"/>
        <v>0</v>
      </c>
      <c r="AX219" s="1200">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9"/>
      <c r="B220" s="3110"/>
      <c r="C220" s="3110"/>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1200">
        <f t="shared" si="127"/>
        <v>0</v>
      </c>
      <c r="AW220" s="1200">
        <f t="shared" si="128"/>
        <v>0</v>
      </c>
      <c r="AX220" s="1200">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9"/>
      <c r="B221" s="3110"/>
      <c r="C221" s="3110"/>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1200">
        <f t="shared" si="127"/>
        <v>0</v>
      </c>
      <c r="AW221" s="1200">
        <f t="shared" si="128"/>
        <v>0</v>
      </c>
      <c r="AX221" s="1200">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9"/>
      <c r="B222" s="3110"/>
      <c r="C222" s="3110"/>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1200">
        <f t="shared" si="127"/>
        <v>0</v>
      </c>
      <c r="AW222" s="1200">
        <f t="shared" si="128"/>
        <v>0</v>
      </c>
      <c r="AX222" s="1200">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9"/>
      <c r="B223" s="3110"/>
      <c r="C223" s="3110"/>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1200">
        <f t="shared" si="127"/>
        <v>0</v>
      </c>
      <c r="AW223" s="1200">
        <f t="shared" si="128"/>
        <v>0</v>
      </c>
      <c r="AX223" s="1200">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9"/>
      <c r="B224" s="3110"/>
      <c r="C224" s="3110"/>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1200">
        <f t="shared" si="127"/>
        <v>0</v>
      </c>
      <c r="AW224" s="1200">
        <f t="shared" si="128"/>
        <v>0</v>
      </c>
      <c r="AX224" s="1200">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9"/>
      <c r="B225" s="3110"/>
      <c r="C225" s="3110"/>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1200">
        <f t="shared" si="127"/>
        <v>0</v>
      </c>
      <c r="AW225" s="1200">
        <f t="shared" si="128"/>
        <v>0</v>
      </c>
      <c r="AX225" s="1200">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9"/>
      <c r="B226" s="3110"/>
      <c r="C226" s="3110"/>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1200">
        <f t="shared" si="127"/>
        <v>0</v>
      </c>
      <c r="AW226" s="1200">
        <f t="shared" si="128"/>
        <v>0</v>
      </c>
      <c r="AX226" s="1200">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9"/>
      <c r="B227" s="3110"/>
      <c r="C227" s="3110"/>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1200">
        <f t="shared" si="127"/>
        <v>0</v>
      </c>
      <c r="AW227" s="1200">
        <f t="shared" si="128"/>
        <v>0</v>
      </c>
      <c r="AX227" s="1200">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9"/>
      <c r="B228" s="3110"/>
      <c r="C228" s="3110"/>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1200">
        <f t="shared" si="127"/>
        <v>0</v>
      </c>
      <c r="AW228" s="1200">
        <f t="shared" si="128"/>
        <v>0</v>
      </c>
      <c r="AX228" s="1200">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9"/>
      <c r="B229" s="3110"/>
      <c r="C229" s="3110"/>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1200">
        <f t="shared" si="127"/>
        <v>0</v>
      </c>
      <c r="AW229" s="1200">
        <f t="shared" si="128"/>
        <v>0</v>
      </c>
      <c r="AX229" s="1200">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9"/>
      <c r="B230" s="3110"/>
      <c r="C230" s="3110"/>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1200">
        <f t="shared" si="127"/>
        <v>0</v>
      </c>
      <c r="AW230" s="1200">
        <f t="shared" si="128"/>
        <v>0</v>
      </c>
      <c r="AX230" s="1200">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9"/>
      <c r="B231" s="3110"/>
      <c r="C231" s="3110"/>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1200">
        <f t="shared" si="127"/>
        <v>0</v>
      </c>
      <c r="AW231" s="1200">
        <f t="shared" si="128"/>
        <v>0</v>
      </c>
      <c r="AX231" s="1200">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9"/>
      <c r="B232" s="3110"/>
      <c r="C232" s="3110"/>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1200">
        <f t="shared" si="127"/>
        <v>0</v>
      </c>
      <c r="AW232" s="1200">
        <f t="shared" si="128"/>
        <v>0</v>
      </c>
      <c r="AX232" s="1200">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9"/>
      <c r="B233" s="3110"/>
      <c r="C233" s="3110"/>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1200">
        <f t="shared" si="127"/>
        <v>0</v>
      </c>
      <c r="AW233" s="1200">
        <f t="shared" si="128"/>
        <v>0</v>
      </c>
      <c r="AX233" s="1200">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9"/>
      <c r="B234" s="3110"/>
      <c r="C234" s="3110"/>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1200">
        <f t="shared" si="127"/>
        <v>0</v>
      </c>
      <c r="AW234" s="1200">
        <f t="shared" si="128"/>
        <v>0</v>
      </c>
      <c r="AX234" s="1200">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9"/>
      <c r="B235" s="3110"/>
      <c r="C235" s="3110"/>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1200">
        <f t="shared" si="127"/>
        <v>0</v>
      </c>
      <c r="AW235" s="1200">
        <f t="shared" si="128"/>
        <v>0</v>
      </c>
      <c r="AX235" s="1200">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9"/>
      <c r="B236" s="3110"/>
      <c r="C236" s="3110"/>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1200">
        <f t="shared" si="127"/>
        <v>0</v>
      </c>
      <c r="AW236" s="1200">
        <f t="shared" si="128"/>
        <v>0</v>
      </c>
      <c r="AX236" s="1200">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9"/>
      <c r="B237" s="3110"/>
      <c r="C237" s="3110"/>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1200">
        <f t="shared" si="127"/>
        <v>0</v>
      </c>
      <c r="AW237" s="1200">
        <f t="shared" si="128"/>
        <v>0</v>
      </c>
      <c r="AX237" s="1200">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9"/>
      <c r="B238" s="3110"/>
      <c r="C238" s="3110"/>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1200">
        <f t="shared" si="127"/>
        <v>0</v>
      </c>
      <c r="AW238" s="1200">
        <f t="shared" si="128"/>
        <v>0</v>
      </c>
      <c r="AX238" s="1200">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9"/>
      <c r="B239" s="3110"/>
      <c r="C239" s="3110"/>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1200">
        <f t="shared" si="127"/>
        <v>0</v>
      </c>
      <c r="AW239" s="1200">
        <f t="shared" si="128"/>
        <v>0</v>
      </c>
      <c r="AX239" s="1200">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9"/>
      <c r="B240" s="3110"/>
      <c r="C240" s="3110"/>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1200">
        <f t="shared" si="127"/>
        <v>0</v>
      </c>
      <c r="AW240" s="1200">
        <f t="shared" si="128"/>
        <v>0</v>
      </c>
      <c r="AX240" s="1200">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9"/>
      <c r="B241" s="3110"/>
      <c r="C241" s="3110"/>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1200">
        <f t="shared" si="127"/>
        <v>0</v>
      </c>
      <c r="AW241" s="1200">
        <f t="shared" si="128"/>
        <v>0</v>
      </c>
      <c r="AX241" s="1200">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9"/>
      <c r="B242" s="3110"/>
      <c r="C242" s="3110"/>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1200">
        <f t="shared" si="127"/>
        <v>0</v>
      </c>
      <c r="AW242" s="1200">
        <f t="shared" si="128"/>
        <v>0</v>
      </c>
      <c r="AX242" s="1200">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9"/>
      <c r="B243" s="3110"/>
      <c r="C243" s="3110"/>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1200">
        <f t="shared" si="127"/>
        <v>0</v>
      </c>
      <c r="AW243" s="1200">
        <f t="shared" si="128"/>
        <v>0</v>
      </c>
      <c r="AX243" s="1200">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9"/>
      <c r="B244" s="3110"/>
      <c r="C244" s="3110"/>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1200">
        <f t="shared" si="127"/>
        <v>0</v>
      </c>
      <c r="AW244" s="1200">
        <f t="shared" si="128"/>
        <v>0</v>
      </c>
      <c r="AX244" s="1200">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9"/>
      <c r="B245" s="3110"/>
      <c r="C245" s="3110"/>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1200">
        <f t="shared" si="127"/>
        <v>0</v>
      </c>
      <c r="AW245" s="1200">
        <f t="shared" si="128"/>
        <v>0</v>
      </c>
      <c r="AX245" s="1200">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9"/>
      <c r="B246" s="3110"/>
      <c r="C246" s="3110"/>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1200">
        <f t="shared" si="127"/>
        <v>0</v>
      </c>
      <c r="AW246" s="1200">
        <f t="shared" si="128"/>
        <v>0</v>
      </c>
      <c r="AX246" s="1200">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9"/>
      <c r="B247" s="3110"/>
      <c r="C247" s="3110"/>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1200">
        <f t="shared" si="127"/>
        <v>0</v>
      </c>
      <c r="AW247" s="1200">
        <f t="shared" si="128"/>
        <v>0</v>
      </c>
      <c r="AX247" s="1200">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9"/>
      <c r="B248" s="3110"/>
      <c r="C248" s="3110"/>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1200">
        <f t="shared" si="127"/>
        <v>0</v>
      </c>
      <c r="AW248" s="1200">
        <f t="shared" si="128"/>
        <v>0</v>
      </c>
      <c r="AX248" s="1200">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9"/>
      <c r="B249" s="3110"/>
      <c r="C249" s="3110"/>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1200">
        <f t="shared" si="127"/>
        <v>0</v>
      </c>
      <c r="AW249" s="1200">
        <f t="shared" si="128"/>
        <v>0</v>
      </c>
      <c r="AX249" s="1200">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9"/>
      <c r="B250" s="3110"/>
      <c r="C250" s="3110"/>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1200">
        <f t="shared" si="127"/>
        <v>0</v>
      </c>
      <c r="AW250" s="1200">
        <f t="shared" si="128"/>
        <v>0</v>
      </c>
      <c r="AX250" s="1200">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9"/>
      <c r="B251" s="3110"/>
      <c r="C251" s="3110"/>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1200">
        <f t="shared" si="127"/>
        <v>0</v>
      </c>
      <c r="AW251" s="1200">
        <f t="shared" si="128"/>
        <v>0</v>
      </c>
      <c r="AX251" s="1200">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9"/>
      <c r="B252" s="3110"/>
      <c r="C252" s="3110"/>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1200">
        <f t="shared" si="127"/>
        <v>0</v>
      </c>
      <c r="AW252" s="1200">
        <f t="shared" si="128"/>
        <v>0</v>
      </c>
      <c r="AX252" s="1200">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9"/>
      <c r="B253" s="3110"/>
      <c r="C253" s="3110"/>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1200">
        <f t="shared" si="127"/>
        <v>0</v>
      </c>
      <c r="AW253" s="1200">
        <f t="shared" si="128"/>
        <v>0</v>
      </c>
      <c r="AX253" s="1200">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9"/>
      <c r="B254" s="3110"/>
      <c r="C254" s="3110"/>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1200">
        <f t="shared" si="127"/>
        <v>0</v>
      </c>
      <c r="AW254" s="1200">
        <f t="shared" si="128"/>
        <v>0</v>
      </c>
      <c r="AX254" s="1200">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9"/>
      <c r="B255" s="3110"/>
      <c r="C255" s="3110"/>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1200">
        <f t="shared" si="127"/>
        <v>0</v>
      </c>
      <c r="AW255" s="1200">
        <f t="shared" si="128"/>
        <v>0</v>
      </c>
      <c r="AX255" s="1200">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9"/>
      <c r="B256" s="3110"/>
      <c r="C256" s="3110"/>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1200">
        <f t="shared" si="127"/>
        <v>0</v>
      </c>
      <c r="AW256" s="1200">
        <f t="shared" si="128"/>
        <v>0</v>
      </c>
      <c r="AX256" s="1200">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9"/>
      <c r="B257" s="3110"/>
      <c r="C257" s="3110"/>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1200">
        <f t="shared" si="127"/>
        <v>0</v>
      </c>
      <c r="AW257" s="1200">
        <f t="shared" si="128"/>
        <v>0</v>
      </c>
      <c r="AX257" s="1200">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9"/>
      <c r="B258" s="3110"/>
      <c r="C258" s="3110"/>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1200">
        <f t="shared" si="127"/>
        <v>0</v>
      </c>
      <c r="AW258" s="1200">
        <f t="shared" si="128"/>
        <v>0</v>
      </c>
      <c r="AX258" s="1200">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9"/>
      <c r="B259" s="3110"/>
      <c r="C259" s="3110"/>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1200">
        <f t="shared" si="127"/>
        <v>0</v>
      </c>
      <c r="AW259" s="1200">
        <f t="shared" si="128"/>
        <v>0</v>
      </c>
      <c r="AX259" s="1200">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9"/>
      <c r="B260" s="3110"/>
      <c r="C260" s="3110"/>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1200">
        <f t="shared" si="127"/>
        <v>0</v>
      </c>
      <c r="AW260" s="1200">
        <f t="shared" si="128"/>
        <v>0</v>
      </c>
      <c r="AX260" s="1200">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9"/>
      <c r="B261" s="3110"/>
      <c r="C261" s="3110"/>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1200">
        <f t="shared" si="127"/>
        <v>0</v>
      </c>
      <c r="AW261" s="1200">
        <f t="shared" si="128"/>
        <v>0</v>
      </c>
      <c r="AX261" s="1200">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9"/>
      <c r="B262" s="3110"/>
      <c r="C262" s="3110"/>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1200">
        <f t="shared" si="127"/>
        <v>0</v>
      </c>
      <c r="AW262" s="1200">
        <f t="shared" si="128"/>
        <v>0</v>
      </c>
      <c r="AX262" s="1200">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9"/>
      <c r="B263" s="3110"/>
      <c r="C263" s="3110"/>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1200">
        <f t="shared" si="127"/>
        <v>0</v>
      </c>
      <c r="AW263" s="1200">
        <f t="shared" si="128"/>
        <v>0</v>
      </c>
      <c r="AX263" s="1200">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9"/>
      <c r="B264" s="3110"/>
      <c r="C264" s="3110"/>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1200">
        <f t="shared" si="127"/>
        <v>0</v>
      </c>
      <c r="AW264" s="1200">
        <f t="shared" si="128"/>
        <v>0</v>
      </c>
      <c r="AX264" s="1200">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9"/>
      <c r="B265" s="3110"/>
      <c r="C265" s="3110"/>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1200">
        <f t="shared" si="127"/>
        <v>0</v>
      </c>
      <c r="AW265" s="1200">
        <f t="shared" si="128"/>
        <v>0</v>
      </c>
      <c r="AX265" s="1200">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9"/>
      <c r="B266" s="3110"/>
      <c r="C266" s="3110"/>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1200">
        <f t="shared" si="127"/>
        <v>0</v>
      </c>
      <c r="AW266" s="1200">
        <f t="shared" si="128"/>
        <v>0</v>
      </c>
      <c r="AX266" s="1200">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9"/>
      <c r="B267" s="3110"/>
      <c r="C267" s="3110"/>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1200">
        <f t="shared" si="127"/>
        <v>0</v>
      </c>
      <c r="AW267" s="1200">
        <f t="shared" si="128"/>
        <v>0</v>
      </c>
      <c r="AX267" s="1200">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9"/>
      <c r="B268" s="3110"/>
      <c r="C268" s="3110"/>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1200">
        <f t="shared" si="127"/>
        <v>0</v>
      </c>
      <c r="AW268" s="1200">
        <f t="shared" si="128"/>
        <v>0</v>
      </c>
      <c r="AX268" s="1200">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9"/>
      <c r="B269" s="3110"/>
      <c r="C269" s="3110"/>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1200">
        <f t="shared" si="127"/>
        <v>0</v>
      </c>
      <c r="AW269" s="1200">
        <f t="shared" si="128"/>
        <v>0</v>
      </c>
      <c r="AX269" s="1200">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9"/>
      <c r="B270" s="3110"/>
      <c r="C270" s="3110"/>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1200">
        <f t="shared" si="127"/>
        <v>0</v>
      </c>
      <c r="AW270" s="1200">
        <f t="shared" si="128"/>
        <v>0</v>
      </c>
      <c r="AX270" s="1200">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9"/>
      <c r="B271" s="3110"/>
      <c r="C271" s="3110"/>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1200">
        <f t="shared" si="127"/>
        <v>0</v>
      </c>
      <c r="AW271" s="1200">
        <f t="shared" si="128"/>
        <v>0</v>
      </c>
      <c r="AX271" s="1200">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9"/>
      <c r="B272" s="3110"/>
      <c r="C272" s="3110"/>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1200">
        <f t="shared" si="127"/>
        <v>0</v>
      </c>
      <c r="AW272" s="1200">
        <f t="shared" si="128"/>
        <v>0</v>
      </c>
      <c r="AX272" s="1200">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9"/>
      <c r="B273" s="3110"/>
      <c r="C273" s="3110"/>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1200">
        <f t="shared" si="127"/>
        <v>0</v>
      </c>
      <c r="AW273" s="1200">
        <f t="shared" si="128"/>
        <v>0</v>
      </c>
      <c r="AX273" s="1200">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9"/>
      <c r="B274" s="3110"/>
      <c r="C274" s="3110"/>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1200">
        <f t="shared" si="127"/>
        <v>0</v>
      </c>
      <c r="AW274" s="1200">
        <f t="shared" si="128"/>
        <v>0</v>
      </c>
      <c r="AX274" s="1200">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9"/>
      <c r="B275" s="3110"/>
      <c r="C275" s="3110"/>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1200">
        <f t="shared" si="127"/>
        <v>0</v>
      </c>
      <c r="AW275" s="1200">
        <f t="shared" si="128"/>
        <v>0</v>
      </c>
      <c r="AX275" s="1200">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9"/>
      <c r="B276" s="3110"/>
      <c r="C276" s="3110"/>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1200">
        <f t="shared" si="127"/>
        <v>0</v>
      </c>
      <c r="AW276" s="1200">
        <f t="shared" si="128"/>
        <v>0</v>
      </c>
      <c r="AX276" s="1200">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9"/>
      <c r="B277" s="3110"/>
      <c r="C277" s="3110"/>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1200">
        <f t="shared" si="127"/>
        <v>0</v>
      </c>
      <c r="AW277" s="1200">
        <f t="shared" si="128"/>
        <v>0</v>
      </c>
      <c r="AX277" s="1200">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9"/>
      <c r="B278" s="3110"/>
      <c r="C278" s="3110"/>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1200">
        <f t="shared" si="127"/>
        <v>0</v>
      </c>
      <c r="AW278" s="1200">
        <f t="shared" si="128"/>
        <v>0</v>
      </c>
      <c r="AX278" s="1200">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9"/>
      <c r="B279" s="3110"/>
      <c r="C279" s="3110"/>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1200">
        <f t="shared" si="127"/>
        <v>0</v>
      </c>
      <c r="AW279" s="1200">
        <f t="shared" si="128"/>
        <v>0</v>
      </c>
      <c r="AX279" s="1200">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9"/>
      <c r="B280" s="3110"/>
      <c r="C280" s="3110"/>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1200">
        <f t="shared" si="127"/>
        <v>0</v>
      </c>
      <c r="AW280" s="1200">
        <f t="shared" si="128"/>
        <v>0</v>
      </c>
      <c r="AX280" s="1200">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9"/>
      <c r="B281" s="3110"/>
      <c r="C281" s="3110"/>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1200">
        <f t="shared" si="127"/>
        <v>0</v>
      </c>
      <c r="AW281" s="1200">
        <f t="shared" si="128"/>
        <v>0</v>
      </c>
      <c r="AX281" s="1200">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9"/>
      <c r="B282" s="3110"/>
      <c r="C282" s="3110"/>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1200">
        <f t="shared" si="127"/>
        <v>0</v>
      </c>
      <c r="AW282" s="1200">
        <f t="shared" si="128"/>
        <v>0</v>
      </c>
      <c r="AX282" s="1200">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9"/>
      <c r="B283" s="3110"/>
      <c r="C283" s="3110"/>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1200">
        <f t="shared" si="127"/>
        <v>0</v>
      </c>
      <c r="AW283" s="1200">
        <f t="shared" si="128"/>
        <v>0</v>
      </c>
      <c r="AX283" s="1200">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9"/>
      <c r="B284" s="3110"/>
      <c r="C284" s="3110"/>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1200">
        <f t="shared" si="127"/>
        <v>0</v>
      </c>
      <c r="AW284" s="1200">
        <f t="shared" si="128"/>
        <v>0</v>
      </c>
      <c r="AX284" s="1200">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9"/>
      <c r="B285" s="3110"/>
      <c r="C285" s="3110"/>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1200">
        <f t="shared" si="127"/>
        <v>0</v>
      </c>
      <c r="AW285" s="1200">
        <f t="shared" si="128"/>
        <v>0</v>
      </c>
      <c r="AX285" s="1200">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9"/>
      <c r="B286" s="3110"/>
      <c r="C286" s="3110"/>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1200">
        <f t="shared" si="127"/>
        <v>0</v>
      </c>
      <c r="AW286" s="1200">
        <f t="shared" si="128"/>
        <v>0</v>
      </c>
      <c r="AX286" s="1200">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9"/>
      <c r="B287" s="3110"/>
      <c r="C287" s="3110"/>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1200">
        <f t="shared" si="127"/>
        <v>0</v>
      </c>
      <c r="AW287" s="1200">
        <f t="shared" si="128"/>
        <v>0</v>
      </c>
      <c r="AX287" s="1200">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9"/>
      <c r="B288" s="3110"/>
      <c r="C288" s="3110"/>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1200">
        <f t="shared" si="127"/>
        <v>0</v>
      </c>
      <c r="AW288" s="1200">
        <f t="shared" si="128"/>
        <v>0</v>
      </c>
      <c r="AX288" s="1200">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9"/>
      <c r="B289" s="3110"/>
      <c r="C289" s="3110"/>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1200">
        <f t="shared" si="127"/>
        <v>0</v>
      </c>
      <c r="AW289" s="1200">
        <f t="shared" si="128"/>
        <v>0</v>
      </c>
      <c r="AX289" s="1200">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9"/>
      <c r="B290" s="3110"/>
      <c r="C290" s="3110"/>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1200">
        <f t="shared" si="127"/>
        <v>0</v>
      </c>
      <c r="AW290" s="1200">
        <f t="shared" si="128"/>
        <v>0</v>
      </c>
      <c r="AX290" s="1200">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9"/>
      <c r="B291" s="3110"/>
      <c r="C291" s="3110"/>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1200">
        <f t="shared" si="127"/>
        <v>0</v>
      </c>
      <c r="AW291" s="1200">
        <f t="shared" si="128"/>
        <v>0</v>
      </c>
      <c r="AX291" s="1200">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9"/>
      <c r="B292" s="3110"/>
      <c r="C292" s="3110"/>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1200">
        <f t="shared" si="127"/>
        <v>0</v>
      </c>
      <c r="AW292" s="1200">
        <f t="shared" si="128"/>
        <v>0</v>
      </c>
      <c r="AX292" s="1200">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9"/>
      <c r="B293" s="3110"/>
      <c r="C293" s="3110"/>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1200">
        <f t="shared" si="127"/>
        <v>0</v>
      </c>
      <c r="AW293" s="1200">
        <f t="shared" si="128"/>
        <v>0</v>
      </c>
      <c r="AX293" s="1200">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9"/>
      <c r="B294" s="3110"/>
      <c r="C294" s="3110"/>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1200">
        <f t="shared" si="127"/>
        <v>0</v>
      </c>
      <c r="AW294" s="1200">
        <f t="shared" si="128"/>
        <v>0</v>
      </c>
      <c r="AX294" s="1200">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9"/>
      <c r="B295" s="3110"/>
      <c r="C295" s="3110"/>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1200">
        <f t="shared" si="127"/>
        <v>0</v>
      </c>
      <c r="AW295" s="1200">
        <f t="shared" si="128"/>
        <v>0</v>
      </c>
      <c r="AX295" s="1200">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9"/>
      <c r="B296" s="3110"/>
      <c r="C296" s="3110"/>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1200">
        <f t="shared" si="127"/>
        <v>0</v>
      </c>
      <c r="AW296" s="1200">
        <f t="shared" si="128"/>
        <v>0</v>
      </c>
      <c r="AX296" s="1200">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9"/>
      <c r="B297" s="3110"/>
      <c r="C297" s="3110"/>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1200">
        <f t="shared" si="127"/>
        <v>0</v>
      </c>
      <c r="AW297" s="1200">
        <f t="shared" si="128"/>
        <v>0</v>
      </c>
      <c r="AX297" s="1200">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9"/>
      <c r="B298" s="3110"/>
      <c r="C298" s="3110"/>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1200">
        <f t="shared" si="127"/>
        <v>0</v>
      </c>
      <c r="AW298" s="1200">
        <f t="shared" si="128"/>
        <v>0</v>
      </c>
      <c r="AX298" s="1200">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9"/>
      <c r="B299" s="3110"/>
      <c r="C299" s="3110"/>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1200">
        <f t="shared" si="127"/>
        <v>0</v>
      </c>
      <c r="AW299" s="1200">
        <f t="shared" si="128"/>
        <v>0</v>
      </c>
      <c r="AX299" s="1200">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9"/>
      <c r="B300" s="3109"/>
      <c r="C300" s="3109"/>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1200">
        <f t="shared" si="127"/>
        <v>0</v>
      </c>
      <c r="AW300" s="1200">
        <f t="shared" si="128"/>
        <v>0</v>
      </c>
      <c r="AX300" s="1200">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9"/>
      <c r="B301" s="3109"/>
      <c r="C301" s="3109"/>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1200">
        <f t="shared" si="127"/>
        <v>0</v>
      </c>
      <c r="AW301" s="1200">
        <f t="shared" si="128"/>
        <v>0</v>
      </c>
      <c r="AX301" s="1200">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9"/>
      <c r="B302" s="3109"/>
      <c r="C302" s="3109"/>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1200">
        <f t="shared" si="127"/>
        <v>0</v>
      </c>
      <c r="AW302" s="1200">
        <f t="shared" si="128"/>
        <v>0</v>
      </c>
      <c r="AX302" s="1200">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9"/>
      <c r="B303" s="3110"/>
      <c r="C303" s="3110"/>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1200">
        <f t="shared" ref="AV303:AV334" si="178">A303</f>
        <v>0</v>
      </c>
      <c r="AW303" s="1200">
        <f t="shared" ref="AW303:AW334" si="179">B303</f>
        <v>0</v>
      </c>
      <c r="AX303" s="1200">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9"/>
      <c r="B304" s="3110"/>
      <c r="C304" s="3110"/>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1200">
        <f t="shared" si="178"/>
        <v>0</v>
      </c>
      <c r="AW304" s="1200">
        <f t="shared" si="179"/>
        <v>0</v>
      </c>
      <c r="AX304" s="1200">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9"/>
      <c r="B305" s="3110"/>
      <c r="C305" s="3110"/>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1200">
        <f t="shared" si="178"/>
        <v>0</v>
      </c>
      <c r="AW305" s="1200">
        <f t="shared" si="179"/>
        <v>0</v>
      </c>
      <c r="AX305" s="1200">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9"/>
      <c r="B306" s="3110"/>
      <c r="C306" s="3110"/>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1200">
        <f t="shared" si="178"/>
        <v>0</v>
      </c>
      <c r="AW306" s="1200">
        <f t="shared" si="179"/>
        <v>0</v>
      </c>
      <c r="AX306" s="1200">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9"/>
      <c r="B307" s="3110"/>
      <c r="C307" s="3110"/>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1200">
        <f t="shared" si="178"/>
        <v>0</v>
      </c>
      <c r="AW307" s="1200">
        <f t="shared" si="179"/>
        <v>0</v>
      </c>
      <c r="AX307" s="1200">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9"/>
      <c r="B308" s="3110"/>
      <c r="C308" s="3110"/>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1200">
        <f t="shared" si="178"/>
        <v>0</v>
      </c>
      <c r="AW308" s="1200">
        <f t="shared" si="179"/>
        <v>0</v>
      </c>
      <c r="AX308" s="1200">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9"/>
      <c r="B309" s="3110"/>
      <c r="C309" s="3110"/>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1200">
        <f t="shared" si="178"/>
        <v>0</v>
      </c>
      <c r="AW309" s="1200">
        <f t="shared" si="179"/>
        <v>0</v>
      </c>
      <c r="AX309" s="1200">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9"/>
      <c r="B310" s="3110"/>
      <c r="C310" s="3110"/>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1200">
        <f t="shared" si="178"/>
        <v>0</v>
      </c>
      <c r="AW310" s="1200">
        <f t="shared" si="179"/>
        <v>0</v>
      </c>
      <c r="AX310" s="1200">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9"/>
      <c r="B311" s="3110"/>
      <c r="C311" s="3110"/>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1200">
        <f t="shared" si="178"/>
        <v>0</v>
      </c>
      <c r="AW311" s="1200">
        <f t="shared" si="179"/>
        <v>0</v>
      </c>
      <c r="AX311" s="1200">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9"/>
      <c r="B312" s="3110"/>
      <c r="C312" s="3110"/>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1200">
        <f t="shared" si="178"/>
        <v>0</v>
      </c>
      <c r="AW312" s="1200">
        <f t="shared" si="179"/>
        <v>0</v>
      </c>
      <c r="AX312" s="1200">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9"/>
      <c r="B313" s="3110"/>
      <c r="C313" s="3110"/>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1200">
        <f t="shared" si="178"/>
        <v>0</v>
      </c>
      <c r="AW313" s="1200">
        <f t="shared" si="179"/>
        <v>0</v>
      </c>
      <c r="AX313" s="1200">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9"/>
      <c r="B314" s="3110"/>
      <c r="C314" s="3110"/>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1200">
        <f t="shared" si="178"/>
        <v>0</v>
      </c>
      <c r="AW314" s="1200">
        <f t="shared" si="179"/>
        <v>0</v>
      </c>
      <c r="AX314" s="1200">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9"/>
      <c r="B315" s="3110"/>
      <c r="C315" s="3110"/>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1200">
        <f t="shared" si="178"/>
        <v>0</v>
      </c>
      <c r="AW315" s="1200">
        <f t="shared" si="179"/>
        <v>0</v>
      </c>
      <c r="AX315" s="1200">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9"/>
      <c r="B316" s="3110"/>
      <c r="C316" s="3110"/>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1200">
        <f t="shared" si="178"/>
        <v>0</v>
      </c>
      <c r="AW316" s="1200">
        <f t="shared" si="179"/>
        <v>0</v>
      </c>
      <c r="AX316" s="1200">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9"/>
      <c r="B317" s="3110"/>
      <c r="C317" s="3110"/>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1200">
        <f t="shared" si="178"/>
        <v>0</v>
      </c>
      <c r="AW317" s="1200">
        <f t="shared" si="179"/>
        <v>0</v>
      </c>
      <c r="AX317" s="1200">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9"/>
      <c r="B318" s="3110"/>
      <c r="C318" s="3110"/>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1200">
        <f t="shared" si="178"/>
        <v>0</v>
      </c>
      <c r="AW318" s="1200">
        <f t="shared" si="179"/>
        <v>0</v>
      </c>
      <c r="AX318" s="1200">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9"/>
      <c r="B319" s="3110"/>
      <c r="C319" s="3110"/>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1200">
        <f t="shared" si="178"/>
        <v>0</v>
      </c>
      <c r="AW319" s="1200">
        <f t="shared" si="179"/>
        <v>0</v>
      </c>
      <c r="AX319" s="1200">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9"/>
      <c r="B320" s="3110"/>
      <c r="C320" s="3110"/>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1200">
        <f t="shared" si="178"/>
        <v>0</v>
      </c>
      <c r="AW320" s="1200">
        <f t="shared" si="179"/>
        <v>0</v>
      </c>
      <c r="AX320" s="1200">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9"/>
      <c r="B321" s="3110"/>
      <c r="C321" s="3110"/>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1200">
        <f t="shared" si="178"/>
        <v>0</v>
      </c>
      <c r="AW321" s="1200">
        <f t="shared" si="179"/>
        <v>0</v>
      </c>
      <c r="AX321" s="1200">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9"/>
      <c r="B322" s="3110"/>
      <c r="C322" s="3110"/>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1200">
        <f t="shared" si="178"/>
        <v>0</v>
      </c>
      <c r="AW322" s="1200">
        <f t="shared" si="179"/>
        <v>0</v>
      </c>
      <c r="AX322" s="1200">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9"/>
      <c r="B323" s="3110"/>
      <c r="C323" s="3110"/>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1200">
        <f t="shared" si="178"/>
        <v>0</v>
      </c>
      <c r="AW323" s="1200">
        <f t="shared" si="179"/>
        <v>0</v>
      </c>
      <c r="AX323" s="1200">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9"/>
      <c r="B324" s="3110"/>
      <c r="C324" s="3110"/>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1200">
        <f t="shared" si="178"/>
        <v>0</v>
      </c>
      <c r="AW324" s="1200">
        <f t="shared" si="179"/>
        <v>0</v>
      </c>
      <c r="AX324" s="1200">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9"/>
      <c r="B325" s="3110"/>
      <c r="C325" s="3110"/>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1200">
        <f t="shared" si="178"/>
        <v>0</v>
      </c>
      <c r="AW325" s="1200">
        <f t="shared" si="179"/>
        <v>0</v>
      </c>
      <c r="AX325" s="1200">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9"/>
      <c r="B326" s="3110"/>
      <c r="C326" s="3110"/>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1200">
        <f t="shared" si="178"/>
        <v>0</v>
      </c>
      <c r="AW326" s="1200">
        <f t="shared" si="179"/>
        <v>0</v>
      </c>
      <c r="AX326" s="1200">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9"/>
      <c r="B327" s="3110"/>
      <c r="C327" s="3110"/>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1200">
        <f t="shared" si="178"/>
        <v>0</v>
      </c>
      <c r="AW327" s="1200">
        <f t="shared" si="179"/>
        <v>0</v>
      </c>
      <c r="AX327" s="1200">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9"/>
      <c r="B328" s="3110"/>
      <c r="C328" s="3110"/>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1200">
        <f t="shared" si="178"/>
        <v>0</v>
      </c>
      <c r="AW328" s="1200">
        <f t="shared" si="179"/>
        <v>0</v>
      </c>
      <c r="AX328" s="1200">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9"/>
      <c r="B329" s="3110"/>
      <c r="C329" s="3110"/>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1200">
        <f t="shared" si="178"/>
        <v>0</v>
      </c>
      <c r="AW329" s="1200">
        <f t="shared" si="179"/>
        <v>0</v>
      </c>
      <c r="AX329" s="1200">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9"/>
      <c r="B330" s="3110"/>
      <c r="C330" s="3110"/>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1200">
        <f t="shared" si="178"/>
        <v>0</v>
      </c>
      <c r="AW330" s="1200">
        <f t="shared" si="179"/>
        <v>0</v>
      </c>
      <c r="AX330" s="1200">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9"/>
      <c r="B331" s="3110"/>
      <c r="C331" s="3110"/>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1200">
        <f t="shared" si="178"/>
        <v>0</v>
      </c>
      <c r="AW331" s="1200">
        <f t="shared" si="179"/>
        <v>0</v>
      </c>
      <c r="AX331" s="1200">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9"/>
      <c r="B332" s="3110"/>
      <c r="C332" s="3110"/>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1200">
        <f t="shared" si="178"/>
        <v>0</v>
      </c>
      <c r="AW332" s="1200">
        <f t="shared" si="179"/>
        <v>0</v>
      </c>
      <c r="AX332" s="1200">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9"/>
      <c r="B333" s="3110"/>
      <c r="C333" s="3110"/>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1200">
        <f t="shared" si="178"/>
        <v>0</v>
      </c>
      <c r="AW333" s="1200">
        <f t="shared" si="179"/>
        <v>0</v>
      </c>
      <c r="AX333" s="1200">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9"/>
      <c r="B334" s="3110"/>
      <c r="C334" s="3110"/>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1200">
        <f t="shared" si="178"/>
        <v>0</v>
      </c>
      <c r="AW334" s="1200">
        <f t="shared" si="179"/>
        <v>0</v>
      </c>
      <c r="AX334" s="1200">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9"/>
      <c r="B335" s="3110"/>
      <c r="C335" s="3110"/>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1200">
        <f t="shared" ref="AV335:AV366" si="207">A335</f>
        <v>0</v>
      </c>
      <c r="AW335" s="1200">
        <f t="shared" ref="AW335:AW366" si="208">B335</f>
        <v>0</v>
      </c>
      <c r="AX335" s="1200">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9"/>
      <c r="B336" s="3110"/>
      <c r="C336" s="3110"/>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1200">
        <f t="shared" si="207"/>
        <v>0</v>
      </c>
      <c r="AW336" s="1200">
        <f t="shared" si="208"/>
        <v>0</v>
      </c>
      <c r="AX336" s="1200">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9"/>
      <c r="B337" s="3110"/>
      <c r="C337" s="3110"/>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1200">
        <f t="shared" si="207"/>
        <v>0</v>
      </c>
      <c r="AW337" s="1200">
        <f t="shared" si="208"/>
        <v>0</v>
      </c>
      <c r="AX337" s="1200">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9"/>
      <c r="B338" s="3110"/>
      <c r="C338" s="3110"/>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1200">
        <f t="shared" si="207"/>
        <v>0</v>
      </c>
      <c r="AW338" s="1200">
        <f t="shared" si="208"/>
        <v>0</v>
      </c>
      <c r="AX338" s="1200">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9"/>
      <c r="B339" s="3110"/>
      <c r="C339" s="3110"/>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1200">
        <f t="shared" si="207"/>
        <v>0</v>
      </c>
      <c r="AW339" s="1200">
        <f t="shared" si="208"/>
        <v>0</v>
      </c>
      <c r="AX339" s="1200">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9"/>
      <c r="B340" s="3110"/>
      <c r="C340" s="3110"/>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1200">
        <f t="shared" si="207"/>
        <v>0</v>
      </c>
      <c r="AW340" s="1200">
        <f t="shared" si="208"/>
        <v>0</v>
      </c>
      <c r="AX340" s="1200">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9"/>
      <c r="B341" s="3110"/>
      <c r="C341" s="3110"/>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1200">
        <f t="shared" si="207"/>
        <v>0</v>
      </c>
      <c r="AW341" s="1200">
        <f t="shared" si="208"/>
        <v>0</v>
      </c>
      <c r="AX341" s="1200">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9"/>
      <c r="B342" s="3110"/>
      <c r="C342" s="3110"/>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1200">
        <f t="shared" si="207"/>
        <v>0</v>
      </c>
      <c r="AW342" s="1200">
        <f t="shared" si="208"/>
        <v>0</v>
      </c>
      <c r="AX342" s="1200">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9"/>
      <c r="B343" s="3110"/>
      <c r="C343" s="3110"/>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1200">
        <f t="shared" si="207"/>
        <v>0</v>
      </c>
      <c r="AW343" s="1200">
        <f t="shared" si="208"/>
        <v>0</v>
      </c>
      <c r="AX343" s="1200">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9"/>
      <c r="B344" s="3110"/>
      <c r="C344" s="3110"/>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1200">
        <f t="shared" si="207"/>
        <v>0</v>
      </c>
      <c r="AW344" s="1200">
        <f t="shared" si="208"/>
        <v>0</v>
      </c>
      <c r="AX344" s="1200">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9"/>
      <c r="B345" s="3110"/>
      <c r="C345" s="3110"/>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1200">
        <f t="shared" si="207"/>
        <v>0</v>
      </c>
      <c r="AW345" s="1200">
        <f t="shared" si="208"/>
        <v>0</v>
      </c>
      <c r="AX345" s="1200">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9"/>
      <c r="B346" s="3110"/>
      <c r="C346" s="3110"/>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1200">
        <f t="shared" si="207"/>
        <v>0</v>
      </c>
      <c r="AW346" s="1200">
        <f t="shared" si="208"/>
        <v>0</v>
      </c>
      <c r="AX346" s="1200">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9"/>
      <c r="B347" s="3110"/>
      <c r="C347" s="3110"/>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1200">
        <f t="shared" si="207"/>
        <v>0</v>
      </c>
      <c r="AW347" s="1200">
        <f t="shared" si="208"/>
        <v>0</v>
      </c>
      <c r="AX347" s="1200">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9"/>
      <c r="B348" s="3110"/>
      <c r="C348" s="3110"/>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1200">
        <f t="shared" si="207"/>
        <v>0</v>
      </c>
      <c r="AW348" s="1200">
        <f t="shared" si="208"/>
        <v>0</v>
      </c>
      <c r="AX348" s="1200">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9"/>
      <c r="B349" s="3110"/>
      <c r="C349" s="3110"/>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1200">
        <f t="shared" si="207"/>
        <v>0</v>
      </c>
      <c r="AW349" s="1200">
        <f t="shared" si="208"/>
        <v>0</v>
      </c>
      <c r="AX349" s="1200">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9"/>
      <c r="B350" s="3110"/>
      <c r="C350" s="3110"/>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1200">
        <f t="shared" si="207"/>
        <v>0</v>
      </c>
      <c r="AW350" s="1200">
        <f t="shared" si="208"/>
        <v>0</v>
      </c>
      <c r="AX350" s="1200">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9"/>
      <c r="B351" s="3110"/>
      <c r="C351" s="3110"/>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1200">
        <f t="shared" si="207"/>
        <v>0</v>
      </c>
      <c r="AW351" s="1200">
        <f t="shared" si="208"/>
        <v>0</v>
      </c>
      <c r="AX351" s="1200">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9"/>
      <c r="B352" s="3110"/>
      <c r="C352" s="3110"/>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1200">
        <f t="shared" si="207"/>
        <v>0</v>
      </c>
      <c r="AW352" s="1200">
        <f t="shared" si="208"/>
        <v>0</v>
      </c>
      <c r="AX352" s="1200">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9"/>
      <c r="B353" s="3110"/>
      <c r="C353" s="3110"/>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1200">
        <f t="shared" si="207"/>
        <v>0</v>
      </c>
      <c r="AW353" s="1200">
        <f t="shared" si="208"/>
        <v>0</v>
      </c>
      <c r="AX353" s="1200">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9"/>
      <c r="B354" s="3110"/>
      <c r="C354" s="3110"/>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1200">
        <f t="shared" si="207"/>
        <v>0</v>
      </c>
      <c r="AW354" s="1200">
        <f t="shared" si="208"/>
        <v>0</v>
      </c>
      <c r="AX354" s="1200">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9"/>
      <c r="B355" s="3110"/>
      <c r="C355" s="3110"/>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1200">
        <f t="shared" si="207"/>
        <v>0</v>
      </c>
      <c r="AW355" s="1200">
        <f t="shared" si="208"/>
        <v>0</v>
      </c>
      <c r="AX355" s="1200">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9"/>
      <c r="B356" s="3110"/>
      <c r="C356" s="3110"/>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1200">
        <f t="shared" si="207"/>
        <v>0</v>
      </c>
      <c r="AW356" s="1200">
        <f t="shared" si="208"/>
        <v>0</v>
      </c>
      <c r="AX356" s="1200">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9"/>
      <c r="B357" s="3110"/>
      <c r="C357" s="3110"/>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1200">
        <f t="shared" si="207"/>
        <v>0</v>
      </c>
      <c r="AW357" s="1200">
        <f t="shared" si="208"/>
        <v>0</v>
      </c>
      <c r="AX357" s="1200">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9"/>
      <c r="B358" s="3110"/>
      <c r="C358" s="3110"/>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1200">
        <f t="shared" si="207"/>
        <v>0</v>
      </c>
      <c r="AW358" s="1200">
        <f t="shared" si="208"/>
        <v>0</v>
      </c>
      <c r="AX358" s="1200">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9"/>
      <c r="B359" s="3110"/>
      <c r="C359" s="3110"/>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1200">
        <f t="shared" si="207"/>
        <v>0</v>
      </c>
      <c r="AW359" s="1200">
        <f t="shared" si="208"/>
        <v>0</v>
      </c>
      <c r="AX359" s="1200">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9"/>
      <c r="B360" s="3110"/>
      <c r="C360" s="3110"/>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1200">
        <f t="shared" si="207"/>
        <v>0</v>
      </c>
      <c r="AW360" s="1200">
        <f t="shared" si="208"/>
        <v>0</v>
      </c>
      <c r="AX360" s="1200">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9"/>
      <c r="B361" s="3110"/>
      <c r="C361" s="3110"/>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1200">
        <f t="shared" si="207"/>
        <v>0</v>
      </c>
      <c r="AW361" s="1200">
        <f t="shared" si="208"/>
        <v>0</v>
      </c>
      <c r="AX361" s="1200">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9"/>
      <c r="B362" s="3110"/>
      <c r="C362" s="3110"/>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1200">
        <f t="shared" si="207"/>
        <v>0</v>
      </c>
      <c r="AW362" s="1200">
        <f t="shared" si="208"/>
        <v>0</v>
      </c>
      <c r="AX362" s="1200">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9"/>
      <c r="B363" s="3110"/>
      <c r="C363" s="3110"/>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1200">
        <f t="shared" si="207"/>
        <v>0</v>
      </c>
      <c r="AW363" s="1200">
        <f t="shared" si="208"/>
        <v>0</v>
      </c>
      <c r="AX363" s="1200">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9"/>
      <c r="B364" s="3110"/>
      <c r="C364" s="3110"/>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1200">
        <f t="shared" si="207"/>
        <v>0</v>
      </c>
      <c r="AW364" s="1200">
        <f t="shared" si="208"/>
        <v>0</v>
      </c>
      <c r="AX364" s="1200">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9"/>
      <c r="B365" s="3110"/>
      <c r="C365" s="3110"/>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1200">
        <f t="shared" si="207"/>
        <v>0</v>
      </c>
      <c r="AW365" s="1200">
        <f t="shared" si="208"/>
        <v>0</v>
      </c>
      <c r="AX365" s="1200">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9"/>
      <c r="B366" s="3110"/>
      <c r="C366" s="3110"/>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1200">
        <f t="shared" si="207"/>
        <v>0</v>
      </c>
      <c r="AW366" s="1200">
        <f t="shared" si="208"/>
        <v>0</v>
      </c>
      <c r="AX366" s="1200">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9"/>
      <c r="B367" s="3110"/>
      <c r="C367" s="3110"/>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1200">
        <f t="shared" ref="AV367:AV397" si="236">A367</f>
        <v>0</v>
      </c>
      <c r="AW367" s="1200">
        <f t="shared" ref="AW367:AW397" si="237">B367</f>
        <v>0</v>
      </c>
      <c r="AX367" s="1200">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9"/>
      <c r="B368" s="3110"/>
      <c r="C368" s="3110"/>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1200">
        <f t="shared" si="236"/>
        <v>0</v>
      </c>
      <c r="AW368" s="1200">
        <f t="shared" si="237"/>
        <v>0</v>
      </c>
      <c r="AX368" s="1200">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9"/>
      <c r="B369" s="3110"/>
      <c r="C369" s="3110"/>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1200">
        <f t="shared" si="236"/>
        <v>0</v>
      </c>
      <c r="AW369" s="1200">
        <f t="shared" si="237"/>
        <v>0</v>
      </c>
      <c r="AX369" s="1200">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9"/>
      <c r="B370" s="3110"/>
      <c r="C370" s="3110"/>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1200">
        <f t="shared" si="236"/>
        <v>0</v>
      </c>
      <c r="AW370" s="1200">
        <f t="shared" si="237"/>
        <v>0</v>
      </c>
      <c r="AX370" s="1200">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9"/>
      <c r="B371" s="3110"/>
      <c r="C371" s="3110"/>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1200">
        <f t="shared" si="236"/>
        <v>0</v>
      </c>
      <c r="AW371" s="1200">
        <f t="shared" si="237"/>
        <v>0</v>
      </c>
      <c r="AX371" s="1200">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9"/>
      <c r="B372" s="3110"/>
      <c r="C372" s="3110"/>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1200">
        <f t="shared" si="236"/>
        <v>0</v>
      </c>
      <c r="AW372" s="1200">
        <f t="shared" si="237"/>
        <v>0</v>
      </c>
      <c r="AX372" s="1200">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9"/>
      <c r="B373" s="3110"/>
      <c r="C373" s="3110"/>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1200">
        <f t="shared" si="236"/>
        <v>0</v>
      </c>
      <c r="AW373" s="1200">
        <f t="shared" si="237"/>
        <v>0</v>
      </c>
      <c r="AX373" s="1200">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9"/>
      <c r="B374" s="3110"/>
      <c r="C374" s="3110"/>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1200">
        <f t="shared" si="236"/>
        <v>0</v>
      </c>
      <c r="AW374" s="1200">
        <f t="shared" si="237"/>
        <v>0</v>
      </c>
      <c r="AX374" s="1200">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9"/>
      <c r="B375" s="3110"/>
      <c r="C375" s="3110"/>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1200">
        <f t="shared" si="236"/>
        <v>0</v>
      </c>
      <c r="AW375" s="1200">
        <f t="shared" si="237"/>
        <v>0</v>
      </c>
      <c r="AX375" s="1200">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9"/>
      <c r="B376" s="3110"/>
      <c r="C376" s="3110"/>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1200">
        <f t="shared" si="236"/>
        <v>0</v>
      </c>
      <c r="AW376" s="1200">
        <f t="shared" si="237"/>
        <v>0</v>
      </c>
      <c r="AX376" s="1200">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9"/>
      <c r="B377" s="3110"/>
      <c r="C377" s="3110"/>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1200">
        <f t="shared" si="236"/>
        <v>0</v>
      </c>
      <c r="AW377" s="1200">
        <f t="shared" si="237"/>
        <v>0</v>
      </c>
      <c r="AX377" s="1200">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9"/>
      <c r="B378" s="3110"/>
      <c r="C378" s="3110"/>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1200">
        <f t="shared" si="236"/>
        <v>0</v>
      </c>
      <c r="AW378" s="1200">
        <f t="shared" si="237"/>
        <v>0</v>
      </c>
      <c r="AX378" s="1200">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9"/>
      <c r="B379" s="3110"/>
      <c r="C379" s="3110"/>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1200">
        <f t="shared" si="236"/>
        <v>0</v>
      </c>
      <c r="AW379" s="1200">
        <f t="shared" si="237"/>
        <v>0</v>
      </c>
      <c r="AX379" s="1200">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9"/>
      <c r="B380" s="3110"/>
      <c r="C380" s="3110"/>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1200">
        <f t="shared" si="236"/>
        <v>0</v>
      </c>
      <c r="AW380" s="1200">
        <f t="shared" si="237"/>
        <v>0</v>
      </c>
      <c r="AX380" s="1200">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9"/>
      <c r="B381" s="3110"/>
      <c r="C381" s="3110"/>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1200">
        <f t="shared" si="236"/>
        <v>0</v>
      </c>
      <c r="AW381" s="1200">
        <f t="shared" si="237"/>
        <v>0</v>
      </c>
      <c r="AX381" s="1200">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9"/>
      <c r="B382" s="3110"/>
      <c r="C382" s="3110"/>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1200">
        <f t="shared" si="236"/>
        <v>0</v>
      </c>
      <c r="AW382" s="1200">
        <f t="shared" si="237"/>
        <v>0</v>
      </c>
      <c r="AX382" s="1200">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9"/>
      <c r="B383" s="3110"/>
      <c r="C383" s="3110"/>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1200">
        <f t="shared" si="236"/>
        <v>0</v>
      </c>
      <c r="AW383" s="1200">
        <f t="shared" si="237"/>
        <v>0</v>
      </c>
      <c r="AX383" s="1200">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9"/>
      <c r="B384" s="3110"/>
      <c r="C384" s="3110"/>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1200">
        <f t="shared" si="236"/>
        <v>0</v>
      </c>
      <c r="AW384" s="1200">
        <f t="shared" si="237"/>
        <v>0</v>
      </c>
      <c r="AX384" s="1200">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9"/>
      <c r="B385" s="3110"/>
      <c r="C385" s="3110"/>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1200">
        <f t="shared" si="236"/>
        <v>0</v>
      </c>
      <c r="AW385" s="1200">
        <f t="shared" si="237"/>
        <v>0</v>
      </c>
      <c r="AX385" s="1200">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9"/>
      <c r="B386" s="3110"/>
      <c r="C386" s="3110"/>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1200">
        <f t="shared" si="236"/>
        <v>0</v>
      </c>
      <c r="AW386" s="1200">
        <f t="shared" si="237"/>
        <v>0</v>
      </c>
      <c r="AX386" s="1200">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9"/>
      <c r="B387" s="3110"/>
      <c r="C387" s="3110"/>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1200">
        <f t="shared" si="236"/>
        <v>0</v>
      </c>
      <c r="AW387" s="1200">
        <f t="shared" si="237"/>
        <v>0</v>
      </c>
      <c r="AX387" s="1200">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9"/>
      <c r="B388" s="3110"/>
      <c r="C388" s="3110"/>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1200">
        <f t="shared" si="236"/>
        <v>0</v>
      </c>
      <c r="AW388" s="1200">
        <f t="shared" si="237"/>
        <v>0</v>
      </c>
      <c r="AX388" s="1200">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9"/>
      <c r="B389" s="3110"/>
      <c r="C389" s="3110"/>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1200">
        <f t="shared" si="236"/>
        <v>0</v>
      </c>
      <c r="AW389" s="1200">
        <f t="shared" si="237"/>
        <v>0</v>
      </c>
      <c r="AX389" s="1200">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9"/>
      <c r="B390" s="3110"/>
      <c r="C390" s="3110"/>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1200">
        <f t="shared" si="236"/>
        <v>0</v>
      </c>
      <c r="AW390" s="1200">
        <f t="shared" si="237"/>
        <v>0</v>
      </c>
      <c r="AX390" s="1200">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9"/>
      <c r="B391" s="3110"/>
      <c r="C391" s="3110"/>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1200">
        <f t="shared" si="236"/>
        <v>0</v>
      </c>
      <c r="AW391" s="1200">
        <f t="shared" si="237"/>
        <v>0</v>
      </c>
      <c r="AX391" s="1200">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9"/>
      <c r="B392" s="3110"/>
      <c r="C392" s="3110"/>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1200">
        <f t="shared" si="236"/>
        <v>0</v>
      </c>
      <c r="AW392" s="1200">
        <f t="shared" si="237"/>
        <v>0</v>
      </c>
      <c r="AX392" s="1200">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9"/>
      <c r="B393" s="3110"/>
      <c r="C393" s="3110"/>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1200">
        <f t="shared" si="236"/>
        <v>0</v>
      </c>
      <c r="AW393" s="1200">
        <f t="shared" si="237"/>
        <v>0</v>
      </c>
      <c r="AX393" s="1200">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9"/>
      <c r="B394" s="3110"/>
      <c r="C394" s="3110"/>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1200">
        <f t="shared" si="236"/>
        <v>0</v>
      </c>
      <c r="AW394" s="1200">
        <f t="shared" si="237"/>
        <v>0</v>
      </c>
      <c r="AX394" s="1200">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9"/>
      <c r="B395" s="3109"/>
      <c r="C395" s="3109"/>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1200">
        <f t="shared" si="236"/>
        <v>0</v>
      </c>
      <c r="AW395" s="1200">
        <f t="shared" si="237"/>
        <v>0</v>
      </c>
      <c r="AX395" s="1200">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9"/>
      <c r="B396" s="3109"/>
      <c r="C396" s="3109"/>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1200">
        <f t="shared" si="236"/>
        <v>0</v>
      </c>
      <c r="AW396" s="1200">
        <f t="shared" si="237"/>
        <v>0</v>
      </c>
      <c r="AX396" s="1200">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9"/>
      <c r="B397" s="3109"/>
      <c r="C397" s="3109"/>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1200">
        <f t="shared" si="236"/>
        <v>0</v>
      </c>
      <c r="AW397" s="1200">
        <f t="shared" si="237"/>
        <v>0</v>
      </c>
      <c r="AX397" s="1200">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9"/>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1200">
        <f t="shared" ref="AV398:AV492" si="243">A398</f>
        <v>0</v>
      </c>
      <c r="AW398" s="1200">
        <f t="shared" ref="AW398:AW492" si="244">B398</f>
        <v>0</v>
      </c>
      <c r="AX398" s="1200">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9"/>
      <c r="B399" s="3110"/>
      <c r="C399" s="3110"/>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1200">
        <f t="shared" si="243"/>
        <v>0</v>
      </c>
      <c r="AW399" s="1200">
        <f t="shared" si="244"/>
        <v>0</v>
      </c>
      <c r="AX399" s="1200">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9"/>
      <c r="B400" s="3110"/>
      <c r="C400" s="3110"/>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1200">
        <f t="shared" si="243"/>
        <v>0</v>
      </c>
      <c r="AW400" s="1200">
        <f t="shared" si="244"/>
        <v>0</v>
      </c>
      <c r="AX400" s="1200">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9"/>
      <c r="B401" s="3110"/>
      <c r="C401" s="3110"/>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1200">
        <f t="shared" si="243"/>
        <v>0</v>
      </c>
      <c r="AW401" s="1200">
        <f t="shared" si="244"/>
        <v>0</v>
      </c>
      <c r="AX401" s="1200">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9"/>
      <c r="B402" s="3110"/>
      <c r="C402" s="3110"/>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1200">
        <f t="shared" si="243"/>
        <v>0</v>
      </c>
      <c r="AW402" s="1200">
        <f t="shared" si="244"/>
        <v>0</v>
      </c>
      <c r="AX402" s="1200">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9"/>
      <c r="B403" s="3110"/>
      <c r="C403" s="3110"/>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1200">
        <f t="shared" si="243"/>
        <v>0</v>
      </c>
      <c r="AW403" s="1200">
        <f t="shared" si="244"/>
        <v>0</v>
      </c>
      <c r="AX403" s="1200">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9"/>
      <c r="B404" s="3110"/>
      <c r="C404" s="3110"/>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1200">
        <f t="shared" si="243"/>
        <v>0</v>
      </c>
      <c r="AW404" s="1200">
        <f t="shared" si="244"/>
        <v>0</v>
      </c>
      <c r="AX404" s="1200">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9"/>
      <c r="B405" s="3110"/>
      <c r="C405" s="3110"/>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1200">
        <f t="shared" si="243"/>
        <v>0</v>
      </c>
      <c r="AW405" s="1200">
        <f t="shared" si="244"/>
        <v>0</v>
      </c>
      <c r="AX405" s="1200">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9"/>
      <c r="B406" s="3110"/>
      <c r="C406" s="3110"/>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1200">
        <f t="shared" si="243"/>
        <v>0</v>
      </c>
      <c r="AW406" s="1200">
        <f t="shared" si="244"/>
        <v>0</v>
      </c>
      <c r="AX406" s="1200">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9"/>
      <c r="B407" s="3110"/>
      <c r="C407" s="3110"/>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1200">
        <f t="shared" si="243"/>
        <v>0</v>
      </c>
      <c r="AW407" s="1200">
        <f t="shared" si="244"/>
        <v>0</v>
      </c>
      <c r="AX407" s="1200">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9"/>
      <c r="B408" s="3110"/>
      <c r="C408" s="3110"/>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1200">
        <f t="shared" si="243"/>
        <v>0</v>
      </c>
      <c r="AW408" s="1200">
        <f t="shared" si="244"/>
        <v>0</v>
      </c>
      <c r="AX408" s="1200">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9"/>
      <c r="B409" s="3110"/>
      <c r="C409" s="3110"/>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1200">
        <f t="shared" si="243"/>
        <v>0</v>
      </c>
      <c r="AW409" s="1200">
        <f t="shared" si="244"/>
        <v>0</v>
      </c>
      <c r="AX409" s="1200">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9"/>
      <c r="B410" s="3110"/>
      <c r="C410" s="3110"/>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1200">
        <f t="shared" si="243"/>
        <v>0</v>
      </c>
      <c r="AW410" s="1200">
        <f t="shared" si="244"/>
        <v>0</v>
      </c>
      <c r="AX410" s="1200">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9"/>
      <c r="B411" s="3110"/>
      <c r="C411" s="3110"/>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1200">
        <f t="shared" si="243"/>
        <v>0</v>
      </c>
      <c r="AW411" s="1200">
        <f t="shared" si="244"/>
        <v>0</v>
      </c>
      <c r="AX411" s="1200">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9"/>
      <c r="B412" s="3110"/>
      <c r="C412" s="3110"/>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1200">
        <f t="shared" si="243"/>
        <v>0</v>
      </c>
      <c r="AW412" s="1200">
        <f t="shared" si="244"/>
        <v>0</v>
      </c>
      <c r="AX412" s="1200">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9"/>
      <c r="B413" s="3110"/>
      <c r="C413" s="3110"/>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1200">
        <f t="shared" si="243"/>
        <v>0</v>
      </c>
      <c r="AW413" s="1200">
        <f t="shared" si="244"/>
        <v>0</v>
      </c>
      <c r="AX413" s="1200">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9"/>
      <c r="B414" s="3110"/>
      <c r="C414" s="3110"/>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1200">
        <f t="shared" si="243"/>
        <v>0</v>
      </c>
      <c r="AW414" s="1200">
        <f t="shared" si="244"/>
        <v>0</v>
      </c>
      <c r="AX414" s="1200">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9"/>
      <c r="B415" s="3110"/>
      <c r="C415" s="3110"/>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1200">
        <f t="shared" si="243"/>
        <v>0</v>
      </c>
      <c r="AW415" s="1200">
        <f t="shared" si="244"/>
        <v>0</v>
      </c>
      <c r="AX415" s="1200">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9"/>
      <c r="B416" s="3110"/>
      <c r="C416" s="3110"/>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1200">
        <f t="shared" si="243"/>
        <v>0</v>
      </c>
      <c r="AW416" s="1200">
        <f t="shared" si="244"/>
        <v>0</v>
      </c>
      <c r="AX416" s="1200">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9"/>
      <c r="B417" s="3110"/>
      <c r="C417" s="3110"/>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1200">
        <f t="shared" si="243"/>
        <v>0</v>
      </c>
      <c r="AW417" s="1200">
        <f t="shared" si="244"/>
        <v>0</v>
      </c>
      <c r="AX417" s="1200">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9"/>
      <c r="B418" s="3110"/>
      <c r="C418" s="3110"/>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1200">
        <f t="shared" si="243"/>
        <v>0</v>
      </c>
      <c r="AW418" s="1200">
        <f t="shared" si="244"/>
        <v>0</v>
      </c>
      <c r="AX418" s="1200">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9"/>
      <c r="B419" s="3110"/>
      <c r="C419" s="3110"/>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1200">
        <f t="shared" si="243"/>
        <v>0</v>
      </c>
      <c r="AW419" s="1200">
        <f t="shared" si="244"/>
        <v>0</v>
      </c>
      <c r="AX419" s="1200">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9"/>
      <c r="B420" s="3110"/>
      <c r="C420" s="3110"/>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1200">
        <f t="shared" si="243"/>
        <v>0</v>
      </c>
      <c r="AW420" s="1200">
        <f t="shared" si="244"/>
        <v>0</v>
      </c>
      <c r="AX420" s="1200">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9"/>
      <c r="B421" s="3110"/>
      <c r="C421" s="3110"/>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1200">
        <f t="shared" si="243"/>
        <v>0</v>
      </c>
      <c r="AW421" s="1200">
        <f t="shared" si="244"/>
        <v>0</v>
      </c>
      <c r="AX421" s="1200">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9"/>
      <c r="B422" s="3110"/>
      <c r="C422" s="3110"/>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1200">
        <f t="shared" si="243"/>
        <v>0</v>
      </c>
      <c r="AW422" s="1200">
        <f t="shared" si="244"/>
        <v>0</v>
      </c>
      <c r="AX422" s="1200">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9"/>
      <c r="B423" s="3110"/>
      <c r="C423" s="3110"/>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1200">
        <f t="shared" si="243"/>
        <v>0</v>
      </c>
      <c r="AW423" s="1200">
        <f t="shared" si="244"/>
        <v>0</v>
      </c>
      <c r="AX423" s="1200">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9"/>
      <c r="B424" s="3110"/>
      <c r="C424" s="3110"/>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1200">
        <f t="shared" si="243"/>
        <v>0</v>
      </c>
      <c r="AW424" s="1200">
        <f t="shared" si="244"/>
        <v>0</v>
      </c>
      <c r="AX424" s="1200">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9"/>
      <c r="B425" s="3110"/>
      <c r="C425" s="3110"/>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1200">
        <f t="shared" si="243"/>
        <v>0</v>
      </c>
      <c r="AW425" s="1200">
        <f t="shared" si="244"/>
        <v>0</v>
      </c>
      <c r="AX425" s="1200">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9"/>
      <c r="B426" s="3110"/>
      <c r="C426" s="3110"/>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1200">
        <f t="shared" si="243"/>
        <v>0</v>
      </c>
      <c r="AW426" s="1200">
        <f t="shared" si="244"/>
        <v>0</v>
      </c>
      <c r="AX426" s="1200">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9"/>
      <c r="B427" s="3110"/>
      <c r="C427" s="3110"/>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1200">
        <f t="shared" si="243"/>
        <v>0</v>
      </c>
      <c r="AW427" s="1200">
        <f t="shared" si="244"/>
        <v>0</v>
      </c>
      <c r="AX427" s="1200">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9"/>
      <c r="B428" s="3110"/>
      <c r="C428" s="3110"/>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1200">
        <f t="shared" si="243"/>
        <v>0</v>
      </c>
      <c r="AW428" s="1200">
        <f t="shared" si="244"/>
        <v>0</v>
      </c>
      <c r="AX428" s="1200">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9"/>
      <c r="B429" s="3110"/>
      <c r="C429" s="3110"/>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1200">
        <f t="shared" si="243"/>
        <v>0</v>
      </c>
      <c r="AW429" s="1200">
        <f t="shared" si="244"/>
        <v>0</v>
      </c>
      <c r="AX429" s="1200">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9"/>
      <c r="B430" s="3110"/>
      <c r="C430" s="3110"/>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1200">
        <f t="shared" si="243"/>
        <v>0</v>
      </c>
      <c r="AW430" s="1200">
        <f t="shared" si="244"/>
        <v>0</v>
      </c>
      <c r="AX430" s="1200">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9"/>
      <c r="B431" s="3110"/>
      <c r="C431" s="3110"/>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1200">
        <f t="shared" si="243"/>
        <v>0</v>
      </c>
      <c r="AW431" s="1200">
        <f t="shared" si="244"/>
        <v>0</v>
      </c>
      <c r="AX431" s="1200">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9"/>
      <c r="B432" s="3110"/>
      <c r="C432" s="3110"/>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1200">
        <f t="shared" si="243"/>
        <v>0</v>
      </c>
      <c r="AW432" s="1200">
        <f t="shared" si="244"/>
        <v>0</v>
      </c>
      <c r="AX432" s="1200">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9"/>
      <c r="B433" s="3110"/>
      <c r="C433" s="3110"/>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1200">
        <f t="shared" si="243"/>
        <v>0</v>
      </c>
      <c r="AW433" s="1200">
        <f t="shared" si="244"/>
        <v>0</v>
      </c>
      <c r="AX433" s="1200">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9"/>
      <c r="B434" s="3110"/>
      <c r="C434" s="3110"/>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1200">
        <f t="shared" si="243"/>
        <v>0</v>
      </c>
      <c r="AW434" s="1200">
        <f t="shared" si="244"/>
        <v>0</v>
      </c>
      <c r="AX434" s="1200">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9"/>
      <c r="B435" s="3110"/>
      <c r="C435" s="3110"/>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1200">
        <f t="shared" si="243"/>
        <v>0</v>
      </c>
      <c r="AW435" s="1200">
        <f t="shared" si="244"/>
        <v>0</v>
      </c>
      <c r="AX435" s="1200">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9"/>
      <c r="B436" s="3110"/>
      <c r="C436" s="3110"/>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1200">
        <f t="shared" si="243"/>
        <v>0</v>
      </c>
      <c r="AW436" s="1200">
        <f t="shared" si="244"/>
        <v>0</v>
      </c>
      <c r="AX436" s="1200">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9"/>
      <c r="B437" s="3110"/>
      <c r="C437" s="3110"/>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1200">
        <f t="shared" si="243"/>
        <v>0</v>
      </c>
      <c r="AW437" s="1200">
        <f t="shared" si="244"/>
        <v>0</v>
      </c>
      <c r="AX437" s="1200">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9"/>
      <c r="B438" s="3110"/>
      <c r="C438" s="3110"/>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1200">
        <f t="shared" si="243"/>
        <v>0</v>
      </c>
      <c r="AW438" s="1200">
        <f t="shared" si="244"/>
        <v>0</v>
      </c>
      <c r="AX438" s="1200">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9"/>
      <c r="B439" s="3110"/>
      <c r="C439" s="3110"/>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1200">
        <f t="shared" si="243"/>
        <v>0</v>
      </c>
      <c r="AW439" s="1200">
        <f t="shared" si="244"/>
        <v>0</v>
      </c>
      <c r="AX439" s="1200">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9"/>
      <c r="B440" s="3110"/>
      <c r="C440" s="3110"/>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1200">
        <f t="shared" si="243"/>
        <v>0</v>
      </c>
      <c r="AW440" s="1200">
        <f t="shared" si="244"/>
        <v>0</v>
      </c>
      <c r="AX440" s="1200">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9"/>
      <c r="B441" s="3110"/>
      <c r="C441" s="3110"/>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1200">
        <f t="shared" si="243"/>
        <v>0</v>
      </c>
      <c r="AW441" s="1200">
        <f t="shared" si="244"/>
        <v>0</v>
      </c>
      <c r="AX441" s="1200">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9"/>
      <c r="B442" s="3110"/>
      <c r="C442" s="3110"/>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1200">
        <f t="shared" si="243"/>
        <v>0</v>
      </c>
      <c r="AW442" s="1200">
        <f t="shared" si="244"/>
        <v>0</v>
      </c>
      <c r="AX442" s="1200">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9"/>
      <c r="B443" s="3110"/>
      <c r="C443" s="3110"/>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1200">
        <f t="shared" si="243"/>
        <v>0</v>
      </c>
      <c r="AW443" s="1200">
        <f t="shared" si="244"/>
        <v>0</v>
      </c>
      <c r="AX443" s="1200">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9"/>
      <c r="B444" s="3110"/>
      <c r="C444" s="3110"/>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1200">
        <f t="shared" si="243"/>
        <v>0</v>
      </c>
      <c r="AW444" s="1200">
        <f t="shared" si="244"/>
        <v>0</v>
      </c>
      <c r="AX444" s="1200">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9"/>
      <c r="B445" s="3110"/>
      <c r="C445" s="3110"/>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1200">
        <f t="shared" si="243"/>
        <v>0</v>
      </c>
      <c r="AW445" s="1200">
        <f t="shared" si="244"/>
        <v>0</v>
      </c>
      <c r="AX445" s="1200">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9"/>
      <c r="B446" s="3110"/>
      <c r="C446" s="3110"/>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1200">
        <f t="shared" si="243"/>
        <v>0</v>
      </c>
      <c r="AW446" s="1200">
        <f t="shared" si="244"/>
        <v>0</v>
      </c>
      <c r="AX446" s="1200">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9"/>
      <c r="B447" s="3110"/>
      <c r="C447" s="3110"/>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1200">
        <f t="shared" si="243"/>
        <v>0</v>
      </c>
      <c r="AW447" s="1200">
        <f t="shared" si="244"/>
        <v>0</v>
      </c>
      <c r="AX447" s="1200">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9"/>
      <c r="B448" s="3110"/>
      <c r="C448" s="3110"/>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1200">
        <f t="shared" si="243"/>
        <v>0</v>
      </c>
      <c r="AW448" s="1200">
        <f t="shared" si="244"/>
        <v>0</v>
      </c>
      <c r="AX448" s="1200">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9"/>
      <c r="B449" s="3110"/>
      <c r="C449" s="3110"/>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1200">
        <f t="shared" si="243"/>
        <v>0</v>
      </c>
      <c r="AW449" s="1200">
        <f t="shared" si="244"/>
        <v>0</v>
      </c>
      <c r="AX449" s="1200">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9"/>
      <c r="B450" s="3110"/>
      <c r="C450" s="3110"/>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1200">
        <f t="shared" si="243"/>
        <v>0</v>
      </c>
      <c r="AW450" s="1200">
        <f t="shared" si="244"/>
        <v>0</v>
      </c>
      <c r="AX450" s="1200">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9"/>
      <c r="B451" s="3110"/>
      <c r="C451" s="3110"/>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1200">
        <f t="shared" si="243"/>
        <v>0</v>
      </c>
      <c r="AW451" s="1200">
        <f t="shared" si="244"/>
        <v>0</v>
      </c>
      <c r="AX451" s="1200">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9"/>
      <c r="B452" s="3110"/>
      <c r="C452" s="3110"/>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1200">
        <f t="shared" si="243"/>
        <v>0</v>
      </c>
      <c r="AW452" s="1200">
        <f t="shared" si="244"/>
        <v>0</v>
      </c>
      <c r="AX452" s="1200">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9"/>
      <c r="B453" s="3110"/>
      <c r="C453" s="3110"/>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1200">
        <f t="shared" si="243"/>
        <v>0</v>
      </c>
      <c r="AW453" s="1200">
        <f t="shared" si="244"/>
        <v>0</v>
      </c>
      <c r="AX453" s="1200">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9"/>
      <c r="B454" s="3110"/>
      <c r="C454" s="3110"/>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1200">
        <f t="shared" si="243"/>
        <v>0</v>
      </c>
      <c r="AW454" s="1200">
        <f t="shared" si="244"/>
        <v>0</v>
      </c>
      <c r="AX454" s="1200">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9"/>
      <c r="B455" s="3110"/>
      <c r="C455" s="3110"/>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1200">
        <f t="shared" si="243"/>
        <v>0</v>
      </c>
      <c r="AW455" s="1200">
        <f t="shared" si="244"/>
        <v>0</v>
      </c>
      <c r="AX455" s="1200">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9"/>
      <c r="B456" s="3110"/>
      <c r="C456" s="3110"/>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1200">
        <f t="shared" si="243"/>
        <v>0</v>
      </c>
      <c r="AW456" s="1200">
        <f t="shared" si="244"/>
        <v>0</v>
      </c>
      <c r="AX456" s="1200">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9"/>
      <c r="B457" s="3110"/>
      <c r="C457" s="3110"/>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1200">
        <f t="shared" si="243"/>
        <v>0</v>
      </c>
      <c r="AW457" s="1200">
        <f t="shared" si="244"/>
        <v>0</v>
      </c>
      <c r="AX457" s="1200">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9"/>
      <c r="B458" s="3110"/>
      <c r="C458" s="3110"/>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1200">
        <f t="shared" si="243"/>
        <v>0</v>
      </c>
      <c r="AW458" s="1200">
        <f t="shared" si="244"/>
        <v>0</v>
      </c>
      <c r="AX458" s="1200">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9"/>
      <c r="B459" s="3110"/>
      <c r="C459" s="3110"/>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1200">
        <f t="shared" si="243"/>
        <v>0</v>
      </c>
      <c r="AW459" s="1200">
        <f t="shared" si="244"/>
        <v>0</v>
      </c>
      <c r="AX459" s="1200">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9"/>
      <c r="B460" s="3110"/>
      <c r="C460" s="3110"/>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1200">
        <f t="shared" si="243"/>
        <v>0</v>
      </c>
      <c r="AW460" s="1200">
        <f t="shared" si="244"/>
        <v>0</v>
      </c>
      <c r="AX460" s="1200">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9"/>
      <c r="B461" s="3110"/>
      <c r="C461" s="3110"/>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1200">
        <f t="shared" si="243"/>
        <v>0</v>
      </c>
      <c r="AW461" s="1200">
        <f t="shared" si="244"/>
        <v>0</v>
      </c>
      <c r="AX461" s="1200">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9"/>
      <c r="B462" s="3110"/>
      <c r="C462" s="3110"/>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1200">
        <f t="shared" si="243"/>
        <v>0</v>
      </c>
      <c r="AW462" s="1200">
        <f t="shared" si="244"/>
        <v>0</v>
      </c>
      <c r="AX462" s="1200">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9"/>
      <c r="B463" s="3110"/>
      <c r="C463" s="3110"/>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1200">
        <f t="shared" si="243"/>
        <v>0</v>
      </c>
      <c r="AW463" s="1200">
        <f t="shared" si="244"/>
        <v>0</v>
      </c>
      <c r="AX463" s="1200">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9"/>
      <c r="B464" s="3110"/>
      <c r="C464" s="3110"/>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1200">
        <f t="shared" si="243"/>
        <v>0</v>
      </c>
      <c r="AW464" s="1200">
        <f t="shared" si="244"/>
        <v>0</v>
      </c>
      <c r="AX464" s="1200">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9"/>
      <c r="B465" s="3110"/>
      <c r="C465" s="3110"/>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1200">
        <f t="shared" si="243"/>
        <v>0</v>
      </c>
      <c r="AW465" s="1200">
        <f t="shared" si="244"/>
        <v>0</v>
      </c>
      <c r="AX465" s="1200">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9"/>
      <c r="B466" s="3110"/>
      <c r="C466" s="3110"/>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1200">
        <f t="shared" si="243"/>
        <v>0</v>
      </c>
      <c r="AW466" s="1200">
        <f t="shared" si="244"/>
        <v>0</v>
      </c>
      <c r="AX466" s="1200">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9"/>
      <c r="B467" s="3110"/>
      <c r="C467" s="3110"/>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1200">
        <f t="shared" si="243"/>
        <v>0</v>
      </c>
      <c r="AW467" s="1200">
        <f t="shared" si="244"/>
        <v>0</v>
      </c>
      <c r="AX467" s="1200">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9"/>
      <c r="B468" s="3110"/>
      <c r="C468" s="3110"/>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1200">
        <f t="shared" si="243"/>
        <v>0</v>
      </c>
      <c r="AW468" s="1200">
        <f t="shared" si="244"/>
        <v>0</v>
      </c>
      <c r="AX468" s="1200">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9"/>
      <c r="B469" s="3110"/>
      <c r="C469" s="3110"/>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1200">
        <f t="shared" si="243"/>
        <v>0</v>
      </c>
      <c r="AW469" s="1200">
        <f t="shared" si="244"/>
        <v>0</v>
      </c>
      <c r="AX469" s="1200">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9"/>
      <c r="B470" s="3110"/>
      <c r="C470" s="3110"/>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1200">
        <f t="shared" si="243"/>
        <v>0</v>
      </c>
      <c r="AW470" s="1200">
        <f t="shared" si="244"/>
        <v>0</v>
      </c>
      <c r="AX470" s="1200">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9"/>
      <c r="B471" s="3110"/>
      <c r="C471" s="3110"/>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1200">
        <f t="shared" si="243"/>
        <v>0</v>
      </c>
      <c r="AW471" s="1200">
        <f t="shared" si="244"/>
        <v>0</v>
      </c>
      <c r="AX471" s="1200">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9"/>
      <c r="B472" s="3110"/>
      <c r="C472" s="3110"/>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1200">
        <f t="shared" si="243"/>
        <v>0</v>
      </c>
      <c r="AW472" s="1200">
        <f t="shared" si="244"/>
        <v>0</v>
      </c>
      <c r="AX472" s="1200">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9"/>
      <c r="B473" s="3110"/>
      <c r="C473" s="3110"/>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1200">
        <f t="shared" si="243"/>
        <v>0</v>
      </c>
      <c r="AW473" s="1200">
        <f t="shared" si="244"/>
        <v>0</v>
      </c>
      <c r="AX473" s="1200">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9"/>
      <c r="B474" s="3110"/>
      <c r="C474" s="3110"/>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1200">
        <f t="shared" si="243"/>
        <v>0</v>
      </c>
      <c r="AW474" s="1200">
        <f t="shared" si="244"/>
        <v>0</v>
      </c>
      <c r="AX474" s="1200">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9"/>
      <c r="B475" s="3110"/>
      <c r="C475" s="3110"/>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1200">
        <f t="shared" si="243"/>
        <v>0</v>
      </c>
      <c r="AW475" s="1200">
        <f t="shared" si="244"/>
        <v>0</v>
      </c>
      <c r="AX475" s="1200">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9"/>
      <c r="B476" s="3110"/>
      <c r="C476" s="3110"/>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1200">
        <f t="shared" si="243"/>
        <v>0</v>
      </c>
      <c r="AW476" s="1200">
        <f t="shared" si="244"/>
        <v>0</v>
      </c>
      <c r="AX476" s="1200">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9"/>
      <c r="B477" s="3110"/>
      <c r="C477" s="3110"/>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1200">
        <f t="shared" si="243"/>
        <v>0</v>
      </c>
      <c r="AW477" s="1200">
        <f t="shared" si="244"/>
        <v>0</v>
      </c>
      <c r="AX477" s="1200">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9"/>
      <c r="B478" s="3110"/>
      <c r="C478" s="3110"/>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1200">
        <f t="shared" si="243"/>
        <v>0</v>
      </c>
      <c r="AW478" s="1200">
        <f t="shared" si="244"/>
        <v>0</v>
      </c>
      <c r="AX478" s="1200">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9"/>
      <c r="B479" s="3110"/>
      <c r="C479" s="3110"/>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1200">
        <f t="shared" si="243"/>
        <v>0</v>
      </c>
      <c r="AW479" s="1200">
        <f t="shared" si="244"/>
        <v>0</v>
      </c>
      <c r="AX479" s="1200">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9"/>
      <c r="B480" s="3110"/>
      <c r="C480" s="3110"/>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1200">
        <f t="shared" si="243"/>
        <v>0</v>
      </c>
      <c r="AW480" s="1200">
        <f t="shared" si="244"/>
        <v>0</v>
      </c>
      <c r="AX480" s="1200">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9"/>
      <c r="B481" s="3110"/>
      <c r="C481" s="3110"/>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1200">
        <f t="shared" si="243"/>
        <v>0</v>
      </c>
      <c r="AW481" s="1200">
        <f t="shared" si="244"/>
        <v>0</v>
      </c>
      <c r="AX481" s="1200">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9"/>
      <c r="B482" s="3110"/>
      <c r="C482" s="3110"/>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1200">
        <f t="shared" si="243"/>
        <v>0</v>
      </c>
      <c r="AW482" s="1200">
        <f t="shared" si="244"/>
        <v>0</v>
      </c>
      <c r="AX482" s="1200">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9"/>
      <c r="B483" s="3110"/>
      <c r="C483" s="3110"/>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1200">
        <f t="shared" si="243"/>
        <v>0</v>
      </c>
      <c r="AW483" s="1200">
        <f t="shared" si="244"/>
        <v>0</v>
      </c>
      <c r="AX483" s="1200">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9"/>
      <c r="B484" s="3110"/>
      <c r="C484" s="3110"/>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1200">
        <f t="shared" si="243"/>
        <v>0</v>
      </c>
      <c r="AW484" s="1200">
        <f t="shared" si="244"/>
        <v>0</v>
      </c>
      <c r="AX484" s="1200">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9"/>
      <c r="B485" s="3110"/>
      <c r="C485" s="3110"/>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1200">
        <f t="shared" si="243"/>
        <v>0</v>
      </c>
      <c r="AW485" s="1200">
        <f t="shared" si="244"/>
        <v>0</v>
      </c>
      <c r="AX485" s="1200">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9"/>
      <c r="B486" s="3110"/>
      <c r="C486" s="3110"/>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1200">
        <f t="shared" si="243"/>
        <v>0</v>
      </c>
      <c r="AW486" s="1200">
        <f t="shared" si="244"/>
        <v>0</v>
      </c>
      <c r="AX486" s="1200">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9"/>
      <c r="B487" s="3110"/>
      <c r="C487" s="3110"/>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1200">
        <f t="shared" si="243"/>
        <v>0</v>
      </c>
      <c r="AW487" s="1200">
        <f t="shared" si="244"/>
        <v>0</v>
      </c>
      <c r="AX487" s="1200">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9"/>
      <c r="B488" s="3110"/>
      <c r="C488" s="3110"/>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1200">
        <f t="shared" si="243"/>
        <v>0</v>
      </c>
      <c r="AW488" s="1200">
        <f t="shared" si="244"/>
        <v>0</v>
      </c>
      <c r="AX488" s="1200">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9"/>
      <c r="B489" s="3110"/>
      <c r="C489" s="3110"/>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1200">
        <f t="shared" si="243"/>
        <v>0</v>
      </c>
      <c r="AW489" s="1200">
        <f t="shared" si="244"/>
        <v>0</v>
      </c>
      <c r="AX489" s="1200">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9"/>
      <c r="B490" s="3109"/>
      <c r="C490" s="3109"/>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1200">
        <f t="shared" si="243"/>
        <v>0</v>
      </c>
      <c r="AW490" s="1200">
        <f t="shared" si="244"/>
        <v>0</v>
      </c>
      <c r="AX490" s="1200">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9"/>
      <c r="B491" s="3109"/>
      <c r="C491" s="3109"/>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1200">
        <f t="shared" si="243"/>
        <v>0</v>
      </c>
      <c r="AW491" s="1200">
        <f t="shared" si="244"/>
        <v>0</v>
      </c>
      <c r="AX491" s="1200">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9"/>
      <c r="B492" s="3109"/>
      <c r="C492" s="3109"/>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1200">
        <f t="shared" si="243"/>
        <v>0</v>
      </c>
      <c r="AW492" s="1200">
        <f t="shared" si="244"/>
        <v>0</v>
      </c>
      <c r="AX492" s="1200">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9"/>
      <c r="B493" s="3110"/>
      <c r="C493" s="3110"/>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1200">
        <f t="shared" ref="AV493:AV520" si="294">A493</f>
        <v>0</v>
      </c>
      <c r="AW493" s="1200">
        <f t="shared" ref="AW493:AW520" si="295">B493</f>
        <v>0</v>
      </c>
      <c r="AX493" s="1200">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9"/>
      <c r="B494" s="3110"/>
      <c r="C494" s="3110"/>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1200">
        <f t="shared" si="294"/>
        <v>0</v>
      </c>
      <c r="AW494" s="1200">
        <f t="shared" si="295"/>
        <v>0</v>
      </c>
      <c r="AX494" s="1200">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9"/>
      <c r="B495" s="3110"/>
      <c r="C495" s="3110"/>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1200">
        <f t="shared" si="294"/>
        <v>0</v>
      </c>
      <c r="AW495" s="1200">
        <f t="shared" si="295"/>
        <v>0</v>
      </c>
      <c r="AX495" s="1200">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9"/>
      <c r="B496" s="3110"/>
      <c r="C496" s="3110"/>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1200">
        <f t="shared" si="294"/>
        <v>0</v>
      </c>
      <c r="AW496" s="1200">
        <f t="shared" si="295"/>
        <v>0</v>
      </c>
      <c r="AX496" s="1200">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9"/>
      <c r="B497" s="3110"/>
      <c r="C497" s="3110"/>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1200">
        <f t="shared" si="294"/>
        <v>0</v>
      </c>
      <c r="AW497" s="1200">
        <f t="shared" si="295"/>
        <v>0</v>
      </c>
      <c r="AX497" s="1200">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9"/>
      <c r="B498" s="3110"/>
      <c r="C498" s="3110"/>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1200">
        <f t="shared" si="294"/>
        <v>0</v>
      </c>
      <c r="AW498" s="1200">
        <f t="shared" si="295"/>
        <v>0</v>
      </c>
      <c r="AX498" s="1200">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9"/>
      <c r="B499" s="3110"/>
      <c r="C499" s="3110"/>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1200">
        <f t="shared" si="294"/>
        <v>0</v>
      </c>
      <c r="AW499" s="1200">
        <f t="shared" si="295"/>
        <v>0</v>
      </c>
      <c r="AX499" s="1200">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9"/>
      <c r="B500" s="3110"/>
      <c r="C500" s="3110"/>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1200">
        <f t="shared" si="294"/>
        <v>0</v>
      </c>
      <c r="AW500" s="1200">
        <f t="shared" si="295"/>
        <v>0</v>
      </c>
      <c r="AX500" s="1200">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9"/>
      <c r="B501" s="3110"/>
      <c r="C501" s="3110"/>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1200">
        <f t="shared" si="294"/>
        <v>0</v>
      </c>
      <c r="AW501" s="1200">
        <f t="shared" si="295"/>
        <v>0</v>
      </c>
      <c r="AX501" s="1200">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9"/>
      <c r="B502" s="3110"/>
      <c r="C502" s="3110"/>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1200">
        <f t="shared" si="294"/>
        <v>0</v>
      </c>
      <c r="AW502" s="1200">
        <f t="shared" si="295"/>
        <v>0</v>
      </c>
      <c r="AX502" s="1200">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9"/>
      <c r="B503" s="3110"/>
      <c r="C503" s="3110"/>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1200">
        <f t="shared" si="294"/>
        <v>0</v>
      </c>
      <c r="AW503" s="1200">
        <f t="shared" si="295"/>
        <v>0</v>
      </c>
      <c r="AX503" s="1200">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9"/>
      <c r="B504" s="3110"/>
      <c r="C504" s="3110"/>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1200">
        <f t="shared" si="294"/>
        <v>0</v>
      </c>
      <c r="AW504" s="1200">
        <f t="shared" si="295"/>
        <v>0</v>
      </c>
      <c r="AX504" s="1200">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9"/>
      <c r="B505" s="3110"/>
      <c r="C505" s="3110"/>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1200">
        <f t="shared" si="294"/>
        <v>0</v>
      </c>
      <c r="AW505" s="1200">
        <f t="shared" si="295"/>
        <v>0</v>
      </c>
      <c r="AX505" s="1200">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9"/>
      <c r="B506" s="3110"/>
      <c r="C506" s="3110"/>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1200">
        <f t="shared" si="294"/>
        <v>0</v>
      </c>
      <c r="AW506" s="1200">
        <f t="shared" si="295"/>
        <v>0</v>
      </c>
      <c r="AX506" s="1200">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9"/>
      <c r="B507" s="3110"/>
      <c r="C507" s="3110"/>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1200">
        <f t="shared" si="294"/>
        <v>0</v>
      </c>
      <c r="AW507" s="1200">
        <f t="shared" si="295"/>
        <v>0</v>
      </c>
      <c r="AX507" s="1200">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9"/>
      <c r="B508" s="3110"/>
      <c r="C508" s="3110"/>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1200">
        <f t="shared" si="294"/>
        <v>0</v>
      </c>
      <c r="AW508" s="1200">
        <f t="shared" si="295"/>
        <v>0</v>
      </c>
      <c r="AX508" s="1200">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9"/>
      <c r="B509" s="3110"/>
      <c r="C509" s="3110"/>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1200">
        <f t="shared" si="294"/>
        <v>0</v>
      </c>
      <c r="AW509" s="1200">
        <f t="shared" si="295"/>
        <v>0</v>
      </c>
      <c r="AX509" s="1200">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9"/>
      <c r="B510" s="3110"/>
      <c r="C510" s="3110"/>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1200">
        <f t="shared" si="294"/>
        <v>0</v>
      </c>
      <c r="AW510" s="1200">
        <f t="shared" si="295"/>
        <v>0</v>
      </c>
      <c r="AX510" s="1200">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9"/>
      <c r="B511" s="3110"/>
      <c r="C511" s="3110"/>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1200">
        <f t="shared" si="294"/>
        <v>0</v>
      </c>
      <c r="AW511" s="1200">
        <f t="shared" si="295"/>
        <v>0</v>
      </c>
      <c r="AX511" s="1200">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9"/>
      <c r="B512" s="3110"/>
      <c r="C512" s="3110"/>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1200">
        <f t="shared" si="294"/>
        <v>0</v>
      </c>
      <c r="AW512" s="1200">
        <f t="shared" si="295"/>
        <v>0</v>
      </c>
      <c r="AX512" s="1200">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9"/>
      <c r="B513" s="3110"/>
      <c r="C513" s="3110"/>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1200">
        <f t="shared" si="294"/>
        <v>0</v>
      </c>
      <c r="AW513" s="1200">
        <f t="shared" si="295"/>
        <v>0</v>
      </c>
      <c r="AX513" s="1200">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9"/>
      <c r="B514" s="3110"/>
      <c r="C514" s="3110"/>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1200">
        <f t="shared" si="294"/>
        <v>0</v>
      </c>
      <c r="AW514" s="1200">
        <f t="shared" si="295"/>
        <v>0</v>
      </c>
      <c r="AX514" s="1200">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9"/>
      <c r="B515" s="3110"/>
      <c r="C515" s="3110"/>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1200">
        <f t="shared" si="294"/>
        <v>0</v>
      </c>
      <c r="AW515" s="1200">
        <f t="shared" si="295"/>
        <v>0</v>
      </c>
      <c r="AX515" s="1200">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9"/>
      <c r="B516" s="3110"/>
      <c r="C516" s="3110"/>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1200">
        <f t="shared" si="294"/>
        <v>0</v>
      </c>
      <c r="AW516" s="1200">
        <f t="shared" si="295"/>
        <v>0</v>
      </c>
      <c r="AX516" s="1200">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9"/>
      <c r="B517" s="3110"/>
      <c r="C517" s="3110"/>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1200">
        <f t="shared" si="294"/>
        <v>0</v>
      </c>
      <c r="AW517" s="1200">
        <f t="shared" si="295"/>
        <v>0</v>
      </c>
      <c r="AX517" s="1200">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9"/>
      <c r="B518" s="3110"/>
      <c r="C518" s="3110"/>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1200">
        <f t="shared" si="294"/>
        <v>0</v>
      </c>
      <c r="AW518" s="1200">
        <f t="shared" si="295"/>
        <v>0</v>
      </c>
      <c r="AX518" s="1200">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9"/>
      <c r="B519" s="3110"/>
      <c r="C519" s="3110"/>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1200">
        <f t="shared" si="294"/>
        <v>0</v>
      </c>
      <c r="AW519" s="1200">
        <f t="shared" si="295"/>
        <v>0</v>
      </c>
      <c r="AX519" s="1200">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9"/>
      <c r="B520" s="3110"/>
      <c r="C520" s="3110"/>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1200">
        <f t="shared" si="294"/>
        <v>0</v>
      </c>
      <c r="AW520" s="1200">
        <f t="shared" si="295"/>
        <v>0</v>
      </c>
      <c r="AX520" s="1200">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9"/>
      <c r="B521" s="3110"/>
      <c r="C521" s="3110"/>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1200">
        <f t="shared" ref="AV521:AV552" si="298">A521</f>
        <v>0</v>
      </c>
      <c r="AW521" s="1200">
        <f t="shared" ref="AW521:AW552" si="299">B521</f>
        <v>0</v>
      </c>
      <c r="AX521" s="1200">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9"/>
      <c r="B522" s="3110"/>
      <c r="C522" s="3110"/>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1200">
        <f t="shared" si="298"/>
        <v>0</v>
      </c>
      <c r="AW522" s="1200">
        <f t="shared" si="299"/>
        <v>0</v>
      </c>
      <c r="AX522" s="1200">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9"/>
      <c r="B523" s="3110"/>
      <c r="C523" s="3110"/>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1200">
        <f t="shared" si="298"/>
        <v>0</v>
      </c>
      <c r="AW523" s="1200">
        <f t="shared" si="299"/>
        <v>0</v>
      </c>
      <c r="AX523" s="1200">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9"/>
      <c r="B524" s="3110"/>
      <c r="C524" s="3110"/>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1200">
        <f t="shared" si="298"/>
        <v>0</v>
      </c>
      <c r="AW524" s="1200">
        <f t="shared" si="299"/>
        <v>0</v>
      </c>
      <c r="AX524" s="1200">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9"/>
      <c r="B525" s="3110"/>
      <c r="C525" s="3110"/>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1200">
        <f t="shared" si="298"/>
        <v>0</v>
      </c>
      <c r="AW525" s="1200">
        <f t="shared" si="299"/>
        <v>0</v>
      </c>
      <c r="AX525" s="1200">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9"/>
      <c r="B526" s="3110"/>
      <c r="C526" s="3110"/>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1200">
        <f t="shared" si="298"/>
        <v>0</v>
      </c>
      <c r="AW526" s="1200">
        <f t="shared" si="299"/>
        <v>0</v>
      </c>
      <c r="AX526" s="1200">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9"/>
      <c r="B527" s="3110"/>
      <c r="C527" s="3110"/>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1200">
        <f t="shared" si="298"/>
        <v>0</v>
      </c>
      <c r="AW527" s="1200">
        <f t="shared" si="299"/>
        <v>0</v>
      </c>
      <c r="AX527" s="1200">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9"/>
      <c r="B528" s="3110"/>
      <c r="C528" s="3110"/>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1200">
        <f t="shared" si="298"/>
        <v>0</v>
      </c>
      <c r="AW528" s="1200">
        <f t="shared" si="299"/>
        <v>0</v>
      </c>
      <c r="AX528" s="1200">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9"/>
      <c r="B529" s="3110"/>
      <c r="C529" s="3110"/>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1200">
        <f t="shared" si="298"/>
        <v>0</v>
      </c>
      <c r="AW529" s="1200">
        <f t="shared" si="299"/>
        <v>0</v>
      </c>
      <c r="AX529" s="1200">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9"/>
      <c r="B530" s="3110"/>
      <c r="C530" s="3110"/>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1200">
        <f t="shared" si="298"/>
        <v>0</v>
      </c>
      <c r="AW530" s="1200">
        <f t="shared" si="299"/>
        <v>0</v>
      </c>
      <c r="AX530" s="1200">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9"/>
      <c r="B531" s="3110"/>
      <c r="C531" s="3110"/>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1200">
        <f t="shared" si="298"/>
        <v>0</v>
      </c>
      <c r="AW531" s="1200">
        <f t="shared" si="299"/>
        <v>0</v>
      </c>
      <c r="AX531" s="1200">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9"/>
      <c r="B532" s="3110"/>
      <c r="C532" s="3110"/>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1200">
        <f t="shared" si="298"/>
        <v>0</v>
      </c>
      <c r="AW532" s="1200">
        <f t="shared" si="299"/>
        <v>0</v>
      </c>
      <c r="AX532" s="1200">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9"/>
      <c r="B533" s="3110"/>
      <c r="C533" s="3110"/>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1200">
        <f t="shared" si="298"/>
        <v>0</v>
      </c>
      <c r="AW533" s="1200">
        <f t="shared" si="299"/>
        <v>0</v>
      </c>
      <c r="AX533" s="1200">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9"/>
      <c r="B534" s="3110"/>
      <c r="C534" s="3110"/>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1200">
        <f t="shared" si="298"/>
        <v>0</v>
      </c>
      <c r="AW534" s="1200">
        <f t="shared" si="299"/>
        <v>0</v>
      </c>
      <c r="AX534" s="1200">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9"/>
      <c r="B535" s="3110"/>
      <c r="C535" s="3110"/>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1200">
        <f t="shared" si="298"/>
        <v>0</v>
      </c>
      <c r="AW535" s="1200">
        <f t="shared" si="299"/>
        <v>0</v>
      </c>
      <c r="AX535" s="1200">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9"/>
      <c r="B536" s="3110"/>
      <c r="C536" s="3110"/>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1200">
        <f t="shared" si="298"/>
        <v>0</v>
      </c>
      <c r="AW536" s="1200">
        <f t="shared" si="299"/>
        <v>0</v>
      </c>
      <c r="AX536" s="1200">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9"/>
      <c r="B537" s="3110"/>
      <c r="C537" s="3110"/>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1200">
        <f t="shared" si="298"/>
        <v>0</v>
      </c>
      <c r="AW537" s="1200">
        <f t="shared" si="299"/>
        <v>0</v>
      </c>
      <c r="AX537" s="1200">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9"/>
      <c r="B538" s="3110"/>
      <c r="C538" s="3110"/>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1200">
        <f t="shared" si="298"/>
        <v>0</v>
      </c>
      <c r="AW538" s="1200">
        <f t="shared" si="299"/>
        <v>0</v>
      </c>
      <c r="AX538" s="1200">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9"/>
      <c r="B539" s="3110"/>
      <c r="C539" s="3110"/>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1200">
        <f t="shared" si="298"/>
        <v>0</v>
      </c>
      <c r="AW539" s="1200">
        <f t="shared" si="299"/>
        <v>0</v>
      </c>
      <c r="AX539" s="1200">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9"/>
      <c r="B540" s="3110"/>
      <c r="C540" s="3110"/>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1200">
        <f t="shared" si="298"/>
        <v>0</v>
      </c>
      <c r="AW540" s="1200">
        <f t="shared" si="299"/>
        <v>0</v>
      </c>
      <c r="AX540" s="1200">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9"/>
      <c r="B541" s="3110"/>
      <c r="C541" s="3110"/>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1200">
        <f t="shared" si="298"/>
        <v>0</v>
      </c>
      <c r="AW541" s="1200">
        <f t="shared" si="299"/>
        <v>0</v>
      </c>
      <c r="AX541" s="1200">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9"/>
      <c r="B542" s="3110"/>
      <c r="C542" s="3110"/>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1200">
        <f t="shared" si="298"/>
        <v>0</v>
      </c>
      <c r="AW542" s="1200">
        <f t="shared" si="299"/>
        <v>0</v>
      </c>
      <c r="AX542" s="1200">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9"/>
      <c r="B543" s="3110"/>
      <c r="C543" s="3110"/>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1200">
        <f t="shared" si="298"/>
        <v>0</v>
      </c>
      <c r="AW543" s="1200">
        <f t="shared" si="299"/>
        <v>0</v>
      </c>
      <c r="AX543" s="1200">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9"/>
      <c r="B544" s="3110"/>
      <c r="C544" s="3110"/>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1200">
        <f t="shared" si="298"/>
        <v>0</v>
      </c>
      <c r="AW544" s="1200">
        <f t="shared" si="299"/>
        <v>0</v>
      </c>
      <c r="AX544" s="1200">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9"/>
      <c r="B545" s="3110"/>
      <c r="C545" s="3110"/>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1200">
        <f t="shared" si="298"/>
        <v>0</v>
      </c>
      <c r="AW545" s="1200">
        <f t="shared" si="299"/>
        <v>0</v>
      </c>
      <c r="AX545" s="1200">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9"/>
      <c r="B546" s="3110"/>
      <c r="C546" s="3110"/>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1200">
        <f t="shared" si="298"/>
        <v>0</v>
      </c>
      <c r="AW546" s="1200">
        <f t="shared" si="299"/>
        <v>0</v>
      </c>
      <c r="AX546" s="1200">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9"/>
      <c r="B547" s="3110"/>
      <c r="C547" s="3110"/>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1200">
        <f t="shared" si="298"/>
        <v>0</v>
      </c>
      <c r="AW547" s="1200">
        <f t="shared" si="299"/>
        <v>0</v>
      </c>
      <c r="AX547" s="1200">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9"/>
      <c r="B548" s="3110"/>
      <c r="C548" s="3110"/>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1200">
        <f t="shared" si="298"/>
        <v>0</v>
      </c>
      <c r="AW548" s="1200">
        <f t="shared" si="299"/>
        <v>0</v>
      </c>
      <c r="AX548" s="1200">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9"/>
      <c r="B549" s="3110"/>
      <c r="C549" s="3110"/>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1200">
        <f t="shared" si="298"/>
        <v>0</v>
      </c>
      <c r="AW549" s="1200">
        <f t="shared" si="299"/>
        <v>0</v>
      </c>
      <c r="AX549" s="1200">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9"/>
      <c r="B550" s="3110"/>
      <c r="C550" s="3110"/>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1200">
        <f t="shared" si="298"/>
        <v>0</v>
      </c>
      <c r="AW550" s="1200">
        <f t="shared" si="299"/>
        <v>0</v>
      </c>
      <c r="AX550" s="1200">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9"/>
      <c r="B551" s="3110"/>
      <c r="C551" s="3110"/>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1200">
        <f t="shared" si="298"/>
        <v>0</v>
      </c>
      <c r="AW551" s="1200">
        <f t="shared" si="299"/>
        <v>0</v>
      </c>
      <c r="AX551" s="1200">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9"/>
      <c r="B552" s="3110"/>
      <c r="C552" s="3110"/>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1200">
        <f t="shared" si="298"/>
        <v>0</v>
      </c>
      <c r="AW552" s="1200">
        <f t="shared" si="299"/>
        <v>0</v>
      </c>
      <c r="AX552" s="1200">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9"/>
      <c r="B553" s="3110"/>
      <c r="C553" s="3110"/>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1200">
        <f t="shared" ref="AV553:AV587" si="330">A553</f>
        <v>0</v>
      </c>
      <c r="AW553" s="1200">
        <f t="shared" ref="AW553:AW587" si="331">B553</f>
        <v>0</v>
      </c>
      <c r="AX553" s="1200">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9"/>
      <c r="B554" s="3110"/>
      <c r="C554" s="3110"/>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1200">
        <f t="shared" si="330"/>
        <v>0</v>
      </c>
      <c r="AW554" s="1200">
        <f t="shared" si="331"/>
        <v>0</v>
      </c>
      <c r="AX554" s="1200">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9"/>
      <c r="B555" s="3110"/>
      <c r="C555" s="3110"/>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1200">
        <f t="shared" si="330"/>
        <v>0</v>
      </c>
      <c r="AW555" s="1200">
        <f t="shared" si="331"/>
        <v>0</v>
      </c>
      <c r="AX555" s="1200">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9"/>
      <c r="B556" s="3110"/>
      <c r="C556" s="3110"/>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1200">
        <f t="shared" si="330"/>
        <v>0</v>
      </c>
      <c r="AW556" s="1200">
        <f t="shared" si="331"/>
        <v>0</v>
      </c>
      <c r="AX556" s="1200">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9"/>
      <c r="B557" s="3110"/>
      <c r="C557" s="3110"/>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1200">
        <f t="shared" si="330"/>
        <v>0</v>
      </c>
      <c r="AW557" s="1200">
        <f t="shared" si="331"/>
        <v>0</v>
      </c>
      <c r="AX557" s="1200">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9"/>
      <c r="B558" s="3110"/>
      <c r="C558" s="3110"/>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1200">
        <f t="shared" si="330"/>
        <v>0</v>
      </c>
      <c r="AW558" s="1200">
        <f t="shared" si="331"/>
        <v>0</v>
      </c>
      <c r="AX558" s="1200">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9"/>
      <c r="B559" s="3110"/>
      <c r="C559" s="3110"/>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1200">
        <f t="shared" si="330"/>
        <v>0</v>
      </c>
      <c r="AW559" s="1200">
        <f t="shared" si="331"/>
        <v>0</v>
      </c>
      <c r="AX559" s="1200">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9"/>
      <c r="B560" s="3110"/>
      <c r="C560" s="3110"/>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1200">
        <f t="shared" si="330"/>
        <v>0</v>
      </c>
      <c r="AW560" s="1200">
        <f t="shared" si="331"/>
        <v>0</v>
      </c>
      <c r="AX560" s="1200">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9"/>
      <c r="B561" s="3110"/>
      <c r="C561" s="3110"/>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1200">
        <f t="shared" si="330"/>
        <v>0</v>
      </c>
      <c r="AW561" s="1200">
        <f t="shared" si="331"/>
        <v>0</v>
      </c>
      <c r="AX561" s="1200">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9"/>
      <c r="B562" s="3110"/>
      <c r="C562" s="3110"/>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1200">
        <f t="shared" si="330"/>
        <v>0</v>
      </c>
      <c r="AW562" s="1200">
        <f t="shared" si="331"/>
        <v>0</v>
      </c>
      <c r="AX562" s="1200">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9"/>
      <c r="B563" s="3110"/>
      <c r="C563" s="3110"/>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1200">
        <f t="shared" si="330"/>
        <v>0</v>
      </c>
      <c r="AW563" s="1200">
        <f t="shared" si="331"/>
        <v>0</v>
      </c>
      <c r="AX563" s="1200">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9"/>
      <c r="B564" s="3110"/>
      <c r="C564" s="3110"/>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1200">
        <f t="shared" si="330"/>
        <v>0</v>
      </c>
      <c r="AW564" s="1200">
        <f t="shared" si="331"/>
        <v>0</v>
      </c>
      <c r="AX564" s="1200">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9"/>
      <c r="B565" s="3110"/>
      <c r="C565" s="3110"/>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1200">
        <f t="shared" si="330"/>
        <v>0</v>
      </c>
      <c r="AW565" s="1200">
        <f t="shared" si="331"/>
        <v>0</v>
      </c>
      <c r="AX565" s="1200">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9"/>
      <c r="B566" s="3110"/>
      <c r="C566" s="3110"/>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1200">
        <f t="shared" si="330"/>
        <v>0</v>
      </c>
      <c r="AW566" s="1200">
        <f t="shared" si="331"/>
        <v>0</v>
      </c>
      <c r="AX566" s="1200">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9"/>
      <c r="B567" s="3110"/>
      <c r="C567" s="3110"/>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1200">
        <f t="shared" si="330"/>
        <v>0</v>
      </c>
      <c r="AW567" s="1200">
        <f t="shared" si="331"/>
        <v>0</v>
      </c>
      <c r="AX567" s="1200">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9"/>
      <c r="B568" s="3110"/>
      <c r="C568" s="3110"/>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1200">
        <f t="shared" si="330"/>
        <v>0</v>
      </c>
      <c r="AW568" s="1200">
        <f t="shared" si="331"/>
        <v>0</v>
      </c>
      <c r="AX568" s="1200">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9"/>
      <c r="B569" s="3110"/>
      <c r="C569" s="3110"/>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1200">
        <f t="shared" si="330"/>
        <v>0</v>
      </c>
      <c r="AW569" s="1200">
        <f t="shared" si="331"/>
        <v>0</v>
      </c>
      <c r="AX569" s="1200">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9"/>
      <c r="B570" s="3110"/>
      <c r="C570" s="3110"/>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1200">
        <f t="shared" si="330"/>
        <v>0</v>
      </c>
      <c r="AW570" s="1200">
        <f t="shared" si="331"/>
        <v>0</v>
      </c>
      <c r="AX570" s="1200">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9"/>
      <c r="B571" s="3110"/>
      <c r="C571" s="3110"/>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1200">
        <f t="shared" si="330"/>
        <v>0</v>
      </c>
      <c r="AW571" s="1200">
        <f t="shared" si="331"/>
        <v>0</v>
      </c>
      <c r="AX571" s="1200">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9"/>
      <c r="B572" s="3110"/>
      <c r="C572" s="3110"/>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1200">
        <f t="shared" si="330"/>
        <v>0</v>
      </c>
      <c r="AW572" s="1200">
        <f t="shared" si="331"/>
        <v>0</v>
      </c>
      <c r="AX572" s="1200">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9"/>
      <c r="B573" s="3110"/>
      <c r="C573" s="3110"/>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1200">
        <f t="shared" si="330"/>
        <v>0</v>
      </c>
      <c r="AW573" s="1200">
        <f t="shared" si="331"/>
        <v>0</v>
      </c>
      <c r="AX573" s="1200">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9"/>
      <c r="B574" s="3110"/>
      <c r="C574" s="3110"/>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1200">
        <f t="shared" si="330"/>
        <v>0</v>
      </c>
      <c r="AW574" s="1200">
        <f t="shared" si="331"/>
        <v>0</v>
      </c>
      <c r="AX574" s="1200">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9"/>
      <c r="B575" s="3110"/>
      <c r="C575" s="3110"/>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1200">
        <f t="shared" si="330"/>
        <v>0</v>
      </c>
      <c r="AW575" s="1200">
        <f t="shared" si="331"/>
        <v>0</v>
      </c>
      <c r="AX575" s="1200">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9"/>
      <c r="B576" s="3110"/>
      <c r="C576" s="3110"/>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1200">
        <f t="shared" si="330"/>
        <v>0</v>
      </c>
      <c r="AW576" s="1200">
        <f t="shared" si="331"/>
        <v>0</v>
      </c>
      <c r="AX576" s="1200">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9"/>
      <c r="B577" s="3110"/>
      <c r="C577" s="3110"/>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1200">
        <f t="shared" si="330"/>
        <v>0</v>
      </c>
      <c r="AW577" s="1200">
        <f t="shared" si="331"/>
        <v>0</v>
      </c>
      <c r="AX577" s="1200">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9"/>
      <c r="B578" s="3110"/>
      <c r="C578" s="3110"/>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1200">
        <f t="shared" si="330"/>
        <v>0</v>
      </c>
      <c r="AW578" s="1200">
        <f t="shared" si="331"/>
        <v>0</v>
      </c>
      <c r="AX578" s="1200">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9"/>
      <c r="B579" s="3110"/>
      <c r="C579" s="3110"/>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1200">
        <f t="shared" si="330"/>
        <v>0</v>
      </c>
      <c r="AW579" s="1200">
        <f t="shared" si="331"/>
        <v>0</v>
      </c>
      <c r="AX579" s="1200">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9"/>
      <c r="B580" s="3110"/>
      <c r="C580" s="3110"/>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1200">
        <f t="shared" si="330"/>
        <v>0</v>
      </c>
      <c r="AW580" s="1200">
        <f t="shared" si="331"/>
        <v>0</v>
      </c>
      <c r="AX580" s="1200">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9"/>
      <c r="B581" s="3110"/>
      <c r="C581" s="3110"/>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1200">
        <f t="shared" si="330"/>
        <v>0</v>
      </c>
      <c r="AW581" s="1200">
        <f t="shared" si="331"/>
        <v>0</v>
      </c>
      <c r="AX581" s="1200">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9"/>
      <c r="B582" s="3110"/>
      <c r="C582" s="3110"/>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1200">
        <f t="shared" si="330"/>
        <v>0</v>
      </c>
      <c r="AW582" s="1200">
        <f t="shared" si="331"/>
        <v>0</v>
      </c>
      <c r="AX582" s="1200">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9"/>
      <c r="B583" s="3110"/>
      <c r="C583" s="3110"/>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1200">
        <f t="shared" si="330"/>
        <v>0</v>
      </c>
      <c r="AW583" s="1200">
        <f t="shared" si="331"/>
        <v>0</v>
      </c>
      <c r="AX583" s="1200">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9"/>
      <c r="B584" s="3110"/>
      <c r="C584" s="3110"/>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1200">
        <f t="shared" si="330"/>
        <v>0</v>
      </c>
      <c r="AW584" s="1200">
        <f t="shared" si="331"/>
        <v>0</v>
      </c>
      <c r="AX584" s="1200">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9"/>
      <c r="B585" s="3109"/>
      <c r="C585" s="3109"/>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1200">
        <f t="shared" si="330"/>
        <v>0</v>
      </c>
      <c r="AW585" s="1200">
        <f t="shared" si="331"/>
        <v>0</v>
      </c>
      <c r="AX585" s="1200">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9"/>
      <c r="B586" s="3109"/>
      <c r="C586" s="3109"/>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1200">
        <f t="shared" si="330"/>
        <v>0</v>
      </c>
      <c r="AW586" s="1200">
        <f t="shared" si="331"/>
        <v>0</v>
      </c>
      <c r="AX586" s="1200">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9"/>
      <c r="B587" s="3109"/>
      <c r="C587" s="3109"/>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1200">
        <f t="shared" si="330"/>
        <v>0</v>
      </c>
      <c r="AW587" s="1200">
        <f t="shared" si="331"/>
        <v>0</v>
      </c>
      <c r="AX587" s="1200">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8"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9" customFormat="1" spans="3:4">
      <c r="C589" s="3170"/>
      <c r="D589" s="3170"/>
    </row>
    <row r="590" s="3079"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3071" customWidth="1"/>
    <col min="2" max="2" width="10.6333333333333" style="3071" customWidth="1"/>
    <col min="3" max="3" width="15.75" style="3071" customWidth="1"/>
    <col min="4" max="7" width="9.5" style="3071" customWidth="1"/>
    <col min="8" max="13" width="9.13333333333333" style="3071" customWidth="1"/>
    <col min="14" max="16384" width="9" style="3071"/>
  </cols>
  <sheetData>
    <row r="1" ht="14.25" spans="1:13">
      <c r="A1" s="3072" t="s">
        <v>465</v>
      </c>
      <c r="B1" s="3072" t="s">
        <v>466</v>
      </c>
      <c r="C1" s="3072" t="s">
        <v>467</v>
      </c>
      <c r="D1" s="3073" t="s">
        <v>468</v>
      </c>
      <c r="E1" s="3073" t="s">
        <v>469</v>
      </c>
      <c r="F1" s="3073"/>
      <c r="G1" s="3073"/>
      <c r="H1" s="3073"/>
      <c r="I1" s="3073"/>
      <c r="J1" s="3073"/>
      <c r="K1" s="3073"/>
      <c r="L1" s="3073"/>
      <c r="M1" s="3073"/>
    </row>
    <row r="2" ht="27" customHeight="1" spans="1:13">
      <c r="A2" s="3072"/>
      <c r="B2" s="3072"/>
      <c r="C2" s="3072"/>
      <c r="D2" s="3073"/>
      <c r="E2" s="3073" t="s">
        <v>470</v>
      </c>
      <c r="F2" s="3073" t="s">
        <v>471</v>
      </c>
      <c r="G2" s="3073"/>
      <c r="H2" s="3073"/>
      <c r="I2" s="3073"/>
      <c r="J2" s="3073" t="s">
        <v>472</v>
      </c>
      <c r="K2" s="3073"/>
      <c r="L2" s="3073"/>
      <c r="M2" s="3073"/>
    </row>
    <row r="3" ht="28.5" spans="1:13">
      <c r="A3" s="3072"/>
      <c r="B3" s="3072"/>
      <c r="C3" s="3072"/>
      <c r="D3" s="3073"/>
      <c r="E3" s="3073"/>
      <c r="F3" s="3074" t="s">
        <v>473</v>
      </c>
      <c r="G3" s="3074" t="s">
        <v>474</v>
      </c>
      <c r="H3" s="3074" t="s">
        <v>475</v>
      </c>
      <c r="I3" s="3074" t="s">
        <v>476</v>
      </c>
      <c r="J3" s="3074" t="s">
        <v>473</v>
      </c>
      <c r="K3" s="3074" t="s">
        <v>477</v>
      </c>
      <c r="L3" s="3074" t="s">
        <v>478</v>
      </c>
      <c r="M3" s="3074" t="s">
        <v>479</v>
      </c>
    </row>
    <row r="4" ht="42.75" spans="1:13">
      <c r="A4" s="3074" t="s">
        <v>480</v>
      </c>
      <c r="B4" s="3074" t="s">
        <v>481</v>
      </c>
      <c r="C4" s="3074" t="s">
        <v>482</v>
      </c>
      <c r="D4" s="3073">
        <v>3807.94</v>
      </c>
      <c r="E4" s="3073">
        <v>20666.91</v>
      </c>
      <c r="F4" s="3073">
        <v>19673</v>
      </c>
      <c r="G4" s="3073">
        <v>0</v>
      </c>
      <c r="H4" s="3073">
        <v>19673</v>
      </c>
      <c r="I4" s="3073">
        <v>0</v>
      </c>
      <c r="J4" s="3073">
        <v>993.91</v>
      </c>
      <c r="K4" s="3073">
        <v>0</v>
      </c>
      <c r="L4" s="3073">
        <v>0</v>
      </c>
      <c r="M4" s="3073">
        <v>993.91</v>
      </c>
    </row>
    <row r="5" ht="42.75" spans="1:13">
      <c r="A5" s="3074" t="s">
        <v>480</v>
      </c>
      <c r="B5" s="3074" t="s">
        <v>483</v>
      </c>
      <c r="C5" s="3074" t="s">
        <v>484</v>
      </c>
      <c r="D5" s="3073">
        <v>3667.86</v>
      </c>
      <c r="E5" s="3073">
        <v>19906.61</v>
      </c>
      <c r="F5" s="3073">
        <v>18792.87</v>
      </c>
      <c r="G5" s="3073">
        <v>18792.87</v>
      </c>
      <c r="H5" s="3073">
        <v>0</v>
      </c>
      <c r="I5" s="3073">
        <v>0</v>
      </c>
      <c r="J5" s="3073">
        <v>1113.74</v>
      </c>
      <c r="K5" s="3073">
        <v>55.59</v>
      </c>
      <c r="L5" s="3073">
        <v>0</v>
      </c>
      <c r="M5" s="3073">
        <v>1058.15</v>
      </c>
    </row>
    <row r="6" ht="42.75" spans="1:13">
      <c r="A6" s="3074" t="s">
        <v>480</v>
      </c>
      <c r="B6" s="3074" t="s">
        <v>483</v>
      </c>
      <c r="C6" s="3074" t="s">
        <v>485</v>
      </c>
      <c r="D6" s="3073">
        <v>2067.52</v>
      </c>
      <c r="E6" s="3073">
        <v>11221.06</v>
      </c>
      <c r="F6" s="3073">
        <v>9934.13</v>
      </c>
      <c r="G6" s="3073">
        <v>9934.13</v>
      </c>
      <c r="H6" s="3073">
        <v>0</v>
      </c>
      <c r="I6" s="3073">
        <v>0</v>
      </c>
      <c r="J6" s="3073">
        <v>1286.93</v>
      </c>
      <c r="K6" s="3073">
        <v>0</v>
      </c>
      <c r="L6" s="3073">
        <v>0</v>
      </c>
      <c r="M6" s="3073">
        <v>1286.93</v>
      </c>
    </row>
    <row r="7" ht="42.75" spans="1:13">
      <c r="A7" s="3074" t="s">
        <v>480</v>
      </c>
      <c r="B7" s="3074" t="s">
        <v>483</v>
      </c>
      <c r="C7" s="3074" t="s">
        <v>486</v>
      </c>
      <c r="D7" s="3073">
        <v>8.18</v>
      </c>
      <c r="E7" s="3073">
        <v>44.41</v>
      </c>
      <c r="F7" s="3073">
        <v>0</v>
      </c>
      <c r="G7" s="3073">
        <v>0</v>
      </c>
      <c r="H7" s="3073">
        <v>0</v>
      </c>
      <c r="I7" s="3073">
        <v>0</v>
      </c>
      <c r="J7" s="3073">
        <v>44.41</v>
      </c>
      <c r="K7" s="3073">
        <v>44.41</v>
      </c>
      <c r="L7" s="3073">
        <v>0</v>
      </c>
      <c r="M7" s="3073">
        <v>0</v>
      </c>
    </row>
    <row r="8" ht="42.75" spans="1:13">
      <c r="A8" s="3074" t="s">
        <v>480</v>
      </c>
      <c r="B8" s="3074" t="s">
        <v>483</v>
      </c>
      <c r="C8" s="3074" t="s">
        <v>476</v>
      </c>
      <c r="D8" s="3073">
        <v>2455.53</v>
      </c>
      <c r="E8" s="3073">
        <v>13326.96</v>
      </c>
      <c r="F8" s="3073">
        <v>9231.05</v>
      </c>
      <c r="G8" s="3073">
        <v>0</v>
      </c>
      <c r="H8" s="3073">
        <v>0</v>
      </c>
      <c r="I8" s="3073">
        <v>9231.05</v>
      </c>
      <c r="J8" s="3073">
        <v>4095.91</v>
      </c>
      <c r="K8" s="3073">
        <v>0</v>
      </c>
      <c r="L8" s="3073">
        <v>3320.79</v>
      </c>
      <c r="M8" s="3073">
        <v>775.12</v>
      </c>
    </row>
    <row r="9" ht="27" customHeight="1" spans="1:13">
      <c r="A9" s="3073" t="s">
        <v>487</v>
      </c>
      <c r="B9" s="3073"/>
      <c r="C9" s="3073"/>
      <c r="D9" s="3073">
        <v>12007.03</v>
      </c>
      <c r="E9" s="3073">
        <v>65165.95</v>
      </c>
      <c r="F9" s="3073">
        <v>57631.05</v>
      </c>
      <c r="G9" s="3073">
        <v>28727</v>
      </c>
      <c r="H9" s="3073">
        <v>19673</v>
      </c>
      <c r="I9" s="3073">
        <v>9231.05</v>
      </c>
      <c r="J9" s="3073">
        <v>7534.9</v>
      </c>
      <c r="K9" s="3073">
        <v>100</v>
      </c>
      <c r="L9" s="3073">
        <v>3320.79</v>
      </c>
      <c r="M9" s="30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333333333333" style="2975" customWidth="1"/>
    <col min="2" max="2" width="10.25" style="2975" customWidth="1"/>
    <col min="3" max="3" width="18.5" style="2975" customWidth="1"/>
    <col min="4" max="4" width="11.6333333333333" style="2975" customWidth="1"/>
    <col min="5" max="5" width="13.3833333333333" style="2975" customWidth="1"/>
    <col min="6" max="8" width="11.5" style="2975" customWidth="1"/>
    <col min="9" max="9" width="11.1333333333333" style="2975" customWidth="1"/>
    <col min="10" max="10" width="3.13333333333333" style="2976" customWidth="1"/>
    <col min="11" max="16" width="10" style="2975" customWidth="1"/>
    <col min="17" max="17" width="2.63333333333333" style="2975" customWidth="1"/>
    <col min="18" max="18" width="9.38333333333333" style="2975" customWidth="1"/>
    <col min="19" max="19" width="10.5" style="2975" customWidth="1"/>
    <col min="20" max="16384" width="9.25" style="2975"/>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7" t="s">
        <v>491</v>
      </c>
      <c r="F2" s="2978"/>
      <c r="G2" s="2979"/>
      <c r="H2" s="2980"/>
      <c r="I2" s="2594" t="s">
        <v>492</v>
      </c>
      <c r="J2" s="2978"/>
      <c r="K2" s="2978"/>
      <c r="L2" s="2978"/>
      <c r="M2" s="2978"/>
      <c r="N2" s="1331"/>
      <c r="O2" s="2978"/>
      <c r="P2" s="2978"/>
    </row>
    <row r="3" ht="15.75" spans="1:16">
      <c r="A3" s="2981" t="s">
        <v>493</v>
      </c>
      <c r="B3" s="2981"/>
      <c r="C3" s="2981"/>
      <c r="D3" s="2982">
        <f>'数据-基础表'!AY6</f>
        <v>0</v>
      </c>
      <c r="E3" s="2982">
        <f>'数据-基础表'!AZ5</f>
        <v>55180.06</v>
      </c>
      <c r="F3" s="2978"/>
      <c r="G3" s="2983"/>
      <c r="H3" s="2361" t="s">
        <v>494</v>
      </c>
      <c r="I3" s="3047" t="e">
        <f>ROUND('数据-基础表'!B3/'数据-基础表'!A3,2)</f>
        <v>#DIV/0!</v>
      </c>
      <c r="J3" s="2978"/>
      <c r="K3" s="2978"/>
      <c r="L3" s="2978"/>
      <c r="M3" s="2978"/>
      <c r="N3" s="1331"/>
      <c r="O3" s="2978"/>
      <c r="P3" s="2978"/>
    </row>
    <row r="4" ht="15" spans="1:16">
      <c r="A4" s="2592"/>
      <c r="B4" s="2593"/>
      <c r="C4" s="2984"/>
      <c r="D4" s="2985" t="s">
        <v>490</v>
      </c>
      <c r="E4" s="2986" t="s">
        <v>491</v>
      </c>
      <c r="F4" s="2978"/>
      <c r="G4" s="2987" t="s">
        <v>495</v>
      </c>
      <c r="H4" s="2361" t="s">
        <v>496</v>
      </c>
      <c r="I4" s="3047" t="e">
        <f>ROUND(SUMIF('数据-基础表'!I9:AS9,"地上",'数据-基础表'!I5:AS5)/'数据-基础表'!A3,2)</f>
        <v>#DIV/0!</v>
      </c>
      <c r="J4" s="2978"/>
      <c r="K4" s="2978"/>
      <c r="L4" s="2978"/>
      <c r="M4" s="2978"/>
      <c r="N4" s="1331"/>
      <c r="O4" s="2978"/>
      <c r="P4" s="2978"/>
    </row>
    <row r="5" spans="1:16">
      <c r="A5" s="2988" t="s">
        <v>497</v>
      </c>
      <c r="B5" s="1216" t="s">
        <v>498</v>
      </c>
      <c r="C5" s="1216"/>
      <c r="D5" s="2989">
        <f>ROUND($D$3*E5/$E$3,2)</f>
        <v>0</v>
      </c>
      <c r="E5" s="2990">
        <f>SUMIF('数据-基础表'!$11:$11,"住宅",'数据-基础表'!$5:$5)</f>
        <v>55180.06</v>
      </c>
      <c r="F5" s="2978"/>
      <c r="G5" s="2983"/>
      <c r="H5" s="2361" t="s">
        <v>494</v>
      </c>
      <c r="I5" s="3047" t="e">
        <f>ROUND(E31/D31,2)</f>
        <v>#DIV/0!</v>
      </c>
      <c r="J5" s="2978"/>
      <c r="K5" s="2978"/>
      <c r="L5" s="2978"/>
      <c r="M5" s="2978"/>
      <c r="N5" s="2978"/>
      <c r="O5" s="2978"/>
      <c r="P5" s="2978"/>
    </row>
    <row r="6" ht="15" spans="1:16">
      <c r="A6" s="2991"/>
      <c r="B6" s="1216" t="s">
        <v>499</v>
      </c>
      <c r="C6" s="1216"/>
      <c r="D6" s="2989">
        <f>ROUND($D$3*E6/$E$3,2)</f>
        <v>0</v>
      </c>
      <c r="E6" s="2990">
        <f>E3-E5</f>
        <v>0</v>
      </c>
      <c r="F6" s="2978"/>
      <c r="G6" s="2992" t="s">
        <v>500</v>
      </c>
      <c r="H6" s="2993" t="s">
        <v>496</v>
      </c>
      <c r="I6" s="3048" t="e">
        <f>ROUND(F31/D31,2)</f>
        <v>#DIV/0!</v>
      </c>
      <c r="J6" s="2978"/>
      <c r="K6" s="2978"/>
      <c r="L6" s="2978"/>
      <c r="M6" s="2978"/>
      <c r="N6" s="2978"/>
      <c r="O6" s="2978"/>
      <c r="P6" s="2978"/>
    </row>
    <row r="7" ht="15" spans="1:16">
      <c r="A7" s="2994"/>
      <c r="B7" s="2995"/>
      <c r="C7" s="2996"/>
      <c r="D7" s="2985" t="s">
        <v>490</v>
      </c>
      <c r="E7" s="2997" t="s">
        <v>501</v>
      </c>
      <c r="F7" s="2978"/>
      <c r="G7" s="2998" t="s">
        <v>502</v>
      </c>
      <c r="H7" s="2999"/>
      <c r="I7" s="3049"/>
      <c r="J7" s="2978"/>
      <c r="K7" s="2978"/>
      <c r="L7" s="2978"/>
      <c r="M7" s="2978"/>
      <c r="N7" s="2978"/>
      <c r="O7" s="2978"/>
      <c r="P7" s="2978"/>
    </row>
    <row r="8" spans="1:16">
      <c r="A8" s="2988" t="s">
        <v>503</v>
      </c>
      <c r="B8" s="3000" t="s">
        <v>504</v>
      </c>
      <c r="C8" s="2989" t="s">
        <v>505</v>
      </c>
      <c r="D8" s="2989">
        <f t="shared" ref="D8:D15" si="0">ROUND($D$3*E8/$E$3,2)</f>
        <v>0</v>
      </c>
      <c r="E8" s="3001">
        <f>SUMIF('数据-基础表'!BB10:BK10,"地上",'数据-基础表'!BB5:BK5)</f>
        <v>55180.06</v>
      </c>
      <c r="F8" s="2978"/>
      <c r="G8" s="3002"/>
      <c r="H8" s="3002"/>
      <c r="I8" s="2978"/>
      <c r="J8" s="2978"/>
      <c r="K8" s="2978"/>
      <c r="L8" s="2978"/>
      <c r="M8" s="2978"/>
      <c r="N8" s="2978"/>
      <c r="O8" s="2978"/>
      <c r="P8" s="2978"/>
    </row>
    <row r="9" spans="1:16">
      <c r="A9" s="3003"/>
      <c r="B9" s="3004"/>
      <c r="C9" s="2989" t="s">
        <v>506</v>
      </c>
      <c r="D9" s="2989">
        <f t="shared" si="0"/>
        <v>0</v>
      </c>
      <c r="E9" s="3005">
        <v>0</v>
      </c>
      <c r="F9" s="2978"/>
      <c r="G9" s="3002"/>
      <c r="H9" s="3002"/>
      <c r="I9" s="2978"/>
      <c r="J9" s="2978"/>
      <c r="K9" s="2978"/>
      <c r="L9" s="2978"/>
      <c r="M9" s="2978"/>
      <c r="N9" s="2978"/>
      <c r="O9" s="2978"/>
      <c r="P9" s="2978"/>
    </row>
    <row r="10" spans="1:16">
      <c r="A10" s="3003"/>
      <c r="B10" s="3004"/>
      <c r="C10" s="2989" t="s">
        <v>507</v>
      </c>
      <c r="D10" s="2989">
        <f t="shared" si="0"/>
        <v>0</v>
      </c>
      <c r="E10" s="3001">
        <f>SUMPRODUCT(('数据-基础表'!BB10:BK10="地下")*('数据-基础表'!BB11:BK11="商业")*('数据-基础表'!BB5:BK5))</f>
        <v>0</v>
      </c>
      <c r="F10" s="2978"/>
      <c r="G10" s="3002"/>
      <c r="H10" s="3002"/>
      <c r="I10" s="2978"/>
      <c r="J10" s="2978"/>
      <c r="K10" s="2978"/>
      <c r="L10" s="2978"/>
      <c r="M10" s="2978"/>
      <c r="N10" s="2978"/>
      <c r="O10" s="2978"/>
      <c r="P10" s="2978"/>
    </row>
    <row r="11" spans="1:16">
      <c r="A11" s="3003"/>
      <c r="B11" s="3004"/>
      <c r="C11" s="2989" t="s">
        <v>508</v>
      </c>
      <c r="D11" s="2989">
        <f t="shared" si="0"/>
        <v>0</v>
      </c>
      <c r="E11" s="3001">
        <f>SUMPRODUCT(('数据-基础表'!BB10:BK10="地下")*('数据-基础表'!BB11:BK11="办公")*('数据-基础表'!BB5:BK5))+'数据-基础表'!BP5</f>
        <v>0</v>
      </c>
      <c r="F11" s="2978"/>
      <c r="G11" s="3002"/>
      <c r="H11" s="3002"/>
      <c r="I11" s="2978"/>
      <c r="J11" s="2978"/>
      <c r="K11" s="2978"/>
      <c r="L11" s="2978"/>
      <c r="M11" s="2978"/>
      <c r="N11" s="2978"/>
      <c r="O11" s="2978"/>
      <c r="P11" s="2978"/>
    </row>
    <row r="12" spans="1:16">
      <c r="A12" s="3003"/>
      <c r="B12" s="3004"/>
      <c r="C12" s="2989" t="s">
        <v>509</v>
      </c>
      <c r="D12" s="2989">
        <f t="shared" si="0"/>
        <v>0</v>
      </c>
      <c r="E12" s="3001">
        <f>SUMPRODUCT(('数据-基础表'!BB10:BK10="地下")*('数据-基础表'!BB11:BK11="仓储")*('数据-基础表'!BB5:BK5))</f>
        <v>0</v>
      </c>
      <c r="F12" s="2978"/>
      <c r="G12" s="3002"/>
      <c r="H12" s="3002"/>
      <c r="I12" s="2978"/>
      <c r="J12" s="2978"/>
      <c r="K12" s="2978"/>
      <c r="L12" s="2978"/>
      <c r="M12" s="2978"/>
      <c r="N12" s="2978"/>
      <c r="O12" s="2978"/>
      <c r="P12" s="2978"/>
    </row>
    <row r="13" spans="1:16">
      <c r="A13" s="3003"/>
      <c r="B13" s="3004"/>
      <c r="C13" s="2989" t="s">
        <v>510</v>
      </c>
      <c r="D13" s="2989">
        <f t="shared" si="0"/>
        <v>0</v>
      </c>
      <c r="E13" s="3001">
        <f>SUMPRODUCT(('数据-基础表'!BB10:BK10="地下")*('数据-基础表'!BB11:BK11="车库")*('数据-基础表'!BB5:BK5))</f>
        <v>0</v>
      </c>
      <c r="F13" s="2978"/>
      <c r="G13" s="3002"/>
      <c r="H13" s="3002"/>
      <c r="I13" s="2978"/>
      <c r="J13" s="2978"/>
      <c r="K13" s="2978"/>
      <c r="L13" s="2978"/>
      <c r="M13" s="2978"/>
      <c r="N13" s="2978"/>
      <c r="O13" s="2978"/>
      <c r="P13" s="2978"/>
    </row>
    <row r="14" spans="1:16">
      <c r="A14" s="3003"/>
      <c r="B14" s="3004"/>
      <c r="C14" s="2989" t="s">
        <v>511</v>
      </c>
      <c r="D14" s="2989">
        <f t="shared" si="0"/>
        <v>0</v>
      </c>
      <c r="E14" s="3001">
        <f>SUMPRODUCT(('数据-基础表'!BB10:BK10="地下")*('数据-基础表'!BB11:BK11="车库—商业")*('数据-基础表'!BB5:BK5))</f>
        <v>0</v>
      </c>
      <c r="F14" s="2978"/>
      <c r="G14" s="3002"/>
      <c r="H14" s="3002"/>
      <c r="I14" s="2978"/>
      <c r="J14" s="2978"/>
      <c r="K14" s="2978"/>
      <c r="L14" s="2978"/>
      <c r="M14" s="2978"/>
      <c r="N14" s="2978"/>
      <c r="O14" s="2978"/>
      <c r="P14" s="2978"/>
    </row>
    <row r="15" ht="15" spans="1:16">
      <c r="A15" s="3003"/>
      <c r="B15" s="3004"/>
      <c r="C15" s="2989" t="s">
        <v>512</v>
      </c>
      <c r="D15" s="2989">
        <f t="shared" si="0"/>
        <v>0</v>
      </c>
      <c r="E15" s="3001">
        <f>SUMPRODUCT(('数据-基础表'!BB10:BK10="地下")*('数据-基础表'!BB11:BK11="车库—办公")*('数据-基础表'!BB5:BK5))</f>
        <v>0</v>
      </c>
      <c r="F15" s="2978"/>
      <c r="G15" s="3002"/>
      <c r="H15" s="3002"/>
      <c r="I15" s="2978"/>
      <c r="J15" s="2978"/>
      <c r="K15" s="2978"/>
      <c r="L15" s="2978"/>
      <c r="M15" s="2978"/>
      <c r="N15" s="2978"/>
      <c r="O15" s="2978"/>
      <c r="P15" s="2978"/>
    </row>
    <row r="16" ht="15" spans="1:16">
      <c r="A16" s="2991"/>
      <c r="B16" s="3004"/>
      <c r="C16" s="3000" t="s">
        <v>513</v>
      </c>
      <c r="D16" s="3000">
        <f>SUM(D8:D15)</f>
        <v>0</v>
      </c>
      <c r="E16" s="3006">
        <f>SUM(E8:E15)</f>
        <v>55180.06</v>
      </c>
      <c r="F16" s="2978"/>
      <c r="G16" s="3002"/>
      <c r="H16" s="3007" t="s">
        <v>514</v>
      </c>
      <c r="I16" s="3050"/>
      <c r="J16" s="2413"/>
      <c r="K16" s="3051" t="s">
        <v>514</v>
      </c>
      <c r="L16" s="3009"/>
      <c r="M16" s="3009"/>
      <c r="N16" s="3009"/>
      <c r="O16" s="3009"/>
      <c r="P16" s="3052"/>
    </row>
    <row r="17" ht="15" spans="1:19">
      <c r="A17" s="2933" t="s">
        <v>515</v>
      </c>
      <c r="B17" s="3008" t="s">
        <v>516</v>
      </c>
      <c r="C17" s="2932" t="s">
        <v>517</v>
      </c>
      <c r="D17" s="3009" t="s">
        <v>490</v>
      </c>
      <c r="E17" s="3010" t="s">
        <v>491</v>
      </c>
      <c r="F17" s="3011"/>
      <c r="G17" s="3012"/>
      <c r="H17" s="3013" t="s">
        <v>518</v>
      </c>
      <c r="I17" s="3053" t="s">
        <v>519</v>
      </c>
      <c r="J17" s="2413"/>
      <c r="K17" s="3054" t="s">
        <v>520</v>
      </c>
      <c r="L17" s="3055"/>
      <c r="M17" s="3056"/>
      <c r="N17" s="3054" t="s">
        <v>521</v>
      </c>
      <c r="O17" s="3055"/>
      <c r="P17" s="3056"/>
      <c r="R17" s="3069" t="s">
        <v>522</v>
      </c>
      <c r="S17" s="2348"/>
    </row>
    <row r="18" ht="15" spans="1:19">
      <c r="A18" s="3003"/>
      <c r="B18" s="3014"/>
      <c r="C18" s="3015"/>
      <c r="D18" s="3016"/>
      <c r="E18" s="3017" t="s">
        <v>523</v>
      </c>
      <c r="F18" s="3018" t="s">
        <v>496</v>
      </c>
      <c r="G18" s="3019" t="s">
        <v>524</v>
      </c>
      <c r="H18" s="2939" t="s">
        <v>525</v>
      </c>
      <c r="I18" s="3057" t="s">
        <v>526</v>
      </c>
      <c r="J18" s="2413"/>
      <c r="K18" s="2939" t="s">
        <v>527</v>
      </c>
      <c r="L18" s="2613" t="s">
        <v>528</v>
      </c>
      <c r="M18" s="3047" t="s">
        <v>529</v>
      </c>
      <c r="N18" s="2939" t="s">
        <v>527</v>
      </c>
      <c r="O18" s="2613" t="s">
        <v>528</v>
      </c>
      <c r="P18" s="3047" t="s">
        <v>529</v>
      </c>
      <c r="R18" s="2361" t="s">
        <v>525</v>
      </c>
      <c r="S18" s="2361" t="s">
        <v>526</v>
      </c>
    </row>
    <row r="19" spans="1:19">
      <c r="A19" s="3020"/>
      <c r="B19" s="3000" t="s">
        <v>530</v>
      </c>
      <c r="C19" s="3021" t="s">
        <v>454</v>
      </c>
      <c r="D19" s="2989">
        <f>ROUND($D$3*E19/$E$3,2)</f>
        <v>0</v>
      </c>
      <c r="E19" s="3022">
        <f t="shared" ref="E19:E26" si="1">SUM(F19:G19)</f>
        <v>55180.06</v>
      </c>
      <c r="F19" s="3023">
        <f>'数据-基础表'!I13</f>
        <v>55180.06</v>
      </c>
      <c r="G19" s="3024"/>
      <c r="H19" s="2922">
        <f>ROUND($D$3*I19/$E$3,2)</f>
        <v>0</v>
      </c>
      <c r="I19" s="3001">
        <f t="shared" ref="I19:I26" si="2">IF($I$17="自定义",P19,M19)</f>
        <v>0</v>
      </c>
      <c r="J19" s="2413"/>
      <c r="K19" s="3058">
        <f t="shared" ref="K19:K26" si="3">ROUND(E$28*E19/E$27,2)</f>
        <v>0</v>
      </c>
      <c r="L19" s="2361">
        <f t="shared" ref="L19:L26" si="4">ROUND(IF(COUNTIF(C19,"*住宅*")&gt;0,E$29*E19/E$32,0),2)</f>
        <v>0</v>
      </c>
      <c r="M19" s="3059">
        <f>K19+L19</f>
        <v>0</v>
      </c>
      <c r="N19" s="3060"/>
      <c r="O19" s="3061"/>
      <c r="P19" s="3059">
        <f>N19+O19</f>
        <v>0</v>
      </c>
      <c r="R19" s="2361">
        <f t="shared" ref="R19:S26" si="5">D19+H19</f>
        <v>0</v>
      </c>
      <c r="S19" s="3070">
        <f t="shared" si="5"/>
        <v>55180.06</v>
      </c>
    </row>
    <row r="20" spans="1:19">
      <c r="A20" s="3025"/>
      <c r="B20" s="3000" t="s">
        <v>530</v>
      </c>
      <c r="C20" s="3026"/>
      <c r="D20" s="2989">
        <f t="shared" ref="D20:D26" si="6">ROUND($D$3*E20/$E$3,2)</f>
        <v>0</v>
      </c>
      <c r="E20" s="3022">
        <f t="shared" si="1"/>
        <v>0</v>
      </c>
      <c r="F20" s="3023"/>
      <c r="G20" s="3024"/>
      <c r="H20" s="2922">
        <f t="shared" ref="H20:H26" si="7">ROUND($D$3*I20/$E$3,2)</f>
        <v>0</v>
      </c>
      <c r="I20" s="3001">
        <f t="shared" si="2"/>
        <v>0</v>
      </c>
      <c r="J20" s="2413"/>
      <c r="K20" s="3058">
        <f t="shared" si="3"/>
        <v>0</v>
      </c>
      <c r="L20" s="2361">
        <f t="shared" si="4"/>
        <v>0</v>
      </c>
      <c r="M20" s="3059">
        <f t="shared" ref="M20:M26" si="8">K20+L20</f>
        <v>0</v>
      </c>
      <c r="N20" s="3060"/>
      <c r="O20" s="3061"/>
      <c r="P20" s="3059">
        <f t="shared" ref="P20:P26" si="9">N20+O20</f>
        <v>0</v>
      </c>
      <c r="R20" s="2361">
        <f t="shared" si="5"/>
        <v>0</v>
      </c>
      <c r="S20" s="3070">
        <f t="shared" si="5"/>
        <v>0</v>
      </c>
    </row>
    <row r="21" spans="1:19">
      <c r="A21" s="3025"/>
      <c r="B21" s="3000" t="s">
        <v>530</v>
      </c>
      <c r="C21" s="3026"/>
      <c r="D21" s="2989">
        <f t="shared" si="6"/>
        <v>0</v>
      </c>
      <c r="E21" s="3022">
        <f t="shared" si="1"/>
        <v>0</v>
      </c>
      <c r="F21" s="3023"/>
      <c r="G21" s="3024"/>
      <c r="H21" s="2922">
        <f t="shared" si="7"/>
        <v>0</v>
      </c>
      <c r="I21" s="3001">
        <f t="shared" si="2"/>
        <v>0</v>
      </c>
      <c r="J21" s="2413"/>
      <c r="K21" s="3058">
        <f t="shared" si="3"/>
        <v>0</v>
      </c>
      <c r="L21" s="2361">
        <f t="shared" si="4"/>
        <v>0</v>
      </c>
      <c r="M21" s="3059">
        <f t="shared" si="8"/>
        <v>0</v>
      </c>
      <c r="N21" s="3060"/>
      <c r="O21" s="3061"/>
      <c r="P21" s="3059">
        <f t="shared" si="9"/>
        <v>0</v>
      </c>
      <c r="R21" s="2361">
        <f t="shared" si="5"/>
        <v>0</v>
      </c>
      <c r="S21" s="3070">
        <f t="shared" si="5"/>
        <v>0</v>
      </c>
    </row>
    <row r="22" spans="1:19">
      <c r="A22" s="3025"/>
      <c r="B22" s="3000" t="s">
        <v>530</v>
      </c>
      <c r="C22" s="3027"/>
      <c r="D22" s="2989">
        <f t="shared" si="6"/>
        <v>0</v>
      </c>
      <c r="E22" s="3022">
        <f t="shared" si="1"/>
        <v>0</v>
      </c>
      <c r="F22" s="3028"/>
      <c r="G22" s="3029"/>
      <c r="H22" s="2922">
        <f t="shared" si="7"/>
        <v>0</v>
      </c>
      <c r="I22" s="3001">
        <f t="shared" si="2"/>
        <v>0</v>
      </c>
      <c r="J22" s="2413"/>
      <c r="K22" s="3058">
        <f t="shared" si="3"/>
        <v>0</v>
      </c>
      <c r="L22" s="2361">
        <f t="shared" si="4"/>
        <v>0</v>
      </c>
      <c r="M22" s="3059">
        <f t="shared" si="8"/>
        <v>0</v>
      </c>
      <c r="N22" s="3060"/>
      <c r="O22" s="3061"/>
      <c r="P22" s="3059">
        <f t="shared" si="9"/>
        <v>0</v>
      </c>
      <c r="R22" s="2361">
        <f t="shared" si="5"/>
        <v>0</v>
      </c>
      <c r="S22" s="3070">
        <f t="shared" si="5"/>
        <v>0</v>
      </c>
    </row>
    <row r="23" spans="1:19">
      <c r="A23" s="3025"/>
      <c r="B23" s="3000" t="s">
        <v>530</v>
      </c>
      <c r="C23" s="3027"/>
      <c r="D23" s="2989">
        <f t="shared" si="6"/>
        <v>0</v>
      </c>
      <c r="E23" s="3022">
        <f t="shared" si="1"/>
        <v>0</v>
      </c>
      <c r="F23" s="3028"/>
      <c r="G23" s="3029"/>
      <c r="H23" s="2922">
        <f t="shared" si="7"/>
        <v>0</v>
      </c>
      <c r="I23" s="3001">
        <f t="shared" si="2"/>
        <v>0</v>
      </c>
      <c r="J23" s="2413"/>
      <c r="K23" s="3058">
        <f t="shared" si="3"/>
        <v>0</v>
      </c>
      <c r="L23" s="2361">
        <f t="shared" si="4"/>
        <v>0</v>
      </c>
      <c r="M23" s="3059">
        <f t="shared" si="8"/>
        <v>0</v>
      </c>
      <c r="N23" s="3060"/>
      <c r="O23" s="3061"/>
      <c r="P23" s="3059">
        <f t="shared" si="9"/>
        <v>0</v>
      </c>
      <c r="R23" s="2361">
        <f t="shared" si="5"/>
        <v>0</v>
      </c>
      <c r="S23" s="3070">
        <f t="shared" si="5"/>
        <v>0</v>
      </c>
    </row>
    <row r="24" spans="1:19">
      <c r="A24" s="3025"/>
      <c r="B24" s="3000" t="s">
        <v>530</v>
      </c>
      <c r="C24" s="3027"/>
      <c r="D24" s="2989">
        <f t="shared" si="6"/>
        <v>0</v>
      </c>
      <c r="E24" s="3022">
        <f t="shared" si="1"/>
        <v>0</v>
      </c>
      <c r="F24" s="3028"/>
      <c r="G24" s="3029"/>
      <c r="H24" s="2922">
        <f t="shared" si="7"/>
        <v>0</v>
      </c>
      <c r="I24" s="3001">
        <f t="shared" si="2"/>
        <v>0</v>
      </c>
      <c r="J24" s="2413"/>
      <c r="K24" s="3058">
        <f t="shared" si="3"/>
        <v>0</v>
      </c>
      <c r="L24" s="2361">
        <f t="shared" si="4"/>
        <v>0</v>
      </c>
      <c r="M24" s="3059">
        <f t="shared" si="8"/>
        <v>0</v>
      </c>
      <c r="N24" s="3060"/>
      <c r="O24" s="3061"/>
      <c r="P24" s="3059">
        <f t="shared" si="9"/>
        <v>0</v>
      </c>
      <c r="R24" s="2361">
        <f t="shared" si="5"/>
        <v>0</v>
      </c>
      <c r="S24" s="3070">
        <f t="shared" si="5"/>
        <v>0</v>
      </c>
    </row>
    <row r="25" spans="1:19">
      <c r="A25" s="3025"/>
      <c r="B25" s="3000" t="s">
        <v>530</v>
      </c>
      <c r="C25" s="3027"/>
      <c r="D25" s="2989">
        <f t="shared" si="6"/>
        <v>0</v>
      </c>
      <c r="E25" s="3022">
        <f t="shared" si="1"/>
        <v>0</v>
      </c>
      <c r="F25" s="3028"/>
      <c r="G25" s="3029"/>
      <c r="H25" s="2988">
        <f t="shared" si="7"/>
        <v>0</v>
      </c>
      <c r="I25" s="3001">
        <f t="shared" si="2"/>
        <v>0</v>
      </c>
      <c r="J25" s="2413"/>
      <c r="K25" s="3058">
        <f t="shared" si="3"/>
        <v>0</v>
      </c>
      <c r="L25" s="2361">
        <f t="shared" si="4"/>
        <v>0</v>
      </c>
      <c r="M25" s="3059">
        <f t="shared" si="8"/>
        <v>0</v>
      </c>
      <c r="N25" s="3060"/>
      <c r="O25" s="3061"/>
      <c r="P25" s="3059">
        <f t="shared" si="9"/>
        <v>0</v>
      </c>
      <c r="R25" s="2361">
        <f t="shared" si="5"/>
        <v>0</v>
      </c>
      <c r="S25" s="3070">
        <f t="shared" si="5"/>
        <v>0</v>
      </c>
    </row>
    <row r="26" spans="1:19">
      <c r="A26" s="3025"/>
      <c r="B26" s="3000" t="s">
        <v>530</v>
      </c>
      <c r="C26" s="3030"/>
      <c r="D26" s="2989">
        <f t="shared" si="6"/>
        <v>0</v>
      </c>
      <c r="E26" s="3022">
        <f t="shared" si="1"/>
        <v>0</v>
      </c>
      <c r="F26" s="3028"/>
      <c r="G26" s="3029"/>
      <c r="H26" s="2988">
        <f t="shared" si="7"/>
        <v>0</v>
      </c>
      <c r="I26" s="3001">
        <f t="shared" si="2"/>
        <v>0</v>
      </c>
      <c r="J26" s="2413"/>
      <c r="K26" s="2983">
        <f t="shared" si="3"/>
        <v>0</v>
      </c>
      <c r="L26" s="2993">
        <f t="shared" si="4"/>
        <v>0</v>
      </c>
      <c r="M26" s="3037">
        <f t="shared" si="8"/>
        <v>0</v>
      </c>
      <c r="N26" s="3062"/>
      <c r="O26" s="3063"/>
      <c r="P26" s="3037">
        <f t="shared" si="9"/>
        <v>0</v>
      </c>
      <c r="R26" s="2361">
        <f t="shared" si="5"/>
        <v>0</v>
      </c>
      <c r="S26" s="3070">
        <f t="shared" si="5"/>
        <v>0</v>
      </c>
    </row>
    <row r="27" ht="15.75" spans="1:19">
      <c r="A27" s="3025"/>
      <c r="B27" s="2989"/>
      <c r="C27" s="2599" t="s">
        <v>531</v>
      </c>
      <c r="D27" s="3031">
        <f>SUM(D19:D26)</f>
        <v>0</v>
      </c>
      <c r="E27" s="3032">
        <f>IF(SUM(E19:E26)='数据-基础表'!BA5,SUM(E19:E26),IF(F27="地上面积有误","面积有误","地下面积有误"))</f>
        <v>55180.06</v>
      </c>
      <c r="F27" s="3031">
        <f>IF(SUM(F19:F26)=E8,SUM(F19:F26),"地上面积有误")</f>
        <v>55180.06</v>
      </c>
      <c r="G27" s="3033">
        <f>SUM(G19:G26)</f>
        <v>0</v>
      </c>
      <c r="H27" s="3034">
        <f>SUM(H19:H26)</f>
        <v>0</v>
      </c>
      <c r="I27" s="3064">
        <f>SUM(I19:I26)</f>
        <v>0</v>
      </c>
      <c r="J27" s="2413"/>
      <c r="K27" s="3065">
        <f>SUM(K19:K26)</f>
        <v>0</v>
      </c>
      <c r="L27" s="3066">
        <f>SUM(L19:L26)</f>
        <v>0</v>
      </c>
      <c r="M27" s="3067">
        <f>SUM(M19:M26)</f>
        <v>0</v>
      </c>
      <c r="N27" s="3065">
        <f t="shared" ref="N27:P27" si="10">SUM(N19:N26)</f>
        <v>0</v>
      </c>
      <c r="O27" s="3066">
        <f t="shared" si="10"/>
        <v>0</v>
      </c>
      <c r="P27" s="3068">
        <f t="shared" si="10"/>
        <v>0</v>
      </c>
      <c r="R27" s="2969">
        <f>IF(SUM(R19:R26)=$D$3,SUM(R19:R26),SUM(R19:R26)&amp;"误差"&amp;ROUND(SUM(R19:R26)-$D$3,2))</f>
        <v>0</v>
      </c>
      <c r="S27" s="2361">
        <f>IF(SUM(S19:S26)=$E$3,SUM(S19:S26),SUM(S19:S26)&amp;"误差"&amp;ROUND(SUM(S19:S26)-E3,2))</f>
        <v>55180.06</v>
      </c>
    </row>
    <row r="28" spans="1:16">
      <c r="A28" s="3025"/>
      <c r="B28" s="3000" t="s">
        <v>532</v>
      </c>
      <c r="C28" s="2943" t="s">
        <v>533</v>
      </c>
      <c r="D28" s="2989">
        <f>ROUND($D$3*E28/$E$3,2)</f>
        <v>0</v>
      </c>
      <c r="E28" s="3022">
        <f>SUM(F28:G28)</f>
        <v>0</v>
      </c>
      <c r="F28" s="2348">
        <f>'数据-基础表'!BQ5+'数据-基础表'!BS5</f>
        <v>0</v>
      </c>
      <c r="G28" s="3035">
        <f>'数据-基础表'!BR5+'数据-基础表'!BT5</f>
        <v>0</v>
      </c>
      <c r="H28" s="2978"/>
      <c r="I28" s="2978"/>
      <c r="J28" s="2978"/>
      <c r="K28" s="2978"/>
      <c r="L28" s="2978"/>
      <c r="M28" s="2978"/>
      <c r="N28" s="2978"/>
      <c r="O28" s="2978"/>
      <c r="P28" s="2978"/>
    </row>
    <row r="29" spans="1:16">
      <c r="A29" s="3025"/>
      <c r="B29" s="3000" t="s">
        <v>532</v>
      </c>
      <c r="C29" s="2411" t="s">
        <v>534</v>
      </c>
      <c r="D29" s="2989">
        <f>ROUND($D$3*E29/$E$3,2)</f>
        <v>0</v>
      </c>
      <c r="E29" s="3022">
        <f>SUM(F29:G29)</f>
        <v>0</v>
      </c>
      <c r="F29" s="3036">
        <f>'数据-基础表'!BM5+'数据-基础表'!BO5</f>
        <v>0</v>
      </c>
      <c r="G29" s="3037">
        <f>'数据-基础表'!BN5+'数据-基础表'!BP5</f>
        <v>0</v>
      </c>
      <c r="H29" s="2978"/>
      <c r="I29" s="2978"/>
      <c r="J29" s="2978"/>
      <c r="K29" s="2978"/>
      <c r="L29" s="2978"/>
      <c r="M29" s="2978"/>
      <c r="N29" s="2978"/>
      <c r="O29" s="2978"/>
      <c r="P29" s="2978"/>
    </row>
    <row r="30" ht="15" spans="1:16">
      <c r="A30" s="3025"/>
      <c r="B30" s="3000"/>
      <c r="C30" s="3038" t="s">
        <v>531</v>
      </c>
      <c r="D30" s="3031">
        <f>SUM(D28:D29)</f>
        <v>0</v>
      </c>
      <c r="E30" s="3031">
        <f>SUM(E28:E29)</f>
        <v>0</v>
      </c>
      <c r="F30" s="3031">
        <f>SUM(F28:F29)</f>
        <v>0</v>
      </c>
      <c r="G30" s="3033">
        <f>SUM(G28:G29)</f>
        <v>0</v>
      </c>
      <c r="H30" s="2978"/>
      <c r="I30" s="2978"/>
      <c r="J30" s="2978"/>
      <c r="K30" s="2978"/>
      <c r="L30" s="2978"/>
      <c r="M30" s="2978"/>
      <c r="N30" s="2978"/>
      <c r="O30" s="2978"/>
      <c r="P30" s="2978"/>
    </row>
    <row r="31" ht="15.75" spans="1:16">
      <c r="A31" s="3039"/>
      <c r="B31" s="3040"/>
      <c r="C31" s="2282" t="s">
        <v>535</v>
      </c>
      <c r="D31" s="3041">
        <f>D27+D30</f>
        <v>0</v>
      </c>
      <c r="E31" s="3041">
        <f>E27+E30</f>
        <v>55180.06</v>
      </c>
      <c r="F31" s="3042">
        <f>F27+F30</f>
        <v>55180.06</v>
      </c>
      <c r="G31" s="3043">
        <f>G27+G30</f>
        <v>0</v>
      </c>
      <c r="H31" s="2978"/>
      <c r="I31" s="2978"/>
      <c r="J31" s="2978"/>
      <c r="K31" s="2978"/>
      <c r="L31" s="2978"/>
      <c r="M31" s="2978"/>
      <c r="N31" s="2978"/>
      <c r="O31" s="2978"/>
      <c r="P31" s="2978"/>
    </row>
    <row r="32" spans="1:16">
      <c r="A32" s="3044"/>
      <c r="B32" s="3044" t="s">
        <v>536</v>
      </c>
      <c r="C32" s="3044"/>
      <c r="D32" s="3044"/>
      <c r="E32" s="3045">
        <f>SUMIF(C19:C26,"*住宅*",E19:E26)</f>
        <v>55180.06</v>
      </c>
      <c r="F32" s="3044"/>
      <c r="G32" s="3044"/>
      <c r="H32" s="2978"/>
      <c r="I32" s="2978"/>
      <c r="J32" s="2978"/>
      <c r="K32" s="2978"/>
      <c r="L32" s="2978"/>
      <c r="M32" s="2978"/>
      <c r="N32" s="2978"/>
      <c r="O32" s="2978"/>
      <c r="P32" s="297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3.3833333333333" style="2771" customWidth="1"/>
    <col min="2" max="2" width="12" style="2772" customWidth="1"/>
    <col min="3" max="3" width="12.75" style="2772" customWidth="1"/>
    <col min="4" max="4" width="9.13333333333333" style="2773" customWidth="1"/>
    <col min="5" max="5" width="15" style="2772" customWidth="1"/>
    <col min="6" max="10" width="8.88333333333333" style="2772" customWidth="1"/>
    <col min="11" max="12" width="12.3833333333333" style="2774" customWidth="1"/>
    <col min="13" max="13" width="8.63333333333333" style="2772" customWidth="1"/>
    <col min="14" max="14" width="11.8833333333333" style="2772" customWidth="1"/>
    <col min="15" max="15" width="8.5" style="2772" customWidth="1"/>
    <col min="16" max="17" width="10.8833333333333" style="2772" customWidth="1"/>
    <col min="18" max="19" width="12.5" style="2772" customWidth="1"/>
    <col min="20" max="20" width="12.1333333333333" style="2772" customWidth="1"/>
    <col min="21" max="21" width="7.5" style="2772" customWidth="1"/>
    <col min="22" max="22" width="6.38333333333333" style="2772" customWidth="1"/>
    <col min="23" max="30" width="6.75" style="2772" customWidth="1"/>
    <col min="31" max="31" width="8" style="2772" customWidth="1"/>
    <col min="32" max="34" width="7.25" style="2772" customWidth="1"/>
    <col min="35" max="39" width="8" style="2772" customWidth="1"/>
    <col min="40" max="40" width="13.75" style="2770"/>
    <col min="41" max="41" width="11.6333333333333"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2" t="s">
        <v>543</v>
      </c>
      <c r="AA4" s="2932"/>
      <c r="AB4" s="2932"/>
      <c r="AC4" s="2932"/>
      <c r="AD4" s="2932"/>
      <c r="AE4" s="2933" t="s">
        <v>544</v>
      </c>
      <c r="AF4" s="2932"/>
      <c r="AG4" s="2947"/>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4" t="s">
        <v>562</v>
      </c>
      <c r="AA5" s="2790" t="s">
        <v>563</v>
      </c>
      <c r="AB5" s="2790" t="s">
        <v>564</v>
      </c>
      <c r="AC5" s="1000"/>
      <c r="AD5" s="1000" t="s">
        <v>565</v>
      </c>
      <c r="AE5" s="2908" t="s">
        <v>566</v>
      </c>
      <c r="AF5" s="2790" t="s">
        <v>567</v>
      </c>
      <c r="AG5" s="1472" t="s">
        <v>568</v>
      </c>
      <c r="AH5" s="2908" t="s">
        <v>569</v>
      </c>
      <c r="AI5" s="2934" t="s">
        <v>570</v>
      </c>
      <c r="AJ5" s="2934" t="s">
        <v>571</v>
      </c>
      <c r="AK5" s="2790" t="s">
        <v>572</v>
      </c>
      <c r="AL5" s="2790" t="s">
        <v>573</v>
      </c>
      <c r="AM5" s="1472" t="s">
        <v>574</v>
      </c>
      <c r="AN5" s="2948" t="s">
        <v>575</v>
      </c>
      <c r="AO5" s="2968" t="s">
        <v>576</v>
      </c>
      <c r="AP5" s="2969" t="s">
        <v>577</v>
      </c>
      <c r="AQ5" s="2970" t="s">
        <v>578</v>
      </c>
      <c r="AR5" s="2970"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55180.06</v>
      </c>
      <c r="L6" s="2889">
        <v>3500</v>
      </c>
      <c r="M6" s="2890">
        <f t="shared" ref="M6:M14" si="0">ROUND(K6*L6/10000,0)</f>
        <v>19313</v>
      </c>
      <c r="N6" s="2891">
        <f>ROUND((N19+N20)/2,2)</f>
        <v>0.92</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0.92</v>
      </c>
      <c r="Z6" s="2936"/>
      <c r="AA6" s="2800"/>
      <c r="AB6" s="2937"/>
      <c r="AC6" s="2915"/>
      <c r="AD6" s="2938"/>
      <c r="AE6" s="2939">
        <f ca="1">IF(AN6="",0,SUMIF(INDIRECT("'"&amp;AN6&amp;"'"&amp;"!E:E"),$AE$5,INDIRECT("'"&amp;AN6&amp;"'"&amp;"!F:F")))</f>
        <v>70</v>
      </c>
      <c r="AF6" s="2343"/>
      <c r="AG6" s="1665">
        <f ca="1">IF(AF6="",0,AE6-AF6)</f>
        <v>0</v>
      </c>
      <c r="AH6" s="2920"/>
      <c r="AI6" s="2949">
        <v>12</v>
      </c>
      <c r="AJ6" s="2950"/>
      <c r="AK6" s="2951">
        <v>0.01</v>
      </c>
      <c r="AL6" s="2952">
        <v>0.0015</v>
      </c>
      <c r="AM6" s="2953">
        <v>0.015</v>
      </c>
      <c r="AN6" s="2954" t="s">
        <v>580</v>
      </c>
      <c r="AO6" s="1216">
        <f ca="1">SUMIF(INDIRECT("'"&amp;AN6&amp;"'"&amp;"!A:A"),"总价",INDIRECT("'"&amp;AN6&amp;"'"&amp;"!B:B"))</f>
        <v>22616</v>
      </c>
      <c r="AP6" s="2971">
        <f>IF(C6="住宅",K6*L6,0)</f>
        <v>193130210</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8"/>
      <c r="AE7" s="2939">
        <f ca="1" t="shared" ref="AE7:AE13" si="6">IF(AN7="",0,SUMIF(INDIRECT("'"&amp;AN7&amp;"'"&amp;"!E:E"),$AE$5,INDIRECT("'"&amp;AN7&amp;"'"&amp;"!F:F")))</f>
        <v>0</v>
      </c>
      <c r="AF7" s="2343"/>
      <c r="AG7" s="1665">
        <f ca="1" t="shared" ref="AG7:AG13" si="7">IF(AF7="",0,AE7-AF7)</f>
        <v>0</v>
      </c>
      <c r="AH7" s="2920"/>
      <c r="AI7" s="2949"/>
      <c r="AJ7" s="2950"/>
      <c r="AK7" s="2955"/>
      <c r="AL7" s="2956"/>
      <c r="AM7" s="2957"/>
      <c r="AN7" s="2954"/>
      <c r="AO7" s="1216" t="e">
        <f ca="1" t="shared" ref="AO7:AO13" si="8">SUMIF(INDIRECT("'"&amp;AN7&amp;"'"&amp;"!A:A"),"总价",INDIRECT("'"&amp;AN7&amp;"'"&amp;"!B:B"))</f>
        <v>#REF!</v>
      </c>
      <c r="AP7" s="2971">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40"/>
      <c r="Z8" s="2936"/>
      <c r="AA8" s="2800"/>
      <c r="AB8" s="2800"/>
      <c r="AC8" s="2915"/>
      <c r="AD8" s="2938"/>
      <c r="AE8" s="2939">
        <f ca="1" t="shared" si="6"/>
        <v>0</v>
      </c>
      <c r="AF8" s="2343"/>
      <c r="AG8" s="1665">
        <f ca="1" t="shared" si="7"/>
        <v>0</v>
      </c>
      <c r="AH8" s="2958"/>
      <c r="AI8" s="2949"/>
      <c r="AJ8" s="2950"/>
      <c r="AK8" s="2959"/>
      <c r="AL8" s="2960"/>
      <c r="AM8" s="2961"/>
      <c r="AN8" s="2954"/>
      <c r="AO8" s="1216" t="e">
        <f ca="1" t="shared" si="8"/>
        <v>#REF!</v>
      </c>
      <c r="AP8" s="2971">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8"/>
      <c r="AE9" s="2939">
        <f ca="1" t="shared" si="6"/>
        <v>0</v>
      </c>
      <c r="AF9" s="2343"/>
      <c r="AG9" s="1665">
        <f ca="1" t="shared" si="7"/>
        <v>0</v>
      </c>
      <c r="AH9" s="2920"/>
      <c r="AI9" s="2949"/>
      <c r="AJ9" s="2950"/>
      <c r="AK9" s="2955"/>
      <c r="AL9" s="2956"/>
      <c r="AM9" s="2957"/>
      <c r="AN9" s="2954"/>
      <c r="AO9" s="1216" t="e">
        <f ca="1" t="shared" si="8"/>
        <v>#REF!</v>
      </c>
      <c r="AP9" s="2971">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8"/>
      <c r="AE10" s="2939">
        <f ca="1" t="shared" si="6"/>
        <v>0</v>
      </c>
      <c r="AF10" s="2343"/>
      <c r="AG10" s="1665">
        <f ca="1" t="shared" si="7"/>
        <v>0</v>
      </c>
      <c r="AH10" s="2920"/>
      <c r="AI10" s="2949"/>
      <c r="AJ10" s="2950"/>
      <c r="AK10" s="2955"/>
      <c r="AL10" s="2956"/>
      <c r="AM10" s="2957"/>
      <c r="AN10" s="2954"/>
      <c r="AO10" s="1216" t="e">
        <f ca="1" t="shared" si="8"/>
        <v>#REF!</v>
      </c>
      <c r="AP10" s="2971">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1"/>
      <c r="AA11" s="2800"/>
      <c r="AB11" s="2800"/>
      <c r="AC11" s="2915"/>
      <c r="AD11" s="2938"/>
      <c r="AE11" s="2939">
        <f ca="1" t="shared" si="6"/>
        <v>0</v>
      </c>
      <c r="AF11" s="2343"/>
      <c r="AG11" s="1665">
        <f ca="1" t="shared" si="7"/>
        <v>0</v>
      </c>
      <c r="AH11" s="2920"/>
      <c r="AI11" s="2949"/>
      <c r="AJ11" s="2950"/>
      <c r="AK11" s="2962"/>
      <c r="AL11" s="2963"/>
      <c r="AM11" s="2964"/>
      <c r="AN11" s="2954"/>
      <c r="AO11" s="1216" t="e">
        <f ca="1" t="shared" si="8"/>
        <v>#REF!</v>
      </c>
      <c r="AP11" s="2971">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1"/>
      <c r="AA12" s="2800"/>
      <c r="AB12" s="2800"/>
      <c r="AC12" s="2915"/>
      <c r="AD12" s="2938"/>
      <c r="AE12" s="2939">
        <f ca="1" t="shared" si="6"/>
        <v>0</v>
      </c>
      <c r="AF12" s="2343"/>
      <c r="AG12" s="1665">
        <f ca="1" t="shared" si="7"/>
        <v>0</v>
      </c>
      <c r="AH12" s="2920"/>
      <c r="AI12" s="2949"/>
      <c r="AJ12" s="2950"/>
      <c r="AK12" s="2962"/>
      <c r="AL12" s="2963"/>
      <c r="AM12" s="2964"/>
      <c r="AN12" s="2954"/>
      <c r="AO12" s="1216" t="e">
        <f ca="1" t="shared" si="8"/>
        <v>#REF!</v>
      </c>
      <c r="AP12" s="2971">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8"/>
      <c r="AE13" s="2939">
        <f ca="1" t="shared" si="6"/>
        <v>0</v>
      </c>
      <c r="AF13" s="2343"/>
      <c r="AG13" s="1665">
        <f ca="1" t="shared" si="7"/>
        <v>0</v>
      </c>
      <c r="AH13" s="2920"/>
      <c r="AI13" s="2949"/>
      <c r="AJ13" s="2950"/>
      <c r="AK13" s="2955"/>
      <c r="AL13" s="2956"/>
      <c r="AM13" s="2957"/>
      <c r="AN13" s="2954"/>
      <c r="AO13" s="1216" t="e">
        <f ca="1" t="shared" si="8"/>
        <v>#REF!</v>
      </c>
      <c r="AP13" s="2971">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2"/>
      <c r="Z14" s="2943"/>
      <c r="AA14" s="2944"/>
      <c r="AB14" s="2944"/>
      <c r="AC14" s="2915"/>
      <c r="AD14" s="2924"/>
      <c r="AE14" s="2939"/>
      <c r="AF14" s="1216"/>
      <c r="AG14" s="1665"/>
      <c r="AH14" s="2939"/>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2"/>
      <c r="Z15" s="2943"/>
      <c r="AA15" s="2944"/>
      <c r="AB15" s="2944"/>
      <c r="AC15" s="2915"/>
      <c r="AD15" s="2924"/>
      <c r="AE15" s="2939"/>
      <c r="AF15" s="1216"/>
      <c r="AG15" s="1665"/>
      <c r="AH15" s="2939"/>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55180.06</v>
      </c>
      <c r="L16" s="2900">
        <f>ROUND(M16*10000/SUM(K6:K14),0)</f>
        <v>3500</v>
      </c>
      <c r="M16" s="2900">
        <f>SUM(M6:M14)</f>
        <v>19313</v>
      </c>
      <c r="N16" s="2901">
        <f>ROUND(SUMPRODUCT(M6:M14,N6:N14)/M16,3)</f>
        <v>0.92</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5"/>
      <c r="Z16" s="2946"/>
      <c r="AA16" s="2930"/>
      <c r="AB16" s="2930"/>
      <c r="AC16" s="2931"/>
      <c r="AD16" s="2931"/>
      <c r="AE16" s="2929"/>
      <c r="AF16" s="2930"/>
      <c r="AG16" s="2945"/>
      <c r="AH16" s="2929"/>
      <c r="AI16" s="2946"/>
      <c r="AJ16" s="2946"/>
      <c r="AK16" s="2930"/>
      <c r="AL16" s="2930"/>
      <c r="AM16" s="2945"/>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2017</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0.92</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0.92</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2"/>
      <c r="K69" s="344"/>
      <c r="L69" s="344"/>
    </row>
    <row r="70" s="2295" customFormat="1" spans="1:12">
      <c r="A70" s="2676"/>
      <c r="D70" s="2972"/>
      <c r="K70" s="344"/>
      <c r="L70" s="344"/>
    </row>
    <row r="71" s="2295" customFormat="1" spans="1:12">
      <c r="A71" s="2676"/>
      <c r="D71" s="2972"/>
      <c r="K71" s="344"/>
      <c r="L71" s="344"/>
    </row>
    <row r="72" s="2295" customFormat="1" spans="1:12">
      <c r="A72" s="2676"/>
      <c r="D72" s="2972"/>
      <c r="K72" s="344"/>
      <c r="L72" s="344"/>
    </row>
    <row r="73" s="2295" customFormat="1" spans="1:12">
      <c r="A73" s="2676"/>
      <c r="D73" s="2972"/>
      <c r="K73" s="344"/>
      <c r="L73" s="344"/>
    </row>
    <row r="74" s="2295" customFormat="1" spans="1:12">
      <c r="A74" s="2676"/>
      <c r="D74" s="2972"/>
      <c r="K74" s="344"/>
      <c r="L74" s="344"/>
    </row>
    <row r="75" s="2295" customFormat="1" spans="1:12">
      <c r="A75" s="2676"/>
      <c r="D75" s="2972"/>
      <c r="K75" s="344"/>
      <c r="L75" s="344"/>
    </row>
    <row r="76" s="2295" customFormat="1" spans="1:12">
      <c r="A76" s="2676"/>
      <c r="D76" s="2972"/>
      <c r="K76" s="344"/>
      <c r="L76" s="344"/>
    </row>
    <row r="77" s="2295" customFormat="1" spans="1:12">
      <c r="A77" s="2676"/>
      <c r="D77" s="2972"/>
      <c r="K77" s="344"/>
      <c r="L77" s="344"/>
    </row>
    <row r="78" s="2295" customFormat="1" spans="1:12">
      <c r="A78" s="2676"/>
      <c r="D78" s="2972"/>
      <c r="K78" s="344"/>
      <c r="L78" s="344"/>
    </row>
    <row r="79" s="2295" customFormat="1" spans="1:12">
      <c r="A79" s="2676"/>
      <c r="D79" s="2972"/>
      <c r="K79" s="344"/>
      <c r="L79" s="344"/>
    </row>
    <row r="80" s="2295" customFormat="1" spans="1:12">
      <c r="A80" s="2676"/>
      <c r="D80" s="2972"/>
      <c r="K80" s="344"/>
      <c r="L80" s="344"/>
    </row>
    <row r="81" s="2295" customFormat="1" spans="1:12">
      <c r="A81" s="2676"/>
      <c r="D81" s="2972"/>
      <c r="K81" s="344"/>
      <c r="L81" s="344"/>
    </row>
    <row r="82" s="2295" customFormat="1" spans="1:12">
      <c r="A82" s="2676"/>
      <c r="D82" s="2972"/>
      <c r="K82" s="344"/>
      <c r="L82" s="344"/>
    </row>
    <row r="83" s="2295" customFormat="1" spans="1:12">
      <c r="A83" s="2676"/>
      <c r="D83" s="2972"/>
      <c r="K83" s="344"/>
      <c r="L83" s="344"/>
    </row>
    <row r="84" s="2295" customFormat="1" spans="1:12">
      <c r="A84" s="2676"/>
      <c r="D84" s="2972"/>
      <c r="K84" s="344"/>
      <c r="L84" s="344"/>
    </row>
    <row r="85" s="2295" customFormat="1" spans="1:12">
      <c r="A85" s="2676"/>
      <c r="D85" s="2972"/>
      <c r="K85" s="344"/>
      <c r="L85" s="344"/>
    </row>
    <row r="86" s="2295" customFormat="1" spans="1:12">
      <c r="A86" s="2676"/>
      <c r="D86" s="2972"/>
      <c r="K86" s="344"/>
      <c r="L86" s="344"/>
    </row>
    <row r="87" s="2295" customFormat="1" spans="1:12">
      <c r="A87" s="2676"/>
      <c r="D87" s="2972"/>
      <c r="K87" s="344"/>
      <c r="L87" s="344"/>
    </row>
    <row r="88" s="2295" customFormat="1" spans="1:12">
      <c r="A88" s="2676"/>
      <c r="D88" s="2972"/>
      <c r="K88" s="344"/>
      <c r="L88" s="344"/>
    </row>
    <row r="89" s="2295" customFormat="1" spans="1:12">
      <c r="A89" s="2676"/>
      <c r="D89" s="2972"/>
      <c r="K89" s="344"/>
      <c r="L89" s="344"/>
    </row>
    <row r="90" s="2295" customFormat="1" spans="1:12">
      <c r="A90" s="2676"/>
      <c r="D90" s="2972"/>
      <c r="K90" s="344"/>
      <c r="L90" s="344"/>
    </row>
    <row r="91" s="2295" customFormat="1" spans="1:12">
      <c r="A91" s="2676"/>
      <c r="D91" s="2972"/>
      <c r="K91" s="344"/>
      <c r="L91" s="344"/>
    </row>
    <row r="92" s="2295" customFormat="1" spans="1:12">
      <c r="A92" s="2676"/>
      <c r="D92" s="2972"/>
      <c r="K92" s="344"/>
      <c r="L92" s="344"/>
    </row>
    <row r="93" s="2295" customFormat="1" spans="1:12">
      <c r="A93" s="2676"/>
      <c r="D93" s="2972"/>
      <c r="K93" s="344"/>
      <c r="L93" s="344"/>
    </row>
    <row r="94" s="2295" customFormat="1" spans="1:12">
      <c r="A94" s="2676"/>
      <c r="D94" s="2972"/>
      <c r="K94" s="344"/>
      <c r="L94" s="344"/>
    </row>
    <row r="95" s="2295" customFormat="1" spans="1:12">
      <c r="A95" s="2676"/>
      <c r="D95" s="2972"/>
      <c r="K95" s="344"/>
      <c r="L95" s="344"/>
    </row>
    <row r="96" s="2295" customFormat="1" spans="1:12">
      <c r="A96" s="2676"/>
      <c r="D96" s="2972"/>
      <c r="K96" s="344"/>
      <c r="L96" s="344"/>
    </row>
    <row r="97" s="2295" customFormat="1" spans="1:12">
      <c r="A97" s="2676"/>
      <c r="D97" s="2972"/>
      <c r="K97" s="344"/>
      <c r="L97" s="344"/>
    </row>
    <row r="98" s="2295" customFormat="1" spans="1:12">
      <c r="A98" s="2676"/>
      <c r="D98" s="2972"/>
      <c r="K98" s="344"/>
      <c r="L98" s="344"/>
    </row>
    <row r="99" s="2295" customFormat="1" spans="1:12">
      <c r="A99" s="2676"/>
      <c r="D99" s="2972"/>
      <c r="K99" s="344"/>
      <c r="L99" s="344"/>
    </row>
    <row r="100" s="2295" customFormat="1" spans="1:12">
      <c r="A100" s="2676"/>
      <c r="D100" s="2972"/>
      <c r="K100" s="344"/>
      <c r="L100" s="344"/>
    </row>
    <row r="101" s="2295" customFormat="1" spans="1:12">
      <c r="A101" s="2676"/>
      <c r="D101" s="2972"/>
      <c r="K101" s="344"/>
      <c r="L101" s="344"/>
    </row>
    <row r="102" s="2295" customFormat="1" spans="1:12">
      <c r="A102" s="2676"/>
      <c r="D102" s="2972"/>
      <c r="K102" s="344"/>
      <c r="L102" s="344"/>
    </row>
    <row r="103" s="2295" customFormat="1" spans="1:12">
      <c r="A103" s="2676"/>
      <c r="D103" s="2972"/>
      <c r="K103" s="344"/>
      <c r="L103" s="344"/>
    </row>
    <row r="104" s="2295" customFormat="1" spans="1:12">
      <c r="A104" s="2676"/>
      <c r="D104" s="2972"/>
      <c r="K104" s="344"/>
      <c r="L104" s="344"/>
    </row>
    <row r="105" s="2295" customFormat="1" spans="1:12">
      <c r="A105" s="2676"/>
      <c r="D105" s="2972"/>
      <c r="K105" s="344"/>
      <c r="L105" s="344"/>
    </row>
    <row r="106" s="2295" customFormat="1" spans="1:12">
      <c r="A106" s="2676"/>
      <c r="D106" s="2972"/>
      <c r="K106" s="344"/>
      <c r="L106" s="344"/>
    </row>
    <row r="107" s="2295" customFormat="1" spans="1:12">
      <c r="A107" s="2676"/>
      <c r="D107" s="2972"/>
      <c r="K107" s="344"/>
      <c r="L107" s="344"/>
    </row>
    <row r="108" s="2295" customFormat="1" spans="1:12">
      <c r="A108" s="2676"/>
      <c r="D108" s="2972"/>
      <c r="K108" s="344"/>
      <c r="L108" s="344"/>
    </row>
    <row r="109" s="2295" customFormat="1" spans="1:12">
      <c r="A109" s="2676"/>
      <c r="D109" s="2972"/>
      <c r="K109" s="344"/>
      <c r="L109" s="344"/>
    </row>
    <row r="110" s="2295" customFormat="1" spans="1:12">
      <c r="A110" s="2676"/>
      <c r="D110" s="2972"/>
      <c r="K110" s="344"/>
      <c r="L110" s="344"/>
    </row>
    <row r="111" s="2295" customFormat="1" spans="1:12">
      <c r="A111" s="2676"/>
      <c r="D111" s="2972"/>
      <c r="K111" s="344"/>
      <c r="L111" s="344"/>
    </row>
    <row r="112" s="2295" customFormat="1" spans="1:12">
      <c r="A112" s="2676"/>
      <c r="D112" s="2972"/>
      <c r="K112" s="344"/>
      <c r="L112" s="344"/>
    </row>
    <row r="113" s="2295" customFormat="1" spans="1:12">
      <c r="A113" s="2676"/>
      <c r="D113" s="2972"/>
      <c r="K113" s="344"/>
      <c r="L113" s="344"/>
    </row>
    <row r="114" s="2295" customFormat="1" spans="1:12">
      <c r="A114" s="2676"/>
      <c r="D114" s="2972"/>
      <c r="K114" s="344"/>
      <c r="L114" s="344"/>
    </row>
    <row r="115" s="2295" customFormat="1" spans="1:12">
      <c r="A115" s="2676"/>
      <c r="D115" s="2972"/>
      <c r="K115" s="344"/>
      <c r="L115" s="344"/>
    </row>
    <row r="116" s="2295" customFormat="1" spans="1:12">
      <c r="A116" s="2676"/>
      <c r="D116" s="2972"/>
      <c r="K116" s="344"/>
      <c r="L116" s="344"/>
    </row>
    <row r="117" s="2295" customFormat="1" spans="1:12">
      <c r="A117" s="2676"/>
      <c r="D117" s="2972"/>
      <c r="K117" s="344"/>
      <c r="L117" s="344"/>
    </row>
    <row r="118" s="2295" customFormat="1" spans="1:12">
      <c r="A118" s="2676"/>
      <c r="D118" s="2972"/>
      <c r="K118" s="344"/>
      <c r="L118" s="344"/>
    </row>
    <row r="119" s="2295" customFormat="1" spans="1:12">
      <c r="A119" s="2676"/>
      <c r="D119" s="2972"/>
      <c r="K119" s="344"/>
      <c r="L119" s="344"/>
    </row>
    <row r="120" s="2295" customFormat="1" spans="1:12">
      <c r="A120" s="2676"/>
      <c r="D120" s="2972"/>
      <c r="K120" s="344"/>
      <c r="L120" s="344"/>
    </row>
    <row r="121" s="2295" customFormat="1" spans="1:12">
      <c r="A121" s="2676"/>
      <c r="D121" s="2972"/>
      <c r="K121" s="344"/>
      <c r="L121" s="344"/>
    </row>
    <row r="122" s="2295" customFormat="1" spans="1:12">
      <c r="A122" s="2676"/>
      <c r="D122" s="2972"/>
      <c r="K122" s="344"/>
      <c r="L122" s="344"/>
    </row>
    <row r="123" s="2295" customFormat="1" spans="1:12">
      <c r="A123" s="2676"/>
      <c r="D123" s="2972"/>
      <c r="K123" s="344"/>
      <c r="L123" s="344"/>
    </row>
    <row r="124" s="2295" customFormat="1" spans="1:12">
      <c r="A124" s="2676"/>
      <c r="D124" s="2972"/>
      <c r="K124" s="344"/>
      <c r="L124" s="344"/>
    </row>
    <row r="125" s="2295" customFormat="1" spans="1:12">
      <c r="A125" s="2676"/>
      <c r="D125" s="2972"/>
      <c r="K125" s="344"/>
      <c r="L125" s="344"/>
    </row>
    <row r="126" s="2295" customFormat="1" spans="1:12">
      <c r="A126" s="2676"/>
      <c r="D126" s="2972"/>
      <c r="K126" s="344"/>
      <c r="L126" s="344"/>
    </row>
    <row r="127" s="2295" customFormat="1" spans="1:12">
      <c r="A127" s="2676"/>
      <c r="D127" s="2972"/>
      <c r="K127" s="344"/>
      <c r="L127" s="344"/>
    </row>
    <row r="128" s="2295" customFormat="1" spans="1:12">
      <c r="A128" s="2676"/>
      <c r="D128" s="2972"/>
      <c r="K128" s="344"/>
      <c r="L128" s="344"/>
    </row>
    <row r="129" s="2295" customFormat="1" spans="1:12">
      <c r="A129" s="2676"/>
      <c r="D129" s="2972"/>
      <c r="K129" s="344"/>
      <c r="L129" s="344"/>
    </row>
    <row r="130" s="2295" customFormat="1" spans="1:12">
      <c r="A130" s="2676"/>
      <c r="D130" s="2972"/>
      <c r="K130" s="344"/>
      <c r="L130" s="344"/>
    </row>
    <row r="131" s="2295" customFormat="1" spans="1:12">
      <c r="A131" s="2676"/>
      <c r="D131" s="2972"/>
      <c r="K131" s="344"/>
      <c r="L131" s="344"/>
    </row>
    <row r="132" s="2295" customFormat="1" spans="1:12">
      <c r="A132" s="2676"/>
      <c r="D132" s="2972"/>
      <c r="K132" s="344"/>
      <c r="L132" s="344"/>
    </row>
    <row r="133" s="2295" customFormat="1" spans="1:12">
      <c r="A133" s="2676"/>
      <c r="D133" s="2972"/>
      <c r="K133" s="344"/>
      <c r="L133" s="344"/>
    </row>
    <row r="134" s="2770" customFormat="1" spans="1:12">
      <c r="A134" s="2973"/>
      <c r="D134" s="2974"/>
      <c r="K134" s="243"/>
      <c r="L134" s="243"/>
    </row>
    <row r="135" s="2770" customFormat="1" spans="1:12">
      <c r="A135" s="2973"/>
      <c r="D135" s="2974"/>
      <c r="K135" s="243"/>
      <c r="L135" s="243"/>
    </row>
    <row r="136" s="2770" customFormat="1" spans="1:12">
      <c r="A136" s="2973"/>
      <c r="D136" s="2974"/>
      <c r="K136" s="243"/>
      <c r="L136" s="243"/>
    </row>
    <row r="137" s="2770" customFormat="1" spans="1:12">
      <c r="A137" s="2973"/>
      <c r="D137" s="2974"/>
      <c r="K137" s="243"/>
      <c r="L137" s="243"/>
    </row>
    <row r="138" s="2770" customFormat="1" spans="1:12">
      <c r="A138" s="2973"/>
      <c r="D138" s="2974"/>
      <c r="K138" s="243"/>
      <c r="L138" s="243"/>
    </row>
    <row r="139" s="2770" customFormat="1" spans="1:12">
      <c r="A139" s="2973"/>
      <c r="D139" s="2974"/>
      <c r="K139" s="243"/>
      <c r="L139" s="243"/>
    </row>
    <row r="140" s="2770" customFormat="1" spans="1:12">
      <c r="A140" s="2973"/>
      <c r="D140" s="2974"/>
      <c r="K140" s="243"/>
      <c r="L140" s="243"/>
    </row>
    <row r="141" s="2770" customFormat="1" spans="1:12">
      <c r="A141" s="2973"/>
      <c r="D141" s="2974"/>
      <c r="K141" s="243"/>
      <c r="L141" s="243"/>
    </row>
    <row r="142" s="2770" customFormat="1" spans="1:12">
      <c r="A142" s="2973"/>
      <c r="D142" s="2974"/>
      <c r="K142" s="243"/>
      <c r="L142" s="243"/>
    </row>
    <row r="143" s="2770" customFormat="1" spans="1:12">
      <c r="A143" s="2973"/>
      <c r="D143" s="2974"/>
      <c r="K143" s="243"/>
      <c r="L143" s="243"/>
    </row>
    <row r="144" s="2770" customFormat="1" spans="1:12">
      <c r="A144" s="2973"/>
      <c r="D144" s="2974"/>
      <c r="K144" s="243"/>
      <c r="L144" s="243"/>
    </row>
    <row r="145" s="2770" customFormat="1" spans="1:12">
      <c r="A145" s="2973"/>
      <c r="D145" s="2974"/>
      <c r="K145" s="243"/>
      <c r="L145" s="243"/>
    </row>
    <row r="146" s="2770" customFormat="1" spans="1:12">
      <c r="A146" s="2973"/>
      <c r="D146" s="2974"/>
      <c r="K146" s="243"/>
      <c r="L146" s="243"/>
    </row>
    <row r="147" s="2770" customFormat="1" spans="1:12">
      <c r="A147" s="2973"/>
      <c r="D147" s="2974"/>
      <c r="K147" s="243"/>
      <c r="L147" s="243"/>
    </row>
    <row r="148" s="2770" customFormat="1" spans="1:12">
      <c r="A148" s="2973"/>
      <c r="D148" s="2974"/>
      <c r="K148" s="243"/>
      <c r="L148" s="243"/>
    </row>
    <row r="149" s="2770" customFormat="1" spans="1:12">
      <c r="A149" s="2973"/>
      <c r="D149" s="2974"/>
      <c r="K149" s="243"/>
      <c r="L149" s="243"/>
    </row>
    <row r="150" s="2770" customFormat="1" spans="1:12">
      <c r="A150" s="2973"/>
      <c r="D150" s="2974"/>
      <c r="K150" s="243"/>
      <c r="L150" s="243"/>
    </row>
    <row r="151" s="2770" customFormat="1" spans="1:12">
      <c r="A151" s="2973"/>
      <c r="D151" s="2974"/>
      <c r="K151" s="243"/>
      <c r="L151" s="243"/>
    </row>
    <row r="152" s="2770" customFormat="1" spans="1:12">
      <c r="A152" s="2973"/>
      <c r="D152" s="2974"/>
      <c r="K152" s="243"/>
      <c r="L152" s="243"/>
    </row>
    <row r="153" s="2770" customFormat="1" spans="1:12">
      <c r="A153" s="2973"/>
      <c r="D153" s="2974"/>
      <c r="K153" s="243"/>
      <c r="L153" s="243"/>
    </row>
    <row r="154" s="2770" customFormat="1" spans="1:12">
      <c r="A154" s="2973"/>
      <c r="D154" s="2974"/>
      <c r="K154" s="243"/>
      <c r="L154" s="243"/>
    </row>
    <row r="155" s="2770" customFormat="1" spans="1:12">
      <c r="A155" s="2973"/>
      <c r="D155" s="2974"/>
      <c r="K155" s="243"/>
      <c r="L155" s="243"/>
    </row>
    <row r="156" s="2770" customFormat="1" spans="1:12">
      <c r="A156" s="2973"/>
      <c r="D156" s="2974"/>
      <c r="K156" s="243"/>
      <c r="L156" s="243"/>
    </row>
    <row r="157" s="2770" customFormat="1" spans="1:12">
      <c r="A157" s="2973"/>
      <c r="D157" s="2974"/>
      <c r="K157" s="243"/>
      <c r="L157" s="243"/>
    </row>
    <row r="158" s="2770" customFormat="1" spans="1:12">
      <c r="A158" s="2973"/>
      <c r="D158" s="2974"/>
      <c r="K158" s="243"/>
      <c r="L158" s="243"/>
    </row>
    <row r="159" s="2770" customFormat="1" spans="1:12">
      <c r="A159" s="2973"/>
      <c r="D159" s="2974"/>
      <c r="K159" s="243"/>
      <c r="L159" s="243"/>
    </row>
    <row r="160" s="2770" customFormat="1" spans="1:12">
      <c r="A160" s="2973"/>
      <c r="D160" s="2974"/>
      <c r="K160" s="243"/>
      <c r="L160" s="243"/>
    </row>
    <row r="161" s="2770" customFormat="1" spans="1:12">
      <c r="A161" s="2973"/>
      <c r="D161" s="2974"/>
      <c r="K161" s="243"/>
      <c r="L161" s="243"/>
    </row>
    <row r="162" s="2770" customFormat="1" spans="1:12">
      <c r="A162" s="2973"/>
      <c r="D162" s="2974"/>
      <c r="K162" s="243"/>
      <c r="L162" s="243"/>
    </row>
    <row r="163" s="2770" customFormat="1" spans="1:12">
      <c r="A163" s="2973"/>
      <c r="D163" s="2974"/>
      <c r="K163" s="243"/>
      <c r="L163" s="243"/>
    </row>
    <row r="164" s="2770" customFormat="1" spans="1:12">
      <c r="A164" s="2973"/>
      <c r="D164" s="2974"/>
      <c r="K164" s="243"/>
      <c r="L164" s="243"/>
    </row>
    <row r="165" s="2770" customFormat="1" spans="1:12">
      <c r="A165" s="2973"/>
      <c r="D165" s="2974"/>
      <c r="K165" s="243"/>
      <c r="L165" s="243"/>
    </row>
    <row r="166" s="2770" customFormat="1" spans="1:12">
      <c r="A166" s="2973"/>
      <c r="D166" s="2974"/>
      <c r="K166" s="243"/>
      <c r="L166" s="243"/>
    </row>
    <row r="167" s="2770" customFormat="1" spans="1:12">
      <c r="A167" s="2973"/>
      <c r="D167" s="2974"/>
      <c r="K167" s="243"/>
      <c r="L167" s="243"/>
    </row>
    <row r="168" s="2770" customFormat="1" spans="1:12">
      <c r="A168" s="2973"/>
      <c r="D168" s="2974"/>
      <c r="K168" s="243"/>
      <c r="L168" s="243"/>
    </row>
    <row r="169" s="2770" customFormat="1" spans="1:12">
      <c r="A169" s="2973"/>
      <c r="D169" s="2974"/>
      <c r="K169" s="243"/>
      <c r="L169" s="243"/>
    </row>
    <row r="170" s="2770" customFormat="1" spans="1:12">
      <c r="A170" s="2973"/>
      <c r="D170" s="2974"/>
      <c r="K170" s="243"/>
      <c r="L170" s="243"/>
    </row>
    <row r="171" s="2770" customFormat="1" spans="1:12">
      <c r="A171" s="2973"/>
      <c r="D171" s="2974"/>
      <c r="K171" s="243"/>
      <c r="L171" s="243"/>
    </row>
    <row r="172" s="2770" customFormat="1" spans="1:12">
      <c r="A172" s="2973"/>
      <c r="D172" s="2974"/>
      <c r="K172" s="243"/>
      <c r="L172" s="243"/>
    </row>
    <row r="173" s="2770" customFormat="1" spans="1:12">
      <c r="A173" s="2973"/>
      <c r="D173" s="2974"/>
      <c r="K173" s="243"/>
      <c r="L173" s="243"/>
    </row>
    <row r="174" s="2770"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3333333333333" style="2698" customWidth="1"/>
    <col min="5" max="5" width="5.88333333333333" style="2698" customWidth="1"/>
    <col min="6" max="6" width="27" style="2697" customWidth="1"/>
    <col min="7" max="7" width="27" style="2699" customWidth="1"/>
    <col min="8" max="8" width="11.8833333333333" style="2700" customWidth="1"/>
    <col min="9" max="9" width="16.75" style="2701" customWidth="1"/>
    <col min="10" max="10" width="2.63333333333333" style="2700" customWidth="1"/>
    <col min="11" max="11" width="11.8833333333333" style="2700" customWidth="1"/>
    <col min="12" max="12" width="16.75" style="2701" customWidth="1"/>
    <col min="13" max="13" width="2.63333333333333" style="2700" customWidth="1"/>
    <col min="14" max="14" width="11.8833333333333" style="2700" customWidth="1"/>
    <col min="15" max="15" width="16.75" style="2701" customWidth="1"/>
    <col min="16" max="16" width="2.63333333333333" style="2700" customWidth="1"/>
    <col min="17" max="17" width="11.8833333333333"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55180.06</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27167</v>
      </c>
      <c r="C5" s="2682">
        <f ca="1">ROUND(B5*10000/$B$1,0)</f>
        <v>4923</v>
      </c>
      <c r="D5" s="2682" t="e">
        <f ca="1">ROUND(B5*10000/$B$2,0)</f>
        <v>#DIV/0!</v>
      </c>
      <c r="E5" s="2683"/>
      <c r="F5" s="2684"/>
      <c r="G5" s="2684"/>
      <c r="H5" s="2685"/>
      <c r="I5" s="2685"/>
      <c r="J5" s="2685"/>
      <c r="K5" s="2685"/>
    </row>
    <row r="6" spans="1:11">
      <c r="A6" s="2682" t="s">
        <v>681</v>
      </c>
      <c r="B6" s="2682">
        <f ca="1">SUM(G14:G23)</f>
        <v>27167</v>
      </c>
      <c r="C6" s="2682">
        <f ca="1">ROUND(B6*10000/$B$1,0)</f>
        <v>4923</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55180.06</v>
      </c>
      <c r="C14" s="2691">
        <f>结果表!C118</f>
        <v>0</v>
      </c>
      <c r="D14" s="2691">
        <f ca="1">结果表!H118</f>
        <v>27167</v>
      </c>
      <c r="E14" s="2691">
        <f ca="1">ROUND(D14*10000/B14,0)</f>
        <v>4923</v>
      </c>
      <c r="F14" s="2691" t="e">
        <f ca="1">ROUND(D14*10000/C14,0)</f>
        <v>#DIV/0!</v>
      </c>
      <c r="G14" s="2691">
        <f ca="1">结果表!D122</f>
        <v>27167</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71" workbookViewId="0">
      <selection activeCell="J95" sqref="J95"/>
    </sheetView>
  </sheetViews>
  <sheetFormatPr defaultColWidth="12.6333333333333" defaultRowHeight="21.75" customHeight="1"/>
  <cols>
    <col min="1" max="2" width="12.6333333333333" style="2326"/>
    <col min="3" max="4" width="12.6333333333333" style="2326" customWidth="1"/>
    <col min="5" max="9" width="12.6333333333333" style="2326"/>
    <col min="10" max="11" width="12.6333333333333" style="245" customWidth="1"/>
    <col min="12" max="12" width="12.6333333333333" style="245"/>
    <col min="13" max="13" width="14.1333333333333" style="245" customWidth="1"/>
    <col min="14" max="26" width="12.6333333333333" style="245"/>
    <col min="27" max="35" width="12.6333333333333" style="2325"/>
    <col min="36" max="16384" width="12.6333333333333"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55180.06</v>
      </c>
      <c r="M18" s="1943">
        <f>IF(C1="",'数据-汇总表'!E3,SUMIF(项目类型,C1,'数据-汇总表'!E17:E26))</f>
        <v>55180.06</v>
      </c>
    </row>
    <row r="19" ht="14.25" spans="1:13">
      <c r="A19" s="2355" t="s">
        <v>730</v>
      </c>
      <c r="B19" s="2356" t="s">
        <v>731</v>
      </c>
      <c r="C19" s="2357">
        <f ca="1">SUMIF(INDIRECT("'"&amp;C4&amp;"'"&amp;"!A:A"),结果表!B19,INDIRECT("'"&amp;C4&amp;"'"&amp;"!B:B"))</f>
        <v>68128</v>
      </c>
      <c r="D19" s="1357">
        <f ca="1">SUMIF(INDIRECT("'"&amp;D4&amp;"'"&amp;"!A:A"),结果表!B19,INDIRECT("'"&amp;D4&amp;"'"&amp;"!B:B"))</f>
        <v>22616</v>
      </c>
      <c r="E19" s="2355" t="s">
        <v>732</v>
      </c>
      <c r="F19" s="2356" t="s">
        <v>731</v>
      </c>
      <c r="G19" s="2358">
        <f ca="1">ROUND(C19*$C$18+D19*$D$18,0)</f>
        <v>27167</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12346</v>
      </c>
      <c r="D20" s="1665">
        <f ca="1">SUMIF(INDIRECT("'"&amp;D4&amp;"'"&amp;"!A:A"),结果表!B20,INDIRECT("'"&amp;D4&amp;"'"&amp;"!B:B"))</f>
        <v>4099</v>
      </c>
      <c r="E20" s="2360"/>
      <c r="F20" s="2361" t="s">
        <v>734</v>
      </c>
      <c r="G20" s="2362">
        <f ca="1">ROUND(C20*$C$18+D20*$D$18,0)</f>
        <v>4924</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2.01238061549346</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27167</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18501</v>
      </c>
      <c r="D34" s="2395">
        <f ca="1">IF(C33="自定义",ROUND(C34/C32,3),IF(C33="收益比率",SUMIF(INDIRECT("'"&amp;D33&amp;"'"&amp;"!b:b"),"土地收益比率",INDIRECT("'"&amp;D33&amp;"'"&amp;"!c:c")),SUMIF(INDIRECT("'"&amp;D33&amp;"'"&amp;"!b:b"),"土地成本比率",INDIRECT("'"&amp;D33&amp;"'"&amp;"!c:c"))))</f>
        <v>0.681</v>
      </c>
      <c r="E34" s="2396" t="s">
        <v>752</v>
      </c>
      <c r="F34" s="2397"/>
      <c r="G34" s="290"/>
      <c r="H34" s="290"/>
      <c r="I34" s="290"/>
    </row>
    <row r="35" ht="15.75" spans="1:9">
      <c r="A35" s="2398"/>
      <c r="B35" s="2399" t="s">
        <v>753</v>
      </c>
      <c r="C35" s="2400">
        <f ca="1">IF(C33="自定义",F35,ROUND(C32*D35,0))</f>
        <v>8666</v>
      </c>
      <c r="D35" s="2401">
        <f ca="1">IF(C33="自定义",ROUND(C35/C32,3),IF(C33="收益比率",SUMIF(INDIRECT("'"&amp;D33&amp;"'"&amp;"!b:b"),"建筑物收益比率",INDIRECT("'"&amp;D33&amp;"'"&amp;"!c:c")),SUMIF(INDIRECT("'"&amp;D33&amp;"'"&amp;"!b:b"),"建筑物成本比率",INDIRECT("'"&amp;D33&amp;"'"&amp;"!c:c"))))</f>
        <v>0.319</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27167</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27167</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27167</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272</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272</v>
      </c>
      <c r="O57" s="2518"/>
      <c r="P57" s="2519">
        <f ca="1">N57/M49</f>
        <v>0.0100121470902198</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贰佰柒拾贰万元整</v>
      </c>
      <c r="O58" s="2522"/>
    </row>
    <row r="59" ht="24.75" spans="1:15">
      <c r="A59" s="2471" t="s">
        <v>816</v>
      </c>
      <c r="B59" s="2472"/>
      <c r="C59" s="2472"/>
      <c r="D59" s="2473">
        <f ca="1">IF(H59="非个人房产","——",IF(H59="个人住宅（满五唯一有凭证）",0,IF(H59="个人其他（无凭证）",ROUND(D45*F59,0),ROUND(C67*F59,0))))</f>
        <v>272</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26895</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贰亿陆仟捌佰玖拾伍万元整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4874</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27167</v>
      </c>
      <c r="D63" s="2486"/>
      <c r="E63" s="2488"/>
      <c r="F63" s="2480"/>
      <c r="G63" s="2480"/>
      <c r="H63" s="2481"/>
      <c r="I63" s="290"/>
      <c r="J63" s="2530" t="s">
        <v>825</v>
      </c>
      <c r="K63" s="2530" t="s">
        <v>826</v>
      </c>
      <c r="L63" s="2530">
        <f ca="1">IF(M49&gt;10000,M49*0.5%,IF(AND(M49&gt;1000,M49&lt;=10000),M49*1%,IF(AND(M49&gt;100,M49&lt;=1000),M49*3%,IF(AND(M49&gt;10,M49&lt;=100),M49*5%,M49*8%))))</f>
        <v>135.835</v>
      </c>
      <c r="M63" s="1943">
        <f ca="1">ROUND(L63,1)</f>
        <v>135.8</v>
      </c>
      <c r="N63" s="2531"/>
      <c r="Z63" s="2325"/>
      <c r="AI63" s="2326"/>
    </row>
    <row r="64" ht="14.25" customHeight="1" spans="1:35">
      <c r="A64" s="2489" t="s">
        <v>827</v>
      </c>
      <c r="B64" s="630" t="s">
        <v>828</v>
      </c>
      <c r="C64" s="2490">
        <f ca="1">D45</f>
        <v>27167</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135.835</v>
      </c>
      <c r="M64" s="1943">
        <f ca="1" t="shared" ref="M64:M65" si="1">ROUND(L64,1)</f>
        <v>135.8</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27.167</v>
      </c>
      <c r="M65" s="1943">
        <f ca="1" t="shared" si="1"/>
        <v>27.2</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135.835</v>
      </c>
      <c r="M66" s="1943">
        <f ca="1">IF(L66&gt;0.5,0.5,ROUND(L66,0))</f>
        <v>0.5</v>
      </c>
      <c r="N66" s="2113" t="s">
        <v>838</v>
      </c>
      <c r="Z66" s="2325"/>
      <c r="AI66" s="2326"/>
    </row>
    <row r="67" ht="14.25" customHeight="1" spans="1:35">
      <c r="A67" s="2485" t="s">
        <v>839</v>
      </c>
      <c r="B67" s="2534" t="s">
        <v>840</v>
      </c>
      <c r="C67" s="2537">
        <f ca="1">C63-C66</f>
        <v>27167</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9.9667</v>
      </c>
      <c r="M67" s="1943">
        <f ca="1">ROUND(L67*0.9,1)</f>
        <v>9</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135.835</v>
      </c>
      <c r="M68" s="1943">
        <f ca="1">ROUND(L68,1)</f>
        <v>135.8</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444</v>
      </c>
      <c r="N69" s="2647">
        <f ca="1">M69/M49</f>
        <v>0.0163433577502117</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27167</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27167</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27167</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27167</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27167</v>
      </c>
      <c r="I101" s="290"/>
    </row>
    <row r="102" ht="18.75" customHeight="1" spans="1:9">
      <c r="A102" s="2603" t="s">
        <v>893</v>
      </c>
      <c r="B102" s="2604" t="s">
        <v>892</v>
      </c>
      <c r="C102" s="2597">
        <f ca="1">C19</f>
        <v>68128</v>
      </c>
      <c r="D102" s="2598">
        <f ca="1">D19</f>
        <v>22616</v>
      </c>
      <c r="E102" s="2599"/>
      <c r="F102" s="2600"/>
      <c r="G102" s="2601" t="s">
        <v>99</v>
      </c>
      <c r="H102" s="2465">
        <f ca="1">I118</f>
        <v>4923</v>
      </c>
      <c r="I102" s="290"/>
    </row>
    <row r="103" ht="42.75" customHeight="1" spans="1:9">
      <c r="A103" s="2603"/>
      <c r="B103" s="2604" t="s">
        <v>99</v>
      </c>
      <c r="C103" s="2605">
        <f ca="1">C20</f>
        <v>12346</v>
      </c>
      <c r="D103" s="2606">
        <f ca="1">D20</f>
        <v>4099</v>
      </c>
      <c r="E103" s="2607" t="s">
        <v>894</v>
      </c>
      <c r="F103" s="2608"/>
      <c r="G103" s="2609" t="s">
        <v>102</v>
      </c>
      <c r="H103" s="2602">
        <f>IF(D36="正常操作",H104+H105+H106,H105+H106)</f>
        <v>0</v>
      </c>
      <c r="I103" s="290"/>
    </row>
    <row r="104" ht="18.75" customHeight="1" spans="1:9">
      <c r="A104" s="2603" t="s">
        <v>895</v>
      </c>
      <c r="B104" s="2610" t="s">
        <v>892</v>
      </c>
      <c r="C104" s="2611">
        <f ca="1">H118</f>
        <v>27167</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4923</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27167</v>
      </c>
      <c r="I107" s="290"/>
    </row>
    <row r="108" ht="18.75" customHeight="1" spans="1:9">
      <c r="A108" s="290"/>
      <c r="B108" s="290"/>
      <c r="C108" s="290"/>
      <c r="D108" s="290"/>
      <c r="E108" s="2621"/>
      <c r="F108" s="2600"/>
      <c r="G108" s="2601" t="s">
        <v>99</v>
      </c>
      <c r="H108" s="2465">
        <f ca="1">ROUND(H107*10000/'数据-汇总表'!E3,0)</f>
        <v>4923</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55180.06</v>
      </c>
      <c r="C118" s="2341">
        <f>M19</f>
        <v>0</v>
      </c>
      <c r="D118" s="2341">
        <f ca="1">ROUND(IF(D32="总价",C34,E118*B118/10000),0)</f>
        <v>18501</v>
      </c>
      <c r="E118" s="2341">
        <f ca="1">ROUND(IF(C33="自定义",IF(D32="楼面单价",C34,D118*10000/B118),I118-G118),0)</f>
        <v>3353</v>
      </c>
      <c r="F118" s="2341">
        <f ca="1">ROUND(IF(D32="总价",C35,G118*B118/10000),0)</f>
        <v>8666</v>
      </c>
      <c r="G118" s="2341">
        <f ca="1">ROUND(IF(D32="楼面单价",C35,F118*10000/B118),0)</f>
        <v>1570</v>
      </c>
      <c r="H118" s="2341">
        <f ca="1">ROUND(IF(D32="总价",C32,I118*B118/10000),0)</f>
        <v>27167</v>
      </c>
      <c r="I118" s="2341">
        <f ca="1">ROUND(IF(D32="楼面单价",C32,H118*10000/B118),0)</f>
        <v>4923</v>
      </c>
    </row>
    <row r="119" ht="18.75" customHeight="1" spans="1:9">
      <c r="A119" s="2341" t="s">
        <v>908</v>
      </c>
      <c r="B119" s="2341"/>
      <c r="C119" s="2341"/>
      <c r="D119" s="2638" t="str">
        <f ca="1">NUMBERSTRING(INT(D118*10000),2)&amp;"元整"</f>
        <v>壹亿捌仟伍佰零壹万元整</v>
      </c>
      <c r="E119" s="2639"/>
      <c r="F119" s="2638" t="str">
        <f ca="1">NUMBERSTRING(INT(F118*10000),2)&amp;"元整"</f>
        <v>捌仟陆佰陆拾陆万元整</v>
      </c>
      <c r="G119" s="2639"/>
      <c r="H119" s="2638" t="str">
        <f ca="1">NUMBERSTRING(INT(H118*10000),2)&amp;"元整"</f>
        <v>贰亿柒仟壹佰陆拾柒万元整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27167</v>
      </c>
      <c r="E122" s="2641"/>
      <c r="F122" s="2641"/>
      <c r="G122" s="2641"/>
      <c r="H122" s="2641"/>
      <c r="I122" s="2642"/>
      <c r="AA122" s="245"/>
    </row>
    <row r="123" ht="18.75" customHeight="1" spans="1:27">
      <c r="A123" s="2341" t="s">
        <v>908</v>
      </c>
      <c r="B123" s="2341"/>
      <c r="C123" s="2341"/>
      <c r="D123" s="2638" t="str">
        <f ca="1">NUMBERSTRING(INT(D122*10000),2)&amp;"元整"</f>
        <v>贰亿柒仟壹佰陆拾柒万元整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24" sqref="I24"/>
    </sheetView>
  </sheetViews>
  <sheetFormatPr defaultColWidth="8.38333333333333" defaultRowHeight="12.75"/>
  <cols>
    <col min="1" max="1" width="10.38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68128</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12346</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41208</v>
      </c>
      <c r="D5" s="163" t="s">
        <v>924</v>
      </c>
      <c r="E5" s="164" t="s">
        <v>925</v>
      </c>
      <c r="F5" s="164" t="s">
        <v>822</v>
      </c>
      <c r="G5" s="165"/>
    </row>
    <row r="6" s="143" customFormat="1" ht="13.5" customHeight="1" spans="1:7">
      <c r="A6" s="166" t="s">
        <v>926</v>
      </c>
      <c r="B6" s="167" t="s">
        <v>927</v>
      </c>
      <c r="C6" s="168">
        <f>[2]基准地价修正!$E$33-[2]基准地价修正!$E$34</f>
        <v>41208</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55180.06</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55180.06</v>
      </c>
      <c r="E19" s="163">
        <f>'数据-取费表'!B31</f>
        <v>200</v>
      </c>
      <c r="F19" s="188"/>
      <c r="G19" s="2311" t="s">
        <v>956</v>
      </c>
    </row>
    <row r="20" s="143" customFormat="1" ht="13.5" customHeight="1" spans="1:7">
      <c r="A20" s="161" t="s">
        <v>957</v>
      </c>
      <c r="B20" s="162" t="s">
        <v>958</v>
      </c>
      <c r="C20" s="189">
        <f ca="1">ROUND((C5+C19)*F20,0)</f>
        <v>824</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3136</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3106</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30</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1261</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1261</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46429</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21672</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19313</v>
      </c>
      <c r="D34" s="169"/>
      <c r="E34" s="172"/>
      <c r="F34" s="218">
        <f ca="1">IF('数据-取费表'!B24=0,1,IF(B1="",'数据-取费表'!N16,INDIRECT("'数据-取费表'!n"&amp;$G$1)))</f>
        <v>1</v>
      </c>
      <c r="G34" s="171" t="s">
        <v>987</v>
      </c>
    </row>
    <row r="35" ht="13.5" customHeight="1" spans="1:7">
      <c r="A35" s="197" t="s">
        <v>928</v>
      </c>
      <c r="B35" s="167" t="s">
        <v>988</v>
      </c>
      <c r="C35" s="172">
        <f ca="1">ROUND(C34*F35,0)</f>
        <v>579</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386</v>
      </c>
      <c r="D36" s="172"/>
      <c r="E36" s="172"/>
      <c r="F36" s="219">
        <f>'数据-取费表'!B34</f>
        <v>0.02</v>
      </c>
      <c r="G36" s="220" t="s">
        <v>991</v>
      </c>
    </row>
    <row r="37" s="145" customFormat="1" ht="13.5" customHeight="1" spans="1:7">
      <c r="A37" s="197" t="s">
        <v>972</v>
      </c>
      <c r="B37" s="167" t="s">
        <v>992</v>
      </c>
      <c r="C37" s="210">
        <f ca="1">ROUND(E37*D37*F34/10000,0)</f>
        <v>1104</v>
      </c>
      <c r="D37" s="169">
        <f ca="1">D19</f>
        <v>55180.06</v>
      </c>
      <c r="E37" s="210">
        <f>'数据-取费表'!B35</f>
        <v>200</v>
      </c>
      <c r="F37" s="219"/>
      <c r="G37" s="221" t="s">
        <v>993</v>
      </c>
    </row>
    <row r="38" ht="13.5" customHeight="1" spans="1:7">
      <c r="A38" s="197" t="s">
        <v>994</v>
      </c>
      <c r="B38" s="167" t="s">
        <v>858</v>
      </c>
      <c r="C38" s="172">
        <f ca="1">ROUND(C34*F38,0)</f>
        <v>290</v>
      </c>
      <c r="D38" s="172"/>
      <c r="E38" s="172"/>
      <c r="F38" s="219">
        <f>'数据-取费表'!B36</f>
        <v>0.015</v>
      </c>
      <c r="G38" s="171" t="s">
        <v>989</v>
      </c>
    </row>
    <row r="39" s="143" customFormat="1" ht="13.5" customHeight="1" spans="1:7">
      <c r="A39" s="161" t="s">
        <v>954</v>
      </c>
      <c r="B39" s="162" t="s">
        <v>958</v>
      </c>
      <c r="C39" s="189">
        <f ca="1">ROUND(C33*F20,0)</f>
        <v>433</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818</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802</v>
      </c>
      <c r="D42" s="199"/>
      <c r="E42" s="199"/>
      <c r="F42" s="200"/>
      <c r="G42" s="223" t="s">
        <v>998</v>
      </c>
    </row>
    <row r="43" ht="13.5" customHeight="1" spans="1:7">
      <c r="A43" s="197" t="s">
        <v>928</v>
      </c>
      <c r="B43" s="167" t="s">
        <v>968</v>
      </c>
      <c r="C43" s="199">
        <f ca="1">ROUND(IF('数据-取费表'!B22&lt;=1,C39*F22*'数据-取费表'!B21/2,C39*(POWER((1+F22),'数据-取费表'!B21/2)-1)),0)</f>
        <v>16</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0.393239876868564</v>
      </c>
    </row>
    <row r="45" s="143" customFormat="1" ht="13.5" customHeight="1" spans="1:7">
      <c r="A45" s="161" t="s">
        <v>964</v>
      </c>
      <c r="B45" s="205" t="s">
        <v>975</v>
      </c>
      <c r="C45" s="206">
        <f ca="1">C46</f>
        <v>663</v>
      </c>
      <c r="D45" s="192">
        <f ca="1">C47</f>
        <v>0</v>
      </c>
      <c r="E45" s="193" t="s">
        <v>996</v>
      </c>
      <c r="F45" s="2317">
        <f ca="1">F27</f>
        <v>0.03</v>
      </c>
      <c r="G45" s="208" t="s">
        <v>999</v>
      </c>
    </row>
    <row r="46" s="143" customFormat="1" ht="13.5" customHeight="1" spans="1:7">
      <c r="A46" s="197" t="s">
        <v>926</v>
      </c>
      <c r="B46" s="209" t="s">
        <v>1000</v>
      </c>
      <c r="C46" s="210">
        <f ca="1">ROUND((C33+C39)*F27,0)</f>
        <v>663</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23586</v>
      </c>
      <c r="D49" s="189"/>
      <c r="E49" s="189"/>
      <c r="F49" s="227"/>
      <c r="G49" s="194" t="s">
        <v>1004</v>
      </c>
    </row>
    <row r="50" s="145" customFormat="1" ht="24" spans="1:7">
      <c r="A50" s="161" t="s">
        <v>1005</v>
      </c>
      <c r="B50" s="162" t="s">
        <v>1006</v>
      </c>
      <c r="C50" s="189"/>
      <c r="D50" s="189"/>
      <c r="E50" s="189"/>
      <c r="F50" s="227">
        <f>IF('数据-取费表'!B24=0,'数据-取费表'!N16,1)</f>
        <v>0.92</v>
      </c>
      <c r="G50" s="208" t="s">
        <v>1007</v>
      </c>
    </row>
    <row r="51" ht="16.5" customHeight="1" spans="1:7">
      <c r="A51" s="161" t="s">
        <v>1008</v>
      </c>
      <c r="B51" s="162" t="s">
        <v>1009</v>
      </c>
      <c r="C51" s="189">
        <f ca="1">ROUND(C49*F50,0)</f>
        <v>21699</v>
      </c>
      <c r="D51" s="189"/>
      <c r="E51" s="189"/>
      <c r="F51" s="227"/>
      <c r="G51" s="194" t="s">
        <v>1010</v>
      </c>
    </row>
    <row r="52" s="142" customFormat="1" ht="16.5" spans="1:7">
      <c r="A52" s="228" t="s">
        <v>1011</v>
      </c>
      <c r="B52" s="229"/>
      <c r="C52" s="230">
        <f ca="1">C31+C51</f>
        <v>68128</v>
      </c>
      <c r="D52" s="229"/>
      <c r="E52" s="229"/>
      <c r="F52" s="229"/>
      <c r="G52" s="231"/>
    </row>
    <row r="55" ht="15" spans="2:3">
      <c r="B55" s="232" t="s">
        <v>1012</v>
      </c>
      <c r="C55" s="233"/>
    </row>
    <row r="56" spans="2:3">
      <c r="B56" s="234" t="s">
        <v>1013</v>
      </c>
      <c r="C56" s="236">
        <f ca="1">1-C57</f>
        <v>0.681</v>
      </c>
    </row>
    <row r="57" spans="2:3">
      <c r="B57" s="234" t="s">
        <v>1014</v>
      </c>
      <c r="C57" s="235">
        <f ca="1">ROUND(C51/C52,3)</f>
        <v>0.319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8333333333333" defaultRowHeight="12.75" outlineLevelCol="7"/>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8" width="10.75" style="147" customWidth="1"/>
    <col min="9" max="254" width="9" style="147" customWidth="1"/>
    <col min="255" max="16384" width="8.38333333333333"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22943</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4158</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55180.06</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11036012</v>
      </c>
      <c r="D19" s="187">
        <f ca="1">D9+D10</f>
        <v>55180.06</v>
      </c>
      <c r="E19" s="163">
        <f>'数据-取费表'!B31</f>
        <v>200</v>
      </c>
      <c r="F19" s="188"/>
      <c r="G19" s="2311"/>
    </row>
    <row r="20" s="143" customFormat="1" ht="13.5" customHeight="1" spans="1:7">
      <c r="A20" s="161" t="s">
        <v>957</v>
      </c>
      <c r="B20" s="162" t="s">
        <v>958</v>
      </c>
      <c r="C20" s="189">
        <f ca="1">ROUND((C5+C19)*F20,0)</f>
        <v>220720</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839940</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831773</v>
      </c>
      <c r="D24" s="199"/>
      <c r="E24" s="199"/>
      <c r="F24" s="200"/>
      <c r="G24" s="201" t="s">
        <v>969</v>
      </c>
    </row>
    <row r="25" s="143" customFormat="1" ht="24" spans="1:7">
      <c r="A25" s="197" t="s">
        <v>930</v>
      </c>
      <c r="B25" s="167" t="s">
        <v>970</v>
      </c>
      <c r="C25" s="2313">
        <f ca="1">ROUND(IF('数据-取费表'!B22&lt;=1,C20*F22*'数据-取费表'!B22/2,C20*(POWER((1+F22),'数据-取费表'!B22/2)-1)),0)</f>
        <v>8167</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337702</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337702</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12434374</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216719685</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193130210</v>
      </c>
      <c r="D34" s="169"/>
      <c r="E34" s="172"/>
      <c r="F34" s="218"/>
      <c r="G34" s="171"/>
    </row>
    <row r="35" ht="13.5" customHeight="1" spans="1:7">
      <c r="A35" s="197" t="s">
        <v>928</v>
      </c>
      <c r="B35" s="167" t="s">
        <v>988</v>
      </c>
      <c r="C35" s="172">
        <f ca="1">ROUND(C34*F35,0)</f>
        <v>5793906</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3862604</v>
      </c>
      <c r="D36" s="172"/>
      <c r="E36" s="172"/>
      <c r="F36" s="219">
        <f>'数据-取费表'!B34</f>
        <v>0.02</v>
      </c>
      <c r="G36" s="220" t="s">
        <v>991</v>
      </c>
    </row>
    <row r="37" s="145" customFormat="1" ht="13.5" customHeight="1" spans="1:7">
      <c r="A37" s="197" t="s">
        <v>972</v>
      </c>
      <c r="B37" s="167" t="s">
        <v>992</v>
      </c>
      <c r="C37" s="210">
        <f ca="1">ROUND(E37*D37,0)</f>
        <v>11036012</v>
      </c>
      <c r="D37" s="169">
        <f ca="1">D19</f>
        <v>55180.06</v>
      </c>
      <c r="E37" s="210">
        <f>'数据-取费表'!B35</f>
        <v>200</v>
      </c>
      <c r="F37" s="219"/>
      <c r="G37" s="221"/>
    </row>
    <row r="38" ht="13.5" customHeight="1" spans="1:7">
      <c r="A38" s="197" t="s">
        <v>994</v>
      </c>
      <c r="B38" s="167" t="s">
        <v>858</v>
      </c>
      <c r="C38" s="172">
        <f ca="1">ROUND(C34*F38,0)</f>
        <v>2896953</v>
      </c>
      <c r="D38" s="172"/>
      <c r="E38" s="172"/>
      <c r="F38" s="219">
        <f>'数据-取费表'!B36</f>
        <v>0.015</v>
      </c>
      <c r="G38" s="171" t="s">
        <v>989</v>
      </c>
    </row>
    <row r="39" s="143" customFormat="1" ht="13.5" customHeight="1" spans="1:7">
      <c r="A39" s="161" t="s">
        <v>954</v>
      </c>
      <c r="B39" s="162" t="s">
        <v>958</v>
      </c>
      <c r="C39" s="189">
        <f ca="1">ROUND(C33*F20,0)</f>
        <v>4334394</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8179001</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8018628</v>
      </c>
      <c r="D42" s="199"/>
      <c r="E42" s="199"/>
      <c r="F42" s="200"/>
      <c r="G42" s="223" t="s">
        <v>1018</v>
      </c>
    </row>
    <row r="43" ht="13.5" customHeight="1" spans="1:7">
      <c r="A43" s="197" t="s">
        <v>928</v>
      </c>
      <c r="B43" s="167" t="s">
        <v>968</v>
      </c>
      <c r="C43" s="199">
        <f ca="1">ROUND(IF('数据-取费表'!B22&lt;=1,C39*F22*'数据-取费表'!B20/2,C39*(POWER((1+F22),'数据-取费表'!B20/2)-1)),0)</f>
        <v>160373</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6631622</v>
      </c>
      <c r="D45" s="192">
        <f ca="1">C47</f>
        <v>0</v>
      </c>
      <c r="E45" s="193" t="s">
        <v>996</v>
      </c>
      <c r="F45" s="2317">
        <f ca="1">F27</f>
        <v>0.03</v>
      </c>
      <c r="G45" s="208" t="s">
        <v>999</v>
      </c>
    </row>
    <row r="46" s="143" customFormat="1" ht="13.5" customHeight="1" spans="1:7">
      <c r="A46" s="197" t="s">
        <v>926</v>
      </c>
      <c r="B46" s="209" t="s">
        <v>1000</v>
      </c>
      <c r="C46" s="210">
        <f ca="1">ROUND((C33+C39)*F27,0)</f>
        <v>6631622</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235864702</v>
      </c>
      <c r="D49" s="189"/>
      <c r="E49" s="189"/>
      <c r="F49" s="227"/>
      <c r="G49" s="194" t="s">
        <v>1004</v>
      </c>
    </row>
    <row r="50" s="145" customFormat="1" spans="1:7">
      <c r="A50" s="161" t="s">
        <v>1005</v>
      </c>
      <c r="B50" s="162" t="s">
        <v>1006</v>
      </c>
      <c r="C50" s="189"/>
      <c r="D50" s="189"/>
      <c r="E50" s="189"/>
      <c r="F50" s="227">
        <f>IF('数据-取费表'!B24=0,'数据-取费表'!N16,1)</f>
        <v>0.92</v>
      </c>
      <c r="G50" s="208"/>
    </row>
    <row r="51" ht="16.5" customHeight="1" spans="1:7">
      <c r="A51" s="161" t="s">
        <v>1008</v>
      </c>
      <c r="B51" s="162" t="s">
        <v>1020</v>
      </c>
      <c r="C51" s="189">
        <f ca="1">ROUND(C49*F50,0)</f>
        <v>216995526</v>
      </c>
      <c r="D51" s="189"/>
      <c r="E51" s="189"/>
      <c r="F51" s="227"/>
      <c r="G51" s="194" t="s">
        <v>1010</v>
      </c>
    </row>
    <row r="52" s="142" customFormat="1" ht="16.5" spans="1:7">
      <c r="A52" s="228" t="s">
        <v>1011</v>
      </c>
      <c r="B52" s="229"/>
      <c r="C52" s="230">
        <f ca="1">C31+C51</f>
        <v>229429900</v>
      </c>
      <c r="D52" s="229"/>
      <c r="E52" s="229"/>
      <c r="F52" s="229"/>
      <c r="G52" s="231"/>
    </row>
    <row r="55" ht="15" spans="2:3">
      <c r="B55" s="232" t="s">
        <v>1012</v>
      </c>
      <c r="C55" s="233"/>
    </row>
    <row r="56" spans="2:3">
      <c r="B56" s="234" t="s">
        <v>1013</v>
      </c>
      <c r="C56" s="236">
        <f ca="1">1-C57</f>
        <v>0.054</v>
      </c>
    </row>
    <row r="57" spans="2:3">
      <c r="B57" s="234" t="s">
        <v>1014</v>
      </c>
      <c r="C57" s="235">
        <f ca="1">ROUND(C51/C52,3)</f>
        <v>0.946</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3333333333333" defaultRowHeight="12.75"/>
  <cols>
    <col min="1" max="1" width="9.75" style="344" customWidth="1"/>
    <col min="2" max="2" width="25.75" style="2217" customWidth="1"/>
    <col min="3" max="3" width="10.3833333333333" style="2218" customWidth="1"/>
    <col min="4" max="4" width="9.88333333333333" style="2217" customWidth="1"/>
    <col min="5" max="5" width="9.5" style="344" customWidth="1"/>
    <col min="6" max="6" width="10.1333333333333"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3333333333333"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55180.06</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55180.06</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55180.06</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5.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22616</v>
      </c>
      <c r="C2" s="1920" t="s">
        <v>1080</v>
      </c>
      <c r="D2" s="1920"/>
      <c r="E2" s="1922"/>
      <c r="F2" s="1923"/>
      <c r="G2" s="1924"/>
      <c r="H2" s="1925"/>
      <c r="I2" s="1925"/>
      <c r="J2" s="1925"/>
      <c r="K2" s="2086"/>
      <c r="L2" s="1925"/>
      <c r="M2" s="1925"/>
    </row>
    <row r="3" ht="18" customHeight="1" spans="1:13">
      <c r="A3" s="1926" t="s">
        <v>1081</v>
      </c>
      <c r="B3" s="1927">
        <f ca="1">IF(ISERROR(B2*10000/F43),0,ROUND(B2*10000/F43,0))</f>
        <v>4099</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1064</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1063</v>
      </c>
      <c r="D6" s="1942" t="s">
        <v>1092</v>
      </c>
      <c r="E6" s="1943" t="s">
        <v>1093</v>
      </c>
      <c r="F6" s="1944">
        <f ca="1">INDIRECT("'数据-取费表'!u"&amp;$G$1)</f>
        <v>16.9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55180.06</v>
      </c>
      <c r="G7" s="815"/>
      <c r="H7" s="1950"/>
      <c r="I7" s="1946"/>
      <c r="J7" s="1951"/>
      <c r="K7" s="1948"/>
      <c r="L7" s="1943" t="s">
        <v>1095</v>
      </c>
      <c r="M7" s="1944">
        <f ca="1">F7</f>
        <v>55180.06</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0.05</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1</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21699</v>
      </c>
      <c r="D13" s="1972" t="s">
        <v>1107</v>
      </c>
      <c r="E13" s="1972" t="s">
        <v>1108</v>
      </c>
      <c r="F13" s="1973">
        <f ca="1">INDIRECT("'数据-取费表'!y"&amp;$G$1)</f>
        <v>0.92</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19313</v>
      </c>
      <c r="D14" s="1976" t="s">
        <v>1110</v>
      </c>
      <c r="E14" s="1977"/>
      <c r="F14" s="1978"/>
      <c r="G14" s="815"/>
      <c r="H14" s="1974" t="s">
        <v>827</v>
      </c>
      <c r="I14" s="1943" t="s">
        <v>1111</v>
      </c>
      <c r="J14" s="301">
        <f ca="1">C29</f>
        <v>23586</v>
      </c>
      <c r="K14" s="2098"/>
      <c r="L14" s="2099"/>
      <c r="M14" s="2100"/>
    </row>
    <row r="15" s="1910" customFormat="1" ht="18" customHeight="1" spans="1:37">
      <c r="A15" s="1974" t="s">
        <v>854</v>
      </c>
      <c r="B15" s="1943" t="s">
        <v>1038</v>
      </c>
      <c r="C15" s="301">
        <f ca="1">ROUND(C14*F15,0)</f>
        <v>579</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386</v>
      </c>
      <c r="D16" s="1943" t="s">
        <v>1112</v>
      </c>
      <c r="E16" s="1943" t="s">
        <v>1113</v>
      </c>
      <c r="F16" s="1983">
        <f ca="1">IF(INDIRECT("'数据-取费表'!c"&amp;$G$1)="住宅",'数据-取费表'!B34,0)</f>
        <v>0.02</v>
      </c>
      <c r="G16" s="815"/>
      <c r="H16" s="1969" t="s">
        <v>1114</v>
      </c>
      <c r="I16" s="1970" t="s">
        <v>1115</v>
      </c>
      <c r="J16" s="1971">
        <f ca="1">ROUND(J17+J22+J23+J24,0)</f>
        <v>236</v>
      </c>
      <c r="K16" s="1995" t="s">
        <v>1116</v>
      </c>
      <c r="L16" s="1996"/>
      <c r="M16" s="1938"/>
    </row>
    <row r="17" s="1910" customFormat="1" ht="18" customHeight="1" spans="1:37">
      <c r="A17" s="1974" t="s">
        <v>1117</v>
      </c>
      <c r="B17" s="1943" t="s">
        <v>1118</v>
      </c>
      <c r="C17" s="301">
        <f ca="1">ROUND(F17*(F43+INDIRECT("'数据-取费表'!S"&amp;$G$1))/10000,0)</f>
        <v>1104</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290</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21672</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433</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235.9</v>
      </c>
      <c r="K22" s="1999" t="s">
        <v>1142</v>
      </c>
      <c r="L22" s="1943" t="s">
        <v>1113</v>
      </c>
      <c r="M22" s="2011">
        <f ca="1">INDIRECT("'数据-取费表'!Ak"&amp;$G$1)</f>
        <v>0.01</v>
      </c>
    </row>
    <row r="23" s="1910" customFormat="1" ht="18" customHeight="1" spans="1:37">
      <c r="A23" s="1974" t="s">
        <v>850</v>
      </c>
      <c r="B23" s="1943" t="s">
        <v>1143</v>
      </c>
      <c r="C23" s="301">
        <f ca="1">IF('数据-取费表'!B22&lt;=1,ROUND(C19*F24*F23/2,0)+ROUND(C20*F24*F23/2,0),ROUND(C19*(POWER((1+F24),F23/2)-1),0)+ROUND(C20*(POWER((1+F24),F23/2)-1),0))</f>
        <v>818</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-236</v>
      </c>
      <c r="K25" s="2014" t="s">
        <v>1154</v>
      </c>
      <c r="L25" s="2015"/>
      <c r="M25" s="2016"/>
    </row>
    <row r="26" spans="1:13">
      <c r="A26" s="1974" t="s">
        <v>850</v>
      </c>
      <c r="B26" s="1943" t="s">
        <v>1155</v>
      </c>
      <c r="C26" s="301">
        <f ca="1">ROUND((C19+C20)*F26,0)</f>
        <v>663</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23586</v>
      </c>
      <c r="D29" s="1992"/>
      <c r="E29" s="1967"/>
      <c r="F29" s="1993"/>
      <c r="G29" s="1981"/>
      <c r="H29" s="1994" t="s">
        <v>1170</v>
      </c>
      <c r="I29" s="2024" t="s">
        <v>1171</v>
      </c>
      <c r="J29" s="2025">
        <f ca="1">ROUND(J26/(1+F40)^F41,0)</f>
        <v>0</v>
      </c>
      <c r="K29" s="2026" t="s">
        <v>1172</v>
      </c>
      <c r="L29" s="2027"/>
      <c r="M29" s="2028">
        <f ca="1">INDIRECT("'数据-取费表'!k"&amp;$G$1)</f>
        <v>55180.06</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284</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4.28898893307957</v>
      </c>
      <c r="I35" s="2105"/>
      <c r="J35" s="2106"/>
      <c r="K35" s="2110"/>
      <c r="L35" s="2003"/>
      <c r="M35" s="2003"/>
    </row>
    <row r="36" ht="18" customHeight="1" spans="1:13">
      <c r="A36" s="2010" t="s">
        <v>831</v>
      </c>
      <c r="B36" s="1943" t="s">
        <v>1141</v>
      </c>
      <c r="C36" s="301">
        <f ca="1">ROUND(C29*F36,1)</f>
        <v>235.9</v>
      </c>
      <c r="D36" s="1999" t="s">
        <v>1175</v>
      </c>
      <c r="E36" s="1943" t="s">
        <v>1113</v>
      </c>
      <c r="F36" s="2011">
        <f ca="1">INDIRECT("'数据-取费表'!Ak"&amp;$G$1)</f>
        <v>0.01</v>
      </c>
      <c r="G36" s="815"/>
      <c r="H36" s="2003"/>
      <c r="I36" s="2105"/>
      <c r="J36" s="2106"/>
      <c r="K36" s="2113"/>
      <c r="L36" s="2003"/>
      <c r="M36" s="2003"/>
    </row>
    <row r="37" ht="18" customHeight="1" spans="1:13">
      <c r="A37" s="1974" t="s">
        <v>876</v>
      </c>
      <c r="B37" s="1943" t="s">
        <v>1145</v>
      </c>
      <c r="C37" s="301">
        <f ca="1">ROUND(C13*F37,1)</f>
        <v>32.5</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16</v>
      </c>
      <c r="D38" s="1992" t="s">
        <v>1149</v>
      </c>
      <c r="E38" s="1967" t="s">
        <v>1113</v>
      </c>
      <c r="F38" s="1968">
        <f ca="1">INDIRECT("'数据-取费表'!Am"&amp;$G$1)</f>
        <v>0.015</v>
      </c>
      <c r="G38" s="815"/>
      <c r="H38" s="2003"/>
      <c r="I38" s="2105"/>
      <c r="J38" s="2106"/>
      <c r="K38" s="2114"/>
      <c r="L38" s="2003"/>
      <c r="M38" s="2003"/>
    </row>
    <row r="39" ht="24.6" customHeight="1" spans="1:13">
      <c r="A39" s="1969" t="s">
        <v>1152</v>
      </c>
      <c r="B39" s="2013" t="s">
        <v>1153</v>
      </c>
      <c r="C39" s="1971">
        <f ca="1">C5-C30</f>
        <v>780</v>
      </c>
      <c r="D39" s="2014" t="s">
        <v>1154</v>
      </c>
      <c r="E39" s="2015"/>
      <c r="F39" s="2016"/>
      <c r="G39" s="815"/>
      <c r="H39" s="2003">
        <f ca="1">C39/F7</f>
        <v>0.0141355409907129</v>
      </c>
      <c r="I39" s="2105"/>
      <c r="J39" s="2106"/>
      <c r="K39" s="2114"/>
      <c r="L39" s="2003"/>
      <c r="M39" s="2003"/>
    </row>
    <row r="40" ht="18" customHeight="1" spans="1:13">
      <c r="A40" s="1933" t="s">
        <v>1158</v>
      </c>
      <c r="B40" s="1934" t="s">
        <v>1176</v>
      </c>
      <c r="C40" s="2017">
        <f ca="1">ROUND(C39*(1-((1+F42)/(1+F40))^F41)/(F40-F42),0)</f>
        <v>22616</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4099</v>
      </c>
      <c r="D43" s="2026" t="s">
        <v>1178</v>
      </c>
      <c r="E43" s="2027" t="s">
        <v>1179</v>
      </c>
      <c r="F43" s="2028">
        <f ca="1">INDIRECT("'数据-取费表'!k"&amp;$G$1)</f>
        <v>55180.06</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22616</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23586</v>
      </c>
      <c r="R49" s="2169" t="s">
        <v>1191</v>
      </c>
    </row>
    <row r="50" s="815" customFormat="1" ht="13.5" spans="1:18">
      <c r="A50" s="2052"/>
      <c r="B50" s="2053"/>
      <c r="C50" s="2200"/>
      <c r="D50" s="2055"/>
      <c r="E50" s="2056" t="s">
        <v>1095</v>
      </c>
      <c r="F50" s="2057">
        <f ca="1">F7</f>
        <v>55180.06</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-11416</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22616</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21699</v>
      </c>
      <c r="D56" s="2067"/>
      <c r="E56" s="2068"/>
      <c r="F56" s="2064"/>
      <c r="I56" s="2156" t="s">
        <v>1227</v>
      </c>
      <c r="J56" s="2157" t="s">
        <v>1228</v>
      </c>
      <c r="K56" s="877" t="s">
        <v>1229</v>
      </c>
      <c r="L56" s="2132">
        <f ca="1">IF(L48&lt;J51,"——",L48-J53)</f>
        <v>0</v>
      </c>
      <c r="O56" s="2128" t="s">
        <v>933</v>
      </c>
      <c r="P56" s="2129" t="s">
        <v>1190</v>
      </c>
      <c r="Q56" s="2169">
        <f ca="1">C40+J29</f>
        <v>22616</v>
      </c>
      <c r="R56" s="2169" t="s">
        <v>1191</v>
      </c>
    </row>
    <row r="57" s="815" customFormat="1" ht="24.75" spans="1:18">
      <c r="A57" s="2069"/>
      <c r="B57" s="2070" t="s">
        <v>1169</v>
      </c>
      <c r="C57" s="199">
        <f ca="1">C29</f>
        <v>23586</v>
      </c>
      <c r="D57" s="2071"/>
      <c r="E57" s="2072"/>
      <c r="F57" s="2073"/>
      <c r="I57" s="2158" t="s">
        <v>1230</v>
      </c>
      <c r="J57" s="2159" t="str">
        <f ca="1">IF(OR(M47="住宅",J51&lt;L48,J56="是"),"——",J51-L48)</f>
        <v>——</v>
      </c>
      <c r="K57" s="877" t="s">
        <v>1231</v>
      </c>
      <c r="L57" s="2132">
        <f ca="1">IF(L48&lt;J51,"——",IF(L55="比较法",L49,IF(L55="基准地价",L50,L51)))</f>
        <v>-11416</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22616</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235.9</v>
      </c>
      <c r="D64" s="2078" t="s">
        <v>1175</v>
      </c>
      <c r="E64" s="2070" t="s">
        <v>1113</v>
      </c>
      <c r="F64" s="2011">
        <f ca="1" t="shared" si="0"/>
        <v>0.01</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32.5</v>
      </c>
      <c r="D65" s="2078" t="s">
        <v>1146</v>
      </c>
      <c r="E65" s="2070" t="s">
        <v>1113</v>
      </c>
      <c r="F65" s="2012">
        <f ca="1" t="shared" si="0"/>
        <v>0.0015</v>
      </c>
      <c r="I65" s="2164" t="s">
        <v>1253</v>
      </c>
      <c r="J65" s="2165">
        <v>40</v>
      </c>
      <c r="K65" s="2165">
        <v>30</v>
      </c>
      <c r="L65" s="2165">
        <v>50</v>
      </c>
      <c r="M65" s="2167">
        <v>0.02</v>
      </c>
      <c r="O65" s="2128" t="s">
        <v>933</v>
      </c>
      <c r="P65" s="2129" t="s">
        <v>1190</v>
      </c>
      <c r="Q65" s="2169">
        <f ca="1">C40+J29</f>
        <v>22616</v>
      </c>
      <c r="R65" s="2169" t="s">
        <v>1191</v>
      </c>
    </row>
    <row r="66" s="815" customFormat="1" ht="17.25" spans="1:18">
      <c r="A66" s="1974" t="s">
        <v>879</v>
      </c>
      <c r="B66" s="2070" t="s">
        <v>1131</v>
      </c>
      <c r="C66" s="301">
        <f ca="1">ROUND(C48*F66,1)</f>
        <v>0</v>
      </c>
      <c r="D66" s="2078" t="s">
        <v>1149</v>
      </c>
      <c r="E66" s="2070" t="s">
        <v>1113</v>
      </c>
      <c r="F66" s="1953">
        <f ca="1" t="shared" si="0"/>
        <v>0.015</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-11416</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-522</v>
      </c>
      <c r="R68" s="2169" t="s">
        <v>1256</v>
      </c>
    </row>
    <row r="69" s="815" customFormat="1" ht="13.5" spans="1:18">
      <c r="A69" s="2176"/>
      <c r="B69" s="2177"/>
      <c r="C69" s="1951"/>
      <c r="D69" s="2178" t="s">
        <v>1164</v>
      </c>
      <c r="E69" s="2070" t="s">
        <v>1165</v>
      </c>
      <c r="F69" s="2021">
        <f ca="1">F41</f>
        <v>70</v>
      </c>
      <c r="O69" s="2135" t="s">
        <v>1257</v>
      </c>
      <c r="P69" s="2192" t="s">
        <v>1258</v>
      </c>
      <c r="Q69" s="2169">
        <f ca="1">C39</f>
        <v>780</v>
      </c>
      <c r="R69" s="2169" t="s">
        <v>1191</v>
      </c>
    </row>
    <row r="70" s="815" customFormat="1" ht="13.5" spans="1:18">
      <c r="A70" s="2179"/>
      <c r="B70" s="2180"/>
      <c r="C70" s="1971"/>
      <c r="D70" s="2082"/>
      <c r="E70" s="2070" t="s">
        <v>1168</v>
      </c>
      <c r="F70" s="2060"/>
      <c r="O70" s="2135" t="s">
        <v>1259</v>
      </c>
      <c r="P70" s="2192" t="s">
        <v>1260</v>
      </c>
      <c r="Q70" s="2169">
        <f ca="1">C13</f>
        <v>21699</v>
      </c>
      <c r="R70" s="2169" t="s">
        <v>1191</v>
      </c>
    </row>
    <row r="71" s="815" customFormat="1" ht="13.5" spans="1:18">
      <c r="A71" s="2181" t="s">
        <v>1170</v>
      </c>
      <c r="B71" s="2182" t="s">
        <v>1177</v>
      </c>
      <c r="C71" s="2025" t="e">
        <f ca="1">ROUND(C68*10000/F71,0)</f>
        <v>#VALUE!</v>
      </c>
      <c r="D71" s="2183" t="s">
        <v>1178</v>
      </c>
      <c r="E71" s="2184" t="s">
        <v>1179</v>
      </c>
      <c r="F71" s="2028">
        <f ca="1">F43</f>
        <v>55180.06</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1302</v>
      </c>
      <c r="D75" s="815"/>
      <c r="E75" s="815"/>
      <c r="F75" s="815"/>
      <c r="K75" s="2115"/>
      <c r="L75" s="815"/>
      <c r="O75" s="2128" t="s">
        <v>1040</v>
      </c>
      <c r="P75" s="2129" t="s">
        <v>1221</v>
      </c>
      <c r="Q75" s="2169">
        <f ca="1">Q65+Q66</f>
        <v>22616</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-0.669</v>
      </c>
    </row>
    <row r="80" spans="2:3">
      <c r="B80" s="2186" t="s">
        <v>1270</v>
      </c>
      <c r="C80" s="235">
        <f ca="1">ROUND(C75/C39,3)</f>
        <v>1.669</v>
      </c>
    </row>
    <row r="81" spans="2:3">
      <c r="B81" s="232" t="s">
        <v>1271</v>
      </c>
      <c r="C81" s="199"/>
    </row>
    <row r="82" spans="2:3">
      <c r="B82" s="234" t="s">
        <v>1013</v>
      </c>
      <c r="C82" s="236">
        <f ca="1">1-C83</f>
        <v>0.041</v>
      </c>
    </row>
    <row r="83" spans="2:3">
      <c r="B83" s="234" t="s">
        <v>1014</v>
      </c>
      <c r="C83" s="235">
        <f ca="1">ROUND(C13/C40,3)</f>
        <v>0.959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0.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8333333333333" style="1722"/>
    <col min="3" max="5" width="12.8833333333333" style="1722" customWidth="1"/>
    <col min="6" max="6" width="47.5" style="1722" customWidth="1"/>
    <col min="7" max="7" width="13" style="1723" customWidth="1"/>
    <col min="8" max="8" width="8.88333333333333" style="1724"/>
    <col min="9" max="9" width="8.8833333333333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333333333333" style="1726" customWidth="1"/>
    <col min="19" max="19" width="10" style="1726" customWidth="1"/>
    <col min="20" max="20" width="26.1333333333333" style="1726" customWidth="1"/>
    <col min="21" max="21" width="8.88333333333333" style="1726"/>
    <col min="22" max="22" width="8.88333333333333" style="1725"/>
    <col min="23" max="256" width="8.88333333333333" style="1722"/>
    <col min="257" max="257" width="9.5" style="1722" customWidth="1"/>
    <col min="258" max="258" width="8.88333333333333" style="1722"/>
    <col min="259" max="261" width="12.8833333333333" style="1722" customWidth="1"/>
    <col min="262" max="262" width="47.5" style="1722" customWidth="1"/>
    <col min="263" max="263" width="13" style="1722" customWidth="1"/>
    <col min="264" max="265" width="8.8833333333333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333333333333" style="1722" customWidth="1"/>
    <col min="275" max="275" width="10" style="1722" customWidth="1"/>
    <col min="276" max="276" width="26.1333333333333" style="1722" customWidth="1"/>
    <col min="277" max="512" width="8.88333333333333" style="1722"/>
    <col min="513" max="513" width="9.5" style="1722" customWidth="1"/>
    <col min="514" max="514" width="8.88333333333333" style="1722"/>
    <col min="515" max="517" width="12.8833333333333" style="1722" customWidth="1"/>
    <col min="518" max="518" width="47.5" style="1722" customWidth="1"/>
    <col min="519" max="519" width="13" style="1722" customWidth="1"/>
    <col min="520" max="521" width="8.8833333333333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333333333333" style="1722" customWidth="1"/>
    <col min="531" max="531" width="10" style="1722" customWidth="1"/>
    <col min="532" max="532" width="26.1333333333333" style="1722" customWidth="1"/>
    <col min="533" max="768" width="8.88333333333333" style="1722"/>
    <col min="769" max="769" width="9.5" style="1722" customWidth="1"/>
    <col min="770" max="770" width="8.88333333333333" style="1722"/>
    <col min="771" max="773" width="12.8833333333333" style="1722" customWidth="1"/>
    <col min="774" max="774" width="47.5" style="1722" customWidth="1"/>
    <col min="775" max="775" width="13" style="1722" customWidth="1"/>
    <col min="776" max="777" width="8.8833333333333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333333333333" style="1722" customWidth="1"/>
    <col min="787" max="787" width="10" style="1722" customWidth="1"/>
    <col min="788" max="788" width="26.1333333333333" style="1722" customWidth="1"/>
    <col min="789" max="1024" width="8.88333333333333" style="1722"/>
    <col min="1025" max="1025" width="9.5" style="1722" customWidth="1"/>
    <col min="1026" max="1026" width="8.88333333333333" style="1722"/>
    <col min="1027" max="1029" width="12.8833333333333" style="1722" customWidth="1"/>
    <col min="1030" max="1030" width="47.5" style="1722" customWidth="1"/>
    <col min="1031" max="1031" width="13" style="1722" customWidth="1"/>
    <col min="1032" max="1033" width="8.8833333333333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333333333333" style="1722" customWidth="1"/>
    <col min="1043" max="1043" width="10" style="1722" customWidth="1"/>
    <col min="1044" max="1044" width="26.1333333333333" style="1722" customWidth="1"/>
    <col min="1045" max="1280" width="8.88333333333333" style="1722"/>
    <col min="1281" max="1281" width="9.5" style="1722" customWidth="1"/>
    <col min="1282" max="1282" width="8.88333333333333" style="1722"/>
    <col min="1283" max="1285" width="12.8833333333333" style="1722" customWidth="1"/>
    <col min="1286" max="1286" width="47.5" style="1722" customWidth="1"/>
    <col min="1287" max="1287" width="13" style="1722" customWidth="1"/>
    <col min="1288" max="1289" width="8.8833333333333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333333333333" style="1722" customWidth="1"/>
    <col min="1299" max="1299" width="10" style="1722" customWidth="1"/>
    <col min="1300" max="1300" width="26.1333333333333" style="1722" customWidth="1"/>
    <col min="1301" max="1536" width="8.88333333333333" style="1722"/>
    <col min="1537" max="1537" width="9.5" style="1722" customWidth="1"/>
    <col min="1538" max="1538" width="8.88333333333333" style="1722"/>
    <col min="1539" max="1541" width="12.8833333333333" style="1722" customWidth="1"/>
    <col min="1542" max="1542" width="47.5" style="1722" customWidth="1"/>
    <col min="1543" max="1543" width="13" style="1722" customWidth="1"/>
    <col min="1544" max="1545" width="8.8833333333333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333333333333" style="1722" customWidth="1"/>
    <col min="1555" max="1555" width="10" style="1722" customWidth="1"/>
    <col min="1556" max="1556" width="26.1333333333333" style="1722" customWidth="1"/>
    <col min="1557" max="1792" width="8.88333333333333" style="1722"/>
    <col min="1793" max="1793" width="9.5" style="1722" customWidth="1"/>
    <col min="1794" max="1794" width="8.88333333333333" style="1722"/>
    <col min="1795" max="1797" width="12.8833333333333" style="1722" customWidth="1"/>
    <col min="1798" max="1798" width="47.5" style="1722" customWidth="1"/>
    <col min="1799" max="1799" width="13" style="1722" customWidth="1"/>
    <col min="1800" max="1801" width="8.8833333333333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333333333333" style="1722" customWidth="1"/>
    <col min="1811" max="1811" width="10" style="1722" customWidth="1"/>
    <col min="1812" max="1812" width="26.1333333333333" style="1722" customWidth="1"/>
    <col min="1813" max="2048" width="8.88333333333333" style="1722"/>
    <col min="2049" max="2049" width="9.5" style="1722" customWidth="1"/>
    <col min="2050" max="2050" width="8.88333333333333" style="1722"/>
    <col min="2051" max="2053" width="12.8833333333333" style="1722" customWidth="1"/>
    <col min="2054" max="2054" width="47.5" style="1722" customWidth="1"/>
    <col min="2055" max="2055" width="13" style="1722" customWidth="1"/>
    <col min="2056" max="2057" width="8.8833333333333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333333333333" style="1722" customWidth="1"/>
    <col min="2067" max="2067" width="10" style="1722" customWidth="1"/>
    <col min="2068" max="2068" width="26.1333333333333" style="1722" customWidth="1"/>
    <col min="2069" max="2304" width="8.88333333333333" style="1722"/>
    <col min="2305" max="2305" width="9.5" style="1722" customWidth="1"/>
    <col min="2306" max="2306" width="8.88333333333333" style="1722"/>
    <col min="2307" max="2309" width="12.8833333333333" style="1722" customWidth="1"/>
    <col min="2310" max="2310" width="47.5" style="1722" customWidth="1"/>
    <col min="2311" max="2311" width="13" style="1722" customWidth="1"/>
    <col min="2312" max="2313" width="8.8833333333333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333333333333" style="1722" customWidth="1"/>
    <col min="2323" max="2323" width="10" style="1722" customWidth="1"/>
    <col min="2324" max="2324" width="26.1333333333333" style="1722" customWidth="1"/>
    <col min="2325" max="2560" width="8.88333333333333" style="1722"/>
    <col min="2561" max="2561" width="9.5" style="1722" customWidth="1"/>
    <col min="2562" max="2562" width="8.88333333333333" style="1722"/>
    <col min="2563" max="2565" width="12.8833333333333" style="1722" customWidth="1"/>
    <col min="2566" max="2566" width="47.5" style="1722" customWidth="1"/>
    <col min="2567" max="2567" width="13" style="1722" customWidth="1"/>
    <col min="2568" max="2569" width="8.8833333333333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333333333333" style="1722" customWidth="1"/>
    <col min="2579" max="2579" width="10" style="1722" customWidth="1"/>
    <col min="2580" max="2580" width="26.1333333333333" style="1722" customWidth="1"/>
    <col min="2581" max="2816" width="8.88333333333333" style="1722"/>
    <col min="2817" max="2817" width="9.5" style="1722" customWidth="1"/>
    <col min="2818" max="2818" width="8.88333333333333" style="1722"/>
    <col min="2819" max="2821" width="12.8833333333333" style="1722" customWidth="1"/>
    <col min="2822" max="2822" width="47.5" style="1722" customWidth="1"/>
    <col min="2823" max="2823" width="13" style="1722" customWidth="1"/>
    <col min="2824" max="2825" width="8.8833333333333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333333333333" style="1722" customWidth="1"/>
    <col min="2835" max="2835" width="10" style="1722" customWidth="1"/>
    <col min="2836" max="2836" width="26.1333333333333" style="1722" customWidth="1"/>
    <col min="2837" max="3072" width="8.88333333333333" style="1722"/>
    <col min="3073" max="3073" width="9.5" style="1722" customWidth="1"/>
    <col min="3074" max="3074" width="8.88333333333333" style="1722"/>
    <col min="3075" max="3077" width="12.8833333333333" style="1722" customWidth="1"/>
    <col min="3078" max="3078" width="47.5" style="1722" customWidth="1"/>
    <col min="3079" max="3079" width="13" style="1722" customWidth="1"/>
    <col min="3080" max="3081" width="8.8833333333333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333333333333" style="1722" customWidth="1"/>
    <col min="3091" max="3091" width="10" style="1722" customWidth="1"/>
    <col min="3092" max="3092" width="26.1333333333333" style="1722" customWidth="1"/>
    <col min="3093" max="3328" width="8.88333333333333" style="1722"/>
    <col min="3329" max="3329" width="9.5" style="1722" customWidth="1"/>
    <col min="3330" max="3330" width="8.88333333333333" style="1722"/>
    <col min="3331" max="3333" width="12.8833333333333" style="1722" customWidth="1"/>
    <col min="3334" max="3334" width="47.5" style="1722" customWidth="1"/>
    <col min="3335" max="3335" width="13" style="1722" customWidth="1"/>
    <col min="3336" max="3337" width="8.8833333333333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333333333333" style="1722" customWidth="1"/>
    <col min="3347" max="3347" width="10" style="1722" customWidth="1"/>
    <col min="3348" max="3348" width="26.1333333333333" style="1722" customWidth="1"/>
    <col min="3349" max="3584" width="8.88333333333333" style="1722"/>
    <col min="3585" max="3585" width="9.5" style="1722" customWidth="1"/>
    <col min="3586" max="3586" width="8.88333333333333" style="1722"/>
    <col min="3587" max="3589" width="12.8833333333333" style="1722" customWidth="1"/>
    <col min="3590" max="3590" width="47.5" style="1722" customWidth="1"/>
    <col min="3591" max="3591" width="13" style="1722" customWidth="1"/>
    <col min="3592" max="3593" width="8.8833333333333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333333333333" style="1722" customWidth="1"/>
    <col min="3603" max="3603" width="10" style="1722" customWidth="1"/>
    <col min="3604" max="3604" width="26.1333333333333" style="1722" customWidth="1"/>
    <col min="3605" max="3840" width="8.88333333333333" style="1722"/>
    <col min="3841" max="3841" width="9.5" style="1722" customWidth="1"/>
    <col min="3842" max="3842" width="8.88333333333333" style="1722"/>
    <col min="3843" max="3845" width="12.8833333333333" style="1722" customWidth="1"/>
    <col min="3846" max="3846" width="47.5" style="1722" customWidth="1"/>
    <col min="3847" max="3847" width="13" style="1722" customWidth="1"/>
    <col min="3848" max="3849" width="8.8833333333333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333333333333" style="1722" customWidth="1"/>
    <col min="3859" max="3859" width="10" style="1722" customWidth="1"/>
    <col min="3860" max="3860" width="26.1333333333333" style="1722" customWidth="1"/>
    <col min="3861" max="4096" width="8.88333333333333" style="1722"/>
    <col min="4097" max="4097" width="9.5" style="1722" customWidth="1"/>
    <col min="4098" max="4098" width="8.88333333333333" style="1722"/>
    <col min="4099" max="4101" width="12.8833333333333" style="1722" customWidth="1"/>
    <col min="4102" max="4102" width="47.5" style="1722" customWidth="1"/>
    <col min="4103" max="4103" width="13" style="1722" customWidth="1"/>
    <col min="4104" max="4105" width="8.8833333333333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333333333333" style="1722" customWidth="1"/>
    <col min="4115" max="4115" width="10" style="1722" customWidth="1"/>
    <col min="4116" max="4116" width="26.1333333333333" style="1722" customWidth="1"/>
    <col min="4117" max="4352" width="8.88333333333333" style="1722"/>
    <col min="4353" max="4353" width="9.5" style="1722" customWidth="1"/>
    <col min="4354" max="4354" width="8.88333333333333" style="1722"/>
    <col min="4355" max="4357" width="12.8833333333333" style="1722" customWidth="1"/>
    <col min="4358" max="4358" width="47.5" style="1722" customWidth="1"/>
    <col min="4359" max="4359" width="13" style="1722" customWidth="1"/>
    <col min="4360" max="4361" width="8.8833333333333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333333333333" style="1722" customWidth="1"/>
    <col min="4371" max="4371" width="10" style="1722" customWidth="1"/>
    <col min="4372" max="4372" width="26.1333333333333" style="1722" customWidth="1"/>
    <col min="4373" max="4608" width="8.88333333333333" style="1722"/>
    <col min="4609" max="4609" width="9.5" style="1722" customWidth="1"/>
    <col min="4610" max="4610" width="8.88333333333333" style="1722"/>
    <col min="4611" max="4613" width="12.8833333333333" style="1722" customWidth="1"/>
    <col min="4614" max="4614" width="47.5" style="1722" customWidth="1"/>
    <col min="4615" max="4615" width="13" style="1722" customWidth="1"/>
    <col min="4616" max="4617" width="8.8833333333333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333333333333" style="1722" customWidth="1"/>
    <col min="4627" max="4627" width="10" style="1722" customWidth="1"/>
    <col min="4628" max="4628" width="26.1333333333333" style="1722" customWidth="1"/>
    <col min="4629" max="4864" width="8.88333333333333" style="1722"/>
    <col min="4865" max="4865" width="9.5" style="1722" customWidth="1"/>
    <col min="4866" max="4866" width="8.88333333333333" style="1722"/>
    <col min="4867" max="4869" width="12.8833333333333" style="1722" customWidth="1"/>
    <col min="4870" max="4870" width="47.5" style="1722" customWidth="1"/>
    <col min="4871" max="4871" width="13" style="1722" customWidth="1"/>
    <col min="4872" max="4873" width="8.8833333333333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333333333333" style="1722" customWidth="1"/>
    <col min="4883" max="4883" width="10" style="1722" customWidth="1"/>
    <col min="4884" max="4884" width="26.1333333333333" style="1722" customWidth="1"/>
    <col min="4885" max="5120" width="8.88333333333333" style="1722"/>
    <col min="5121" max="5121" width="9.5" style="1722" customWidth="1"/>
    <col min="5122" max="5122" width="8.88333333333333" style="1722"/>
    <col min="5123" max="5125" width="12.8833333333333" style="1722" customWidth="1"/>
    <col min="5126" max="5126" width="47.5" style="1722" customWidth="1"/>
    <col min="5127" max="5127" width="13" style="1722" customWidth="1"/>
    <col min="5128" max="5129" width="8.8833333333333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333333333333" style="1722" customWidth="1"/>
    <col min="5139" max="5139" width="10" style="1722" customWidth="1"/>
    <col min="5140" max="5140" width="26.1333333333333" style="1722" customWidth="1"/>
    <col min="5141" max="5376" width="8.88333333333333" style="1722"/>
    <col min="5377" max="5377" width="9.5" style="1722" customWidth="1"/>
    <col min="5378" max="5378" width="8.88333333333333" style="1722"/>
    <col min="5379" max="5381" width="12.8833333333333" style="1722" customWidth="1"/>
    <col min="5382" max="5382" width="47.5" style="1722" customWidth="1"/>
    <col min="5383" max="5383" width="13" style="1722" customWidth="1"/>
    <col min="5384" max="5385" width="8.8833333333333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333333333333" style="1722" customWidth="1"/>
    <col min="5395" max="5395" width="10" style="1722" customWidth="1"/>
    <col min="5396" max="5396" width="26.1333333333333" style="1722" customWidth="1"/>
    <col min="5397" max="5632" width="8.88333333333333" style="1722"/>
    <col min="5633" max="5633" width="9.5" style="1722" customWidth="1"/>
    <col min="5634" max="5634" width="8.88333333333333" style="1722"/>
    <col min="5635" max="5637" width="12.8833333333333" style="1722" customWidth="1"/>
    <col min="5638" max="5638" width="47.5" style="1722" customWidth="1"/>
    <col min="5639" max="5639" width="13" style="1722" customWidth="1"/>
    <col min="5640" max="5641" width="8.8833333333333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333333333333" style="1722" customWidth="1"/>
    <col min="5651" max="5651" width="10" style="1722" customWidth="1"/>
    <col min="5652" max="5652" width="26.1333333333333" style="1722" customWidth="1"/>
    <col min="5653" max="5888" width="8.88333333333333" style="1722"/>
    <col min="5889" max="5889" width="9.5" style="1722" customWidth="1"/>
    <col min="5890" max="5890" width="8.88333333333333" style="1722"/>
    <col min="5891" max="5893" width="12.8833333333333" style="1722" customWidth="1"/>
    <col min="5894" max="5894" width="47.5" style="1722" customWidth="1"/>
    <col min="5895" max="5895" width="13" style="1722" customWidth="1"/>
    <col min="5896" max="5897" width="8.8833333333333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333333333333" style="1722" customWidth="1"/>
    <col min="5907" max="5907" width="10" style="1722" customWidth="1"/>
    <col min="5908" max="5908" width="26.1333333333333" style="1722" customWidth="1"/>
    <col min="5909" max="6144" width="8.88333333333333" style="1722"/>
    <col min="6145" max="6145" width="9.5" style="1722" customWidth="1"/>
    <col min="6146" max="6146" width="8.88333333333333" style="1722"/>
    <col min="6147" max="6149" width="12.8833333333333" style="1722" customWidth="1"/>
    <col min="6150" max="6150" width="47.5" style="1722" customWidth="1"/>
    <col min="6151" max="6151" width="13" style="1722" customWidth="1"/>
    <col min="6152" max="6153" width="8.8833333333333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333333333333" style="1722" customWidth="1"/>
    <col min="6163" max="6163" width="10" style="1722" customWidth="1"/>
    <col min="6164" max="6164" width="26.1333333333333" style="1722" customWidth="1"/>
    <col min="6165" max="6400" width="8.88333333333333" style="1722"/>
    <col min="6401" max="6401" width="9.5" style="1722" customWidth="1"/>
    <col min="6402" max="6402" width="8.88333333333333" style="1722"/>
    <col min="6403" max="6405" width="12.8833333333333" style="1722" customWidth="1"/>
    <col min="6406" max="6406" width="47.5" style="1722" customWidth="1"/>
    <col min="6407" max="6407" width="13" style="1722" customWidth="1"/>
    <col min="6408" max="6409" width="8.8833333333333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333333333333" style="1722" customWidth="1"/>
    <col min="6419" max="6419" width="10" style="1722" customWidth="1"/>
    <col min="6420" max="6420" width="26.1333333333333" style="1722" customWidth="1"/>
    <col min="6421" max="6656" width="8.88333333333333" style="1722"/>
    <col min="6657" max="6657" width="9.5" style="1722" customWidth="1"/>
    <col min="6658" max="6658" width="8.88333333333333" style="1722"/>
    <col min="6659" max="6661" width="12.8833333333333" style="1722" customWidth="1"/>
    <col min="6662" max="6662" width="47.5" style="1722" customWidth="1"/>
    <col min="6663" max="6663" width="13" style="1722" customWidth="1"/>
    <col min="6664" max="6665" width="8.8833333333333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333333333333" style="1722" customWidth="1"/>
    <col min="6675" max="6675" width="10" style="1722" customWidth="1"/>
    <col min="6676" max="6676" width="26.1333333333333" style="1722" customWidth="1"/>
    <col min="6677" max="6912" width="8.88333333333333" style="1722"/>
    <col min="6913" max="6913" width="9.5" style="1722" customWidth="1"/>
    <col min="6914" max="6914" width="8.88333333333333" style="1722"/>
    <col min="6915" max="6917" width="12.8833333333333" style="1722" customWidth="1"/>
    <col min="6918" max="6918" width="47.5" style="1722" customWidth="1"/>
    <col min="6919" max="6919" width="13" style="1722" customWidth="1"/>
    <col min="6920" max="6921" width="8.8833333333333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333333333333" style="1722" customWidth="1"/>
    <col min="6931" max="6931" width="10" style="1722" customWidth="1"/>
    <col min="6932" max="6932" width="26.1333333333333" style="1722" customWidth="1"/>
    <col min="6933" max="7168" width="8.88333333333333" style="1722"/>
    <col min="7169" max="7169" width="9.5" style="1722" customWidth="1"/>
    <col min="7170" max="7170" width="8.88333333333333" style="1722"/>
    <col min="7171" max="7173" width="12.8833333333333" style="1722" customWidth="1"/>
    <col min="7174" max="7174" width="47.5" style="1722" customWidth="1"/>
    <col min="7175" max="7175" width="13" style="1722" customWidth="1"/>
    <col min="7176" max="7177" width="8.8833333333333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333333333333" style="1722" customWidth="1"/>
    <col min="7187" max="7187" width="10" style="1722" customWidth="1"/>
    <col min="7188" max="7188" width="26.1333333333333" style="1722" customWidth="1"/>
    <col min="7189" max="7424" width="8.88333333333333" style="1722"/>
    <col min="7425" max="7425" width="9.5" style="1722" customWidth="1"/>
    <col min="7426" max="7426" width="8.88333333333333" style="1722"/>
    <col min="7427" max="7429" width="12.8833333333333" style="1722" customWidth="1"/>
    <col min="7430" max="7430" width="47.5" style="1722" customWidth="1"/>
    <col min="7431" max="7431" width="13" style="1722" customWidth="1"/>
    <col min="7432" max="7433" width="8.8833333333333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333333333333" style="1722" customWidth="1"/>
    <col min="7443" max="7443" width="10" style="1722" customWidth="1"/>
    <col min="7444" max="7444" width="26.1333333333333" style="1722" customWidth="1"/>
    <col min="7445" max="7680" width="8.88333333333333" style="1722"/>
    <col min="7681" max="7681" width="9.5" style="1722" customWidth="1"/>
    <col min="7682" max="7682" width="8.88333333333333" style="1722"/>
    <col min="7683" max="7685" width="12.8833333333333" style="1722" customWidth="1"/>
    <col min="7686" max="7686" width="47.5" style="1722" customWidth="1"/>
    <col min="7687" max="7687" width="13" style="1722" customWidth="1"/>
    <col min="7688" max="7689" width="8.8833333333333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333333333333" style="1722" customWidth="1"/>
    <col min="7699" max="7699" width="10" style="1722" customWidth="1"/>
    <col min="7700" max="7700" width="26.1333333333333" style="1722" customWidth="1"/>
    <col min="7701" max="7936" width="8.88333333333333" style="1722"/>
    <col min="7937" max="7937" width="9.5" style="1722" customWidth="1"/>
    <col min="7938" max="7938" width="8.88333333333333" style="1722"/>
    <col min="7939" max="7941" width="12.8833333333333" style="1722" customWidth="1"/>
    <col min="7942" max="7942" width="47.5" style="1722" customWidth="1"/>
    <col min="7943" max="7943" width="13" style="1722" customWidth="1"/>
    <col min="7944" max="7945" width="8.8833333333333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333333333333" style="1722" customWidth="1"/>
    <col min="7955" max="7955" width="10" style="1722" customWidth="1"/>
    <col min="7956" max="7956" width="26.1333333333333" style="1722" customWidth="1"/>
    <col min="7957" max="8192" width="8.88333333333333" style="1722"/>
    <col min="8193" max="8193" width="9.5" style="1722" customWidth="1"/>
    <col min="8194" max="8194" width="8.88333333333333" style="1722"/>
    <col min="8195" max="8197" width="12.8833333333333" style="1722" customWidth="1"/>
    <col min="8198" max="8198" width="47.5" style="1722" customWidth="1"/>
    <col min="8199" max="8199" width="13" style="1722" customWidth="1"/>
    <col min="8200" max="8201" width="8.8833333333333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333333333333" style="1722" customWidth="1"/>
    <col min="8211" max="8211" width="10" style="1722" customWidth="1"/>
    <col min="8212" max="8212" width="26.1333333333333" style="1722" customWidth="1"/>
    <col min="8213" max="8448" width="8.88333333333333" style="1722"/>
    <col min="8449" max="8449" width="9.5" style="1722" customWidth="1"/>
    <col min="8450" max="8450" width="8.88333333333333" style="1722"/>
    <col min="8451" max="8453" width="12.8833333333333" style="1722" customWidth="1"/>
    <col min="8454" max="8454" width="47.5" style="1722" customWidth="1"/>
    <col min="8455" max="8455" width="13" style="1722" customWidth="1"/>
    <col min="8456" max="8457" width="8.8833333333333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333333333333" style="1722" customWidth="1"/>
    <col min="8467" max="8467" width="10" style="1722" customWidth="1"/>
    <col min="8468" max="8468" width="26.1333333333333" style="1722" customWidth="1"/>
    <col min="8469" max="8704" width="8.88333333333333" style="1722"/>
    <col min="8705" max="8705" width="9.5" style="1722" customWidth="1"/>
    <col min="8706" max="8706" width="8.88333333333333" style="1722"/>
    <col min="8707" max="8709" width="12.8833333333333" style="1722" customWidth="1"/>
    <col min="8710" max="8710" width="47.5" style="1722" customWidth="1"/>
    <col min="8711" max="8711" width="13" style="1722" customWidth="1"/>
    <col min="8712" max="8713" width="8.8833333333333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333333333333" style="1722" customWidth="1"/>
    <col min="8723" max="8723" width="10" style="1722" customWidth="1"/>
    <col min="8724" max="8724" width="26.1333333333333" style="1722" customWidth="1"/>
    <col min="8725" max="8960" width="8.88333333333333" style="1722"/>
    <col min="8961" max="8961" width="9.5" style="1722" customWidth="1"/>
    <col min="8962" max="8962" width="8.88333333333333" style="1722"/>
    <col min="8963" max="8965" width="12.8833333333333" style="1722" customWidth="1"/>
    <col min="8966" max="8966" width="47.5" style="1722" customWidth="1"/>
    <col min="8967" max="8967" width="13" style="1722" customWidth="1"/>
    <col min="8968" max="8969" width="8.8833333333333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333333333333" style="1722" customWidth="1"/>
    <col min="8979" max="8979" width="10" style="1722" customWidth="1"/>
    <col min="8980" max="8980" width="26.1333333333333" style="1722" customWidth="1"/>
    <col min="8981" max="9216" width="8.88333333333333" style="1722"/>
    <col min="9217" max="9217" width="9.5" style="1722" customWidth="1"/>
    <col min="9218" max="9218" width="8.88333333333333" style="1722"/>
    <col min="9219" max="9221" width="12.8833333333333" style="1722" customWidth="1"/>
    <col min="9222" max="9222" width="47.5" style="1722" customWidth="1"/>
    <col min="9223" max="9223" width="13" style="1722" customWidth="1"/>
    <col min="9224" max="9225" width="8.8833333333333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333333333333" style="1722" customWidth="1"/>
    <col min="9235" max="9235" width="10" style="1722" customWidth="1"/>
    <col min="9236" max="9236" width="26.1333333333333" style="1722" customWidth="1"/>
    <col min="9237" max="9472" width="8.88333333333333" style="1722"/>
    <col min="9473" max="9473" width="9.5" style="1722" customWidth="1"/>
    <col min="9474" max="9474" width="8.88333333333333" style="1722"/>
    <col min="9475" max="9477" width="12.8833333333333" style="1722" customWidth="1"/>
    <col min="9478" max="9478" width="47.5" style="1722" customWidth="1"/>
    <col min="9479" max="9479" width="13" style="1722" customWidth="1"/>
    <col min="9480" max="9481" width="8.8833333333333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333333333333" style="1722" customWidth="1"/>
    <col min="9491" max="9491" width="10" style="1722" customWidth="1"/>
    <col min="9492" max="9492" width="26.1333333333333" style="1722" customWidth="1"/>
    <col min="9493" max="9728" width="8.88333333333333" style="1722"/>
    <col min="9729" max="9729" width="9.5" style="1722" customWidth="1"/>
    <col min="9730" max="9730" width="8.88333333333333" style="1722"/>
    <col min="9731" max="9733" width="12.8833333333333" style="1722" customWidth="1"/>
    <col min="9734" max="9734" width="47.5" style="1722" customWidth="1"/>
    <col min="9735" max="9735" width="13" style="1722" customWidth="1"/>
    <col min="9736" max="9737" width="8.8833333333333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333333333333" style="1722" customWidth="1"/>
    <col min="9747" max="9747" width="10" style="1722" customWidth="1"/>
    <col min="9748" max="9748" width="26.1333333333333" style="1722" customWidth="1"/>
    <col min="9749" max="9984" width="8.88333333333333" style="1722"/>
    <col min="9985" max="9985" width="9.5" style="1722" customWidth="1"/>
    <col min="9986" max="9986" width="8.88333333333333" style="1722"/>
    <col min="9987" max="9989" width="12.8833333333333" style="1722" customWidth="1"/>
    <col min="9990" max="9990" width="47.5" style="1722" customWidth="1"/>
    <col min="9991" max="9991" width="13" style="1722" customWidth="1"/>
    <col min="9992" max="9993" width="8.8833333333333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333333333333" style="1722" customWidth="1"/>
    <col min="10003" max="10003" width="10" style="1722" customWidth="1"/>
    <col min="10004" max="10004" width="26.1333333333333" style="1722" customWidth="1"/>
    <col min="10005" max="10240" width="8.88333333333333" style="1722"/>
    <col min="10241" max="10241" width="9.5" style="1722" customWidth="1"/>
    <col min="10242" max="10242" width="8.88333333333333" style="1722"/>
    <col min="10243" max="10245" width="12.8833333333333" style="1722" customWidth="1"/>
    <col min="10246" max="10246" width="47.5" style="1722" customWidth="1"/>
    <col min="10247" max="10247" width="13" style="1722" customWidth="1"/>
    <col min="10248" max="10249" width="8.8833333333333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333333333333" style="1722" customWidth="1"/>
    <col min="10259" max="10259" width="10" style="1722" customWidth="1"/>
    <col min="10260" max="10260" width="26.1333333333333" style="1722" customWidth="1"/>
    <col min="10261" max="10496" width="8.88333333333333" style="1722"/>
    <col min="10497" max="10497" width="9.5" style="1722" customWidth="1"/>
    <col min="10498" max="10498" width="8.88333333333333" style="1722"/>
    <col min="10499" max="10501" width="12.8833333333333" style="1722" customWidth="1"/>
    <col min="10502" max="10502" width="47.5" style="1722" customWidth="1"/>
    <col min="10503" max="10503" width="13" style="1722" customWidth="1"/>
    <col min="10504" max="10505" width="8.8833333333333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333333333333" style="1722" customWidth="1"/>
    <col min="10515" max="10515" width="10" style="1722" customWidth="1"/>
    <col min="10516" max="10516" width="26.1333333333333" style="1722" customWidth="1"/>
    <col min="10517" max="10752" width="8.88333333333333" style="1722"/>
    <col min="10753" max="10753" width="9.5" style="1722" customWidth="1"/>
    <col min="10754" max="10754" width="8.88333333333333" style="1722"/>
    <col min="10755" max="10757" width="12.8833333333333" style="1722" customWidth="1"/>
    <col min="10758" max="10758" width="47.5" style="1722" customWidth="1"/>
    <col min="10759" max="10759" width="13" style="1722" customWidth="1"/>
    <col min="10760" max="10761" width="8.8833333333333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333333333333" style="1722" customWidth="1"/>
    <col min="10771" max="10771" width="10" style="1722" customWidth="1"/>
    <col min="10772" max="10772" width="26.1333333333333" style="1722" customWidth="1"/>
    <col min="10773" max="11008" width="8.88333333333333" style="1722"/>
    <col min="11009" max="11009" width="9.5" style="1722" customWidth="1"/>
    <col min="11010" max="11010" width="8.88333333333333" style="1722"/>
    <col min="11011" max="11013" width="12.8833333333333" style="1722" customWidth="1"/>
    <col min="11014" max="11014" width="47.5" style="1722" customWidth="1"/>
    <col min="11015" max="11015" width="13" style="1722" customWidth="1"/>
    <col min="11016" max="11017" width="8.8833333333333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333333333333" style="1722" customWidth="1"/>
    <col min="11027" max="11027" width="10" style="1722" customWidth="1"/>
    <col min="11028" max="11028" width="26.1333333333333" style="1722" customWidth="1"/>
    <col min="11029" max="11264" width="8.88333333333333" style="1722"/>
    <col min="11265" max="11265" width="9.5" style="1722" customWidth="1"/>
    <col min="11266" max="11266" width="8.88333333333333" style="1722"/>
    <col min="11267" max="11269" width="12.8833333333333" style="1722" customWidth="1"/>
    <col min="11270" max="11270" width="47.5" style="1722" customWidth="1"/>
    <col min="11271" max="11271" width="13" style="1722" customWidth="1"/>
    <col min="11272" max="11273" width="8.8833333333333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333333333333" style="1722" customWidth="1"/>
    <col min="11283" max="11283" width="10" style="1722" customWidth="1"/>
    <col min="11284" max="11284" width="26.1333333333333" style="1722" customWidth="1"/>
    <col min="11285" max="11520" width="8.88333333333333" style="1722"/>
    <col min="11521" max="11521" width="9.5" style="1722" customWidth="1"/>
    <col min="11522" max="11522" width="8.88333333333333" style="1722"/>
    <col min="11523" max="11525" width="12.8833333333333" style="1722" customWidth="1"/>
    <col min="11526" max="11526" width="47.5" style="1722" customWidth="1"/>
    <col min="11527" max="11527" width="13" style="1722" customWidth="1"/>
    <col min="11528" max="11529" width="8.8833333333333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333333333333" style="1722" customWidth="1"/>
    <col min="11539" max="11539" width="10" style="1722" customWidth="1"/>
    <col min="11540" max="11540" width="26.1333333333333" style="1722" customWidth="1"/>
    <col min="11541" max="11776" width="8.88333333333333" style="1722"/>
    <col min="11777" max="11777" width="9.5" style="1722" customWidth="1"/>
    <col min="11778" max="11778" width="8.88333333333333" style="1722"/>
    <col min="11779" max="11781" width="12.8833333333333" style="1722" customWidth="1"/>
    <col min="11782" max="11782" width="47.5" style="1722" customWidth="1"/>
    <col min="11783" max="11783" width="13" style="1722" customWidth="1"/>
    <col min="11784" max="11785" width="8.8833333333333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333333333333" style="1722" customWidth="1"/>
    <col min="11795" max="11795" width="10" style="1722" customWidth="1"/>
    <col min="11796" max="11796" width="26.1333333333333" style="1722" customWidth="1"/>
    <col min="11797" max="12032" width="8.88333333333333" style="1722"/>
    <col min="12033" max="12033" width="9.5" style="1722" customWidth="1"/>
    <col min="12034" max="12034" width="8.88333333333333" style="1722"/>
    <col min="12035" max="12037" width="12.8833333333333" style="1722" customWidth="1"/>
    <col min="12038" max="12038" width="47.5" style="1722" customWidth="1"/>
    <col min="12039" max="12039" width="13" style="1722" customWidth="1"/>
    <col min="12040" max="12041" width="8.8833333333333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333333333333" style="1722" customWidth="1"/>
    <col min="12051" max="12051" width="10" style="1722" customWidth="1"/>
    <col min="12052" max="12052" width="26.1333333333333" style="1722" customWidth="1"/>
    <col min="12053" max="12288" width="8.88333333333333" style="1722"/>
    <col min="12289" max="12289" width="9.5" style="1722" customWidth="1"/>
    <col min="12290" max="12290" width="8.88333333333333" style="1722"/>
    <col min="12291" max="12293" width="12.8833333333333" style="1722" customWidth="1"/>
    <col min="12294" max="12294" width="47.5" style="1722" customWidth="1"/>
    <col min="12295" max="12295" width="13" style="1722" customWidth="1"/>
    <col min="12296" max="12297" width="8.8833333333333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333333333333" style="1722" customWidth="1"/>
    <col min="12307" max="12307" width="10" style="1722" customWidth="1"/>
    <col min="12308" max="12308" width="26.1333333333333" style="1722" customWidth="1"/>
    <col min="12309" max="12544" width="8.88333333333333" style="1722"/>
    <col min="12545" max="12545" width="9.5" style="1722" customWidth="1"/>
    <col min="12546" max="12546" width="8.88333333333333" style="1722"/>
    <col min="12547" max="12549" width="12.8833333333333" style="1722" customWidth="1"/>
    <col min="12550" max="12550" width="47.5" style="1722" customWidth="1"/>
    <col min="12551" max="12551" width="13" style="1722" customWidth="1"/>
    <col min="12552" max="12553" width="8.8833333333333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333333333333" style="1722" customWidth="1"/>
    <col min="12563" max="12563" width="10" style="1722" customWidth="1"/>
    <col min="12564" max="12564" width="26.1333333333333" style="1722" customWidth="1"/>
    <col min="12565" max="12800" width="8.88333333333333" style="1722"/>
    <col min="12801" max="12801" width="9.5" style="1722" customWidth="1"/>
    <col min="12802" max="12802" width="8.88333333333333" style="1722"/>
    <col min="12803" max="12805" width="12.8833333333333" style="1722" customWidth="1"/>
    <col min="12806" max="12806" width="47.5" style="1722" customWidth="1"/>
    <col min="12807" max="12807" width="13" style="1722" customWidth="1"/>
    <col min="12808" max="12809" width="8.8833333333333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333333333333" style="1722" customWidth="1"/>
    <col min="12819" max="12819" width="10" style="1722" customWidth="1"/>
    <col min="12820" max="12820" width="26.1333333333333" style="1722" customWidth="1"/>
    <col min="12821" max="13056" width="8.88333333333333" style="1722"/>
    <col min="13057" max="13057" width="9.5" style="1722" customWidth="1"/>
    <col min="13058" max="13058" width="8.88333333333333" style="1722"/>
    <col min="13059" max="13061" width="12.8833333333333" style="1722" customWidth="1"/>
    <col min="13062" max="13062" width="47.5" style="1722" customWidth="1"/>
    <col min="13063" max="13063" width="13" style="1722" customWidth="1"/>
    <col min="13064" max="13065" width="8.8833333333333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333333333333" style="1722" customWidth="1"/>
    <col min="13075" max="13075" width="10" style="1722" customWidth="1"/>
    <col min="13076" max="13076" width="26.1333333333333" style="1722" customWidth="1"/>
    <col min="13077" max="13312" width="8.88333333333333" style="1722"/>
    <col min="13313" max="13313" width="9.5" style="1722" customWidth="1"/>
    <col min="13314" max="13314" width="8.88333333333333" style="1722"/>
    <col min="13315" max="13317" width="12.8833333333333" style="1722" customWidth="1"/>
    <col min="13318" max="13318" width="47.5" style="1722" customWidth="1"/>
    <col min="13319" max="13319" width="13" style="1722" customWidth="1"/>
    <col min="13320" max="13321" width="8.8833333333333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333333333333" style="1722" customWidth="1"/>
    <col min="13331" max="13331" width="10" style="1722" customWidth="1"/>
    <col min="13332" max="13332" width="26.1333333333333" style="1722" customWidth="1"/>
    <col min="13333" max="13568" width="8.88333333333333" style="1722"/>
    <col min="13569" max="13569" width="9.5" style="1722" customWidth="1"/>
    <col min="13570" max="13570" width="8.88333333333333" style="1722"/>
    <col min="13571" max="13573" width="12.8833333333333" style="1722" customWidth="1"/>
    <col min="13574" max="13574" width="47.5" style="1722" customWidth="1"/>
    <col min="13575" max="13575" width="13" style="1722" customWidth="1"/>
    <col min="13576" max="13577" width="8.8833333333333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333333333333" style="1722" customWidth="1"/>
    <col min="13587" max="13587" width="10" style="1722" customWidth="1"/>
    <col min="13588" max="13588" width="26.1333333333333" style="1722" customWidth="1"/>
    <col min="13589" max="13824" width="8.88333333333333" style="1722"/>
    <col min="13825" max="13825" width="9.5" style="1722" customWidth="1"/>
    <col min="13826" max="13826" width="8.88333333333333" style="1722"/>
    <col min="13827" max="13829" width="12.8833333333333" style="1722" customWidth="1"/>
    <col min="13830" max="13830" width="47.5" style="1722" customWidth="1"/>
    <col min="13831" max="13831" width="13" style="1722" customWidth="1"/>
    <col min="13832" max="13833" width="8.8833333333333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333333333333" style="1722" customWidth="1"/>
    <col min="13843" max="13843" width="10" style="1722" customWidth="1"/>
    <col min="13844" max="13844" width="26.1333333333333" style="1722" customWidth="1"/>
    <col min="13845" max="14080" width="8.88333333333333" style="1722"/>
    <col min="14081" max="14081" width="9.5" style="1722" customWidth="1"/>
    <col min="14082" max="14082" width="8.88333333333333" style="1722"/>
    <col min="14083" max="14085" width="12.8833333333333" style="1722" customWidth="1"/>
    <col min="14086" max="14086" width="47.5" style="1722" customWidth="1"/>
    <col min="14087" max="14087" width="13" style="1722" customWidth="1"/>
    <col min="14088" max="14089" width="8.8833333333333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333333333333" style="1722" customWidth="1"/>
    <col min="14099" max="14099" width="10" style="1722" customWidth="1"/>
    <col min="14100" max="14100" width="26.1333333333333" style="1722" customWidth="1"/>
    <col min="14101" max="14336" width="8.88333333333333" style="1722"/>
    <col min="14337" max="14337" width="9.5" style="1722" customWidth="1"/>
    <col min="14338" max="14338" width="8.88333333333333" style="1722"/>
    <col min="14339" max="14341" width="12.8833333333333" style="1722" customWidth="1"/>
    <col min="14342" max="14342" width="47.5" style="1722" customWidth="1"/>
    <col min="14343" max="14343" width="13" style="1722" customWidth="1"/>
    <col min="14344" max="14345" width="8.8833333333333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333333333333" style="1722" customWidth="1"/>
    <col min="14355" max="14355" width="10" style="1722" customWidth="1"/>
    <col min="14356" max="14356" width="26.1333333333333" style="1722" customWidth="1"/>
    <col min="14357" max="14592" width="8.88333333333333" style="1722"/>
    <col min="14593" max="14593" width="9.5" style="1722" customWidth="1"/>
    <col min="14594" max="14594" width="8.88333333333333" style="1722"/>
    <col min="14595" max="14597" width="12.8833333333333" style="1722" customWidth="1"/>
    <col min="14598" max="14598" width="47.5" style="1722" customWidth="1"/>
    <col min="14599" max="14599" width="13" style="1722" customWidth="1"/>
    <col min="14600" max="14601" width="8.8833333333333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333333333333" style="1722" customWidth="1"/>
    <col min="14611" max="14611" width="10" style="1722" customWidth="1"/>
    <col min="14612" max="14612" width="26.1333333333333" style="1722" customWidth="1"/>
    <col min="14613" max="14848" width="8.88333333333333" style="1722"/>
    <col min="14849" max="14849" width="9.5" style="1722" customWidth="1"/>
    <col min="14850" max="14850" width="8.88333333333333" style="1722"/>
    <col min="14851" max="14853" width="12.8833333333333" style="1722" customWidth="1"/>
    <col min="14854" max="14854" width="47.5" style="1722" customWidth="1"/>
    <col min="14855" max="14855" width="13" style="1722" customWidth="1"/>
    <col min="14856" max="14857" width="8.8833333333333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333333333333" style="1722" customWidth="1"/>
    <col min="14867" max="14867" width="10" style="1722" customWidth="1"/>
    <col min="14868" max="14868" width="26.1333333333333" style="1722" customWidth="1"/>
    <col min="14869" max="15104" width="8.88333333333333" style="1722"/>
    <col min="15105" max="15105" width="9.5" style="1722" customWidth="1"/>
    <col min="15106" max="15106" width="8.88333333333333" style="1722"/>
    <col min="15107" max="15109" width="12.8833333333333" style="1722" customWidth="1"/>
    <col min="15110" max="15110" width="47.5" style="1722" customWidth="1"/>
    <col min="15111" max="15111" width="13" style="1722" customWidth="1"/>
    <col min="15112" max="15113" width="8.8833333333333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333333333333" style="1722" customWidth="1"/>
    <col min="15123" max="15123" width="10" style="1722" customWidth="1"/>
    <col min="15124" max="15124" width="26.1333333333333" style="1722" customWidth="1"/>
    <col min="15125" max="15360" width="8.88333333333333" style="1722"/>
    <col min="15361" max="15361" width="9.5" style="1722" customWidth="1"/>
    <col min="15362" max="15362" width="8.88333333333333" style="1722"/>
    <col min="15363" max="15365" width="12.8833333333333" style="1722" customWidth="1"/>
    <col min="15366" max="15366" width="47.5" style="1722" customWidth="1"/>
    <col min="15367" max="15367" width="13" style="1722" customWidth="1"/>
    <col min="15368" max="15369" width="8.8833333333333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333333333333" style="1722" customWidth="1"/>
    <col min="15379" max="15379" width="10" style="1722" customWidth="1"/>
    <col min="15380" max="15380" width="26.1333333333333" style="1722" customWidth="1"/>
    <col min="15381" max="15616" width="8.88333333333333" style="1722"/>
    <col min="15617" max="15617" width="9.5" style="1722" customWidth="1"/>
    <col min="15618" max="15618" width="8.88333333333333" style="1722"/>
    <col min="15619" max="15621" width="12.8833333333333" style="1722" customWidth="1"/>
    <col min="15622" max="15622" width="47.5" style="1722" customWidth="1"/>
    <col min="15623" max="15623" width="13" style="1722" customWidth="1"/>
    <col min="15624" max="15625" width="8.8833333333333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333333333333" style="1722" customWidth="1"/>
    <col min="15635" max="15635" width="10" style="1722" customWidth="1"/>
    <col min="15636" max="15636" width="26.1333333333333" style="1722" customWidth="1"/>
    <col min="15637" max="15872" width="8.88333333333333" style="1722"/>
    <col min="15873" max="15873" width="9.5" style="1722" customWidth="1"/>
    <col min="15874" max="15874" width="8.88333333333333" style="1722"/>
    <col min="15875" max="15877" width="12.8833333333333" style="1722" customWidth="1"/>
    <col min="15878" max="15878" width="47.5" style="1722" customWidth="1"/>
    <col min="15879" max="15879" width="13" style="1722" customWidth="1"/>
    <col min="15880" max="15881" width="8.8833333333333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333333333333" style="1722" customWidth="1"/>
    <col min="15891" max="15891" width="10" style="1722" customWidth="1"/>
    <col min="15892" max="15892" width="26.1333333333333" style="1722" customWidth="1"/>
    <col min="15893" max="16128" width="8.88333333333333" style="1722"/>
    <col min="16129" max="16129" width="9.5" style="1722" customWidth="1"/>
    <col min="16130" max="16130" width="8.88333333333333" style="1722"/>
    <col min="16131" max="16133" width="12.8833333333333" style="1722" customWidth="1"/>
    <col min="16134" max="16134" width="47.5" style="1722" customWidth="1"/>
    <col min="16135" max="16135" width="13" style="1722" customWidth="1"/>
    <col min="16136" max="16137" width="8.8833333333333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333333333333" style="1722" customWidth="1"/>
    <col min="16147" max="16147" width="10" style="1722" customWidth="1"/>
    <col min="16148" max="16148" width="26.1333333333333" style="1722" customWidth="1"/>
    <col min="16149" max="16384" width="8.88333333333333"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333333333333" style="511" customWidth="1"/>
    <col min="2" max="2" width="12" style="511" customWidth="1"/>
    <col min="3" max="3" width="9" style="511"/>
    <col min="4" max="4" width="14.1333333333333" style="511" customWidth="1"/>
    <col min="5" max="5" width="9" style="511"/>
    <col min="6" max="6" width="12.8833333333333"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22616</v>
      </c>
      <c r="C2" s="1701" t="s">
        <v>1395</v>
      </c>
      <c r="D2" s="1702" t="s">
        <v>1396</v>
      </c>
      <c r="E2" s="1703">
        <f>SUM(E6:E13)</f>
        <v>55180.06</v>
      </c>
      <c r="F2" s="1697"/>
      <c r="G2" s="1698"/>
      <c r="H2" s="1698"/>
      <c r="I2" s="1698"/>
      <c r="J2" s="1698"/>
      <c r="K2" s="1698"/>
      <c r="L2" s="1698"/>
      <c r="M2" s="1698"/>
      <c r="N2" s="1698"/>
      <c r="O2" s="1698"/>
      <c r="P2" s="1698"/>
      <c r="Q2" s="1698"/>
      <c r="R2" s="1698"/>
      <c r="S2" s="1698"/>
    </row>
    <row r="3" spans="1:19">
      <c r="A3" s="1699" t="s">
        <v>919</v>
      </c>
      <c r="B3" s="1704">
        <f ca="1">ROUND(B2*10000/E2,0)</f>
        <v>4099</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22616</v>
      </c>
      <c r="C6" s="1701" t="s">
        <v>1395</v>
      </c>
      <c r="D6" s="1705"/>
      <c r="E6" s="1715">
        <f>IF(OR(A6=0,F6="否"),0,'数据-取费表'!K6+'数据-取费表'!S6)</f>
        <v>55180.06</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55180.06</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55180.06</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55180.06</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55180.06</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9" t="s">
        <v>82</v>
      </c>
    </row>
    <row r="2" spans="1:1">
      <c r="A2" s="3470"/>
    </row>
    <row r="3" ht="18" spans="1:1">
      <c r="A3" s="3471" t="str">
        <f>项目基本情况!B5&amp;"："</f>
        <v>：</v>
      </c>
    </row>
    <row r="4" ht="18.75" spans="1:1">
      <c r="A4" s="3472" t="str">
        <f>"受贵公司委托，我公司对"&amp;项目基本情况!S1&amp;"进行了预评估。"</f>
        <v>受贵公司委托，我公司对北京市房地产抵押价值进行了预评估。</v>
      </c>
    </row>
    <row r="5" ht="18.75" spans="1:1">
      <c r="A5" s="3473" t="s">
        <v>83</v>
      </c>
    </row>
    <row r="6" ht="18.75" spans="1:1">
      <c r="A6" s="3474" t="s">
        <v>84</v>
      </c>
    </row>
    <row r="7" ht="3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估价对象为北京市房地产，为所有。根据《国有土地使用证》[]，估价对象（分摊）出让国有建设用地使用权面积为0平方米，建筑面积为55180.06平方米。</v>
      </c>
    </row>
    <row r="8" ht="56.25" spans="1:1">
      <c r="A8" s="3475" t="s">
        <v>85</v>
      </c>
    </row>
    <row r="9" ht="18.75" spans="1:1">
      <c r="A9" s="3474" t="s">
        <v>86</v>
      </c>
    </row>
    <row r="10" ht="56.2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估价对象为北京市房地产,属开发建设的居住项目，该项目尚在开发建设中。根据《国有土地使用证》[]，估价对象（分摊）出让国有建设用地使用权面积为0平方米，规划建筑面积为55180.06平方米。</v>
      </c>
    </row>
    <row r="11" ht="75" spans="1:1">
      <c r="A11" s="3475" t="s">
        <v>87</v>
      </c>
    </row>
    <row r="12" ht="18.75"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7" t="s">
        <v>89</v>
      </c>
    </row>
    <row r="15" ht="18" spans="1:1">
      <c r="A15" s="3478" t="str">
        <f>TEXT(项目基本情况!D3,"yyyy年m月d日;;")&amp;IF(项目基本情况!D3=项目基本情况!B3,"（评估专业人员实地查勘之日）","")</f>
        <v>2022年8月5日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7" t="s">
        <v>92</v>
      </c>
    </row>
    <row r="24" ht="18" spans="1:1">
      <c r="A24" s="3424" t="str">
        <f>"本次评估采用的主估价方法为"&amp;结果表!K4&amp;"和"&amp;结果表!L4&amp;"。"</f>
        <v>本次评估采用的主估价方法为成本法和收益法。</v>
      </c>
    </row>
    <row r="25" ht="18" spans="1:1">
      <c r="A25" s="3424"/>
    </row>
    <row r="26" ht="18.75" spans="1:1">
      <c r="A26" s="3479"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833333333333" style="960" customWidth="1"/>
    <col min="2" max="2" width="15.75" style="960" customWidth="1"/>
    <col min="3" max="3" width="14.3833333333333" style="960" customWidth="1"/>
    <col min="4" max="4" width="14.1333333333333"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55180.06</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55180.06</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833333333333"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55180.06</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333333333333" style="618" customWidth="1"/>
    <col min="6" max="8" width="12" style="618"/>
    <col min="9" max="9" width="12.25" style="618" customWidth="1"/>
    <col min="10" max="10" width="12" style="618"/>
    <col min="11" max="11" width="8.13333333333333" style="619" customWidth="1"/>
    <col min="12" max="12" width="12" style="618"/>
    <col min="13" max="13" width="8.5" style="618" customWidth="1"/>
    <col min="14" max="14" width="9.75" style="618" customWidth="1"/>
    <col min="15" max="25" width="12" style="618"/>
    <col min="26" max="26" width="9.38333333333333" style="616" customWidth="1"/>
    <col min="27" max="32" width="9.38333333333333" style="620" customWidth="1"/>
    <col min="33" max="36" width="9.38333333333333" style="616" customWidth="1"/>
    <col min="37" max="38" width="9.38333333333333"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33333333333" defaultRowHeight="19.5" customHeight="1"/>
  <cols>
    <col min="1" max="1" width="14.3833333333333" style="537"/>
    <col min="2" max="9" width="14.3833333333333" style="536"/>
    <col min="10" max="16384" width="14.38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833333333333" style="511" customWidth="1"/>
    <col min="2" max="2" width="12.5" style="511" customWidth="1"/>
    <col min="3" max="3" width="12.1333333333333" style="511" customWidth="1"/>
    <col min="4" max="4" width="14.1333333333333"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8333333333333" style="377" customWidth="1"/>
    <col min="19" max="19" width="7.13333333333333" style="378" customWidth="1"/>
    <col min="20" max="22" width="7.13333333333333" style="377" customWidth="1"/>
    <col min="23" max="23" width="24.25" style="377" customWidth="1"/>
    <col min="24" max="25" width="9" style="377"/>
    <col min="26" max="27" width="11.6333333333333"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39" customWidth="1"/>
    <col min="2" max="2" width="37.25" style="3439" customWidth="1"/>
    <col min="3" max="3" width="11.3833333333333"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v>
      </c>
      <c r="B3" s="3443"/>
      <c r="C3" s="3443"/>
      <c r="D3" s="3443"/>
      <c r="E3" s="3443"/>
    </row>
    <row r="4" ht="19.5" spans="1:5">
      <c r="A4" s="3443"/>
      <c r="B4" s="3444" t="s">
        <v>95</v>
      </c>
      <c r="C4" s="3444"/>
      <c r="D4" s="3444"/>
      <c r="E4" s="3443"/>
    </row>
    <row r="5" ht="16.5" spans="1:5">
      <c r="A5" s="3441"/>
      <c r="B5" s="3445" t="s">
        <v>96</v>
      </c>
      <c r="C5" s="3446" t="s">
        <v>97</v>
      </c>
      <c r="D5" s="3447">
        <f ca="1">结果表!H101</f>
        <v>27167</v>
      </c>
      <c r="E5" s="3441"/>
    </row>
    <row r="6" spans="1:5">
      <c r="A6" s="3441"/>
      <c r="B6" s="3445"/>
      <c r="C6" s="3446" t="s">
        <v>98</v>
      </c>
      <c r="D6" s="3447" t="str">
        <f ca="1">NUMBERSTRING(INT(D5*10000),2)&amp;"元整"</f>
        <v>贰亿柒仟壹佰陆拾柒万元整</v>
      </c>
      <c r="E6" s="3441"/>
    </row>
    <row r="7" ht="15.75" spans="1:5">
      <c r="A7" s="3441"/>
      <c r="B7" s="3448"/>
      <c r="C7" s="3449" t="s">
        <v>99</v>
      </c>
      <c r="D7" s="3450">
        <f ca="1">结果表!H102</f>
        <v>4923</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27167</v>
      </c>
      <c r="E13" s="3441"/>
    </row>
    <row r="14" spans="1:5">
      <c r="A14" s="3441"/>
      <c r="B14" s="3445"/>
      <c r="C14" s="3446" t="s">
        <v>98</v>
      </c>
      <c r="D14" s="3447" t="str">
        <f ca="1">NUMBERSTRING(INT(D13*10000),2)&amp;"元整"</f>
        <v>贰亿柒仟壹佰陆拾柒万元整</v>
      </c>
      <c r="E14" s="3441"/>
    </row>
    <row r="15" ht="15" spans="1:5">
      <c r="A15" s="3441"/>
      <c r="B15" s="3448"/>
      <c r="C15" s="3449" t="s">
        <v>99</v>
      </c>
      <c r="D15" s="3460">
        <f ca="1">结果表!H108</f>
        <v>4923</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2154</v>
      </c>
      <c r="B1" s="150"/>
      <c r="C1" s="151"/>
      <c r="D1" s="151"/>
      <c r="E1" s="151"/>
      <c r="F1" s="151"/>
      <c r="G1" s="152"/>
    </row>
    <row r="2" s="141" customFormat="1" ht="18" customHeight="1" spans="1:7">
      <c r="A2" s="153" t="s">
        <v>2155</v>
      </c>
      <c r="B2" s="154">
        <f ca="1">C52</f>
        <v>45477</v>
      </c>
      <c r="C2" s="155" t="s">
        <v>2156</v>
      </c>
      <c r="D2" s="152"/>
      <c r="E2" s="152"/>
      <c r="F2" s="152"/>
      <c r="G2" s="152"/>
    </row>
    <row r="3" s="141" customFormat="1" ht="18" customHeight="1" spans="1:7">
      <c r="A3" s="156" t="s">
        <v>2157</v>
      </c>
      <c r="B3" s="157">
        <f ca="1">ROUND(B2*10000/'数据-汇总表'!E3,0)</f>
        <v>8242</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55180.06</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1104</v>
      </c>
      <c r="D19" s="187">
        <f>'数据-汇总表'!E3</f>
        <v>55180.06</v>
      </c>
      <c r="E19" s="163">
        <f>'数据-取费表'!B31</f>
        <v>200</v>
      </c>
      <c r="F19" s="188"/>
      <c r="G19" s="175" t="s">
        <v>2181</v>
      </c>
    </row>
    <row r="20" s="143" customFormat="1" ht="13.5" customHeight="1" spans="1:7">
      <c r="A20" s="186" t="s">
        <v>2182</v>
      </c>
      <c r="B20" s="162" t="s">
        <v>2183</v>
      </c>
      <c r="C20" s="189">
        <f ca="1">ROUND((C5+C19)*F20,0)</f>
        <v>422</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1606</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83</v>
      </c>
      <c r="D24" s="199"/>
      <c r="E24" s="199"/>
      <c r="F24" s="200"/>
      <c r="G24" s="201" t="s">
        <v>2194</v>
      </c>
    </row>
    <row r="25" s="143" customFormat="1" ht="24" spans="1:7">
      <c r="A25" s="197" t="s">
        <v>930</v>
      </c>
      <c r="B25" s="167" t="s">
        <v>2195</v>
      </c>
      <c r="C25" s="198">
        <f ca="1">ROUND(IF('数据-取费表'!B22&lt;=1,C20*F22*'数据-取费表'!B23/2,C20*(POWER((1+F22),'数据-取费表'!B23/2)-1)),0)</f>
        <v>16</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646</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646</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23778</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21672</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19313</v>
      </c>
      <c r="D34" s="169"/>
      <c r="E34" s="172"/>
      <c r="F34" s="218">
        <f>IF('数据-取费表'!B24=0,1,'数据-取费表'!N16)</f>
        <v>1</v>
      </c>
      <c r="G34" s="171" t="s">
        <v>2212</v>
      </c>
    </row>
    <row r="35" ht="13.5" customHeight="1" spans="1:7">
      <c r="A35" s="197" t="s">
        <v>928</v>
      </c>
      <c r="B35" s="167" t="s">
        <v>2213</v>
      </c>
      <c r="C35" s="172">
        <f>ROUND(C34*F35,0)</f>
        <v>579</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386</v>
      </c>
      <c r="D36" s="172"/>
      <c r="E36" s="172"/>
      <c r="F36" s="219">
        <f>'数据-取费表'!B34</f>
        <v>0.02</v>
      </c>
      <c r="G36" s="220" t="s">
        <v>2216</v>
      </c>
    </row>
    <row r="37" s="145" customFormat="1" ht="13.5" customHeight="1" spans="1:7">
      <c r="A37" s="197" t="s">
        <v>972</v>
      </c>
      <c r="B37" s="167" t="s">
        <v>2217</v>
      </c>
      <c r="C37" s="210">
        <f>ROUND(E37*D37*F34/10000,0)</f>
        <v>1104</v>
      </c>
      <c r="D37" s="169">
        <f>'数据-汇总表'!E3</f>
        <v>55180.06</v>
      </c>
      <c r="E37" s="210">
        <f>'数据-取费表'!B35</f>
        <v>200</v>
      </c>
      <c r="F37" s="219"/>
      <c r="G37" s="221" t="s">
        <v>2218</v>
      </c>
    </row>
    <row r="38" ht="13.5" customHeight="1" spans="1:7">
      <c r="A38" s="197" t="s">
        <v>994</v>
      </c>
      <c r="B38" s="167" t="s">
        <v>2171</v>
      </c>
      <c r="C38" s="172">
        <f>ROUND(C34*F38,0)</f>
        <v>290</v>
      </c>
      <c r="D38" s="172"/>
      <c r="E38" s="172"/>
      <c r="F38" s="219">
        <f>'数据-取费表'!B36</f>
        <v>0.015</v>
      </c>
      <c r="G38" s="171" t="s">
        <v>2214</v>
      </c>
    </row>
    <row r="39" s="143" customFormat="1" ht="13.5" customHeight="1" spans="1:7">
      <c r="A39" s="186" t="s">
        <v>2179</v>
      </c>
      <c r="B39" s="162" t="s">
        <v>2183</v>
      </c>
      <c r="C39" s="189">
        <f>ROUND(C33*F20,0)</f>
        <v>433</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818</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802</v>
      </c>
      <c r="D42" s="199"/>
      <c r="E42" s="199"/>
      <c r="F42" s="200"/>
      <c r="G42" s="223" t="s">
        <v>2222</v>
      </c>
    </row>
    <row r="43" ht="13.5" customHeight="1" spans="1:7">
      <c r="A43" s="197" t="s">
        <v>928</v>
      </c>
      <c r="B43" s="167" t="s">
        <v>2193</v>
      </c>
      <c r="C43" s="199">
        <f ca="1">ROUND(IF('数据-取费表'!B22&lt;=1,C39*F22*'数据-取费表'!B21/2,C39*(POWER((1+F22),'数据-取费表'!B21/2)-1)),0)</f>
        <v>16</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663</v>
      </c>
      <c r="D45" s="192">
        <f>C47</f>
        <v>0</v>
      </c>
      <c r="E45" s="193" t="s">
        <v>2220</v>
      </c>
      <c r="F45" s="207"/>
      <c r="G45" s="208" t="s">
        <v>2223</v>
      </c>
    </row>
    <row r="46" s="143" customFormat="1" ht="13.5" customHeight="1" spans="1:7">
      <c r="A46" s="197" t="s">
        <v>926</v>
      </c>
      <c r="B46" s="209" t="s">
        <v>2224</v>
      </c>
      <c r="C46" s="210">
        <f>ROUND((C33+C39)*F27,0)</f>
        <v>663</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23586</v>
      </c>
      <c r="D49" s="189"/>
      <c r="E49" s="189"/>
      <c r="F49" s="227"/>
      <c r="G49" s="194" t="s">
        <v>2229</v>
      </c>
    </row>
    <row r="50" s="145" customFormat="1" ht="24" spans="1:7">
      <c r="A50" s="186" t="s">
        <v>2230</v>
      </c>
      <c r="B50" s="162" t="s">
        <v>2231</v>
      </c>
      <c r="C50" s="189"/>
      <c r="D50" s="189"/>
      <c r="E50" s="189"/>
      <c r="F50" s="227">
        <f>IF('数据-取费表'!B24=0,'数据-取费表'!N16,1)</f>
        <v>0.92</v>
      </c>
      <c r="G50" s="208" t="s">
        <v>2232</v>
      </c>
    </row>
    <row r="51" ht="16.5" customHeight="1" spans="1:7">
      <c r="A51" s="186" t="s">
        <v>2233</v>
      </c>
      <c r="B51" s="162" t="s">
        <v>2234</v>
      </c>
      <c r="C51" s="189">
        <f ca="1">ROUND(C49*F50,0)</f>
        <v>21699</v>
      </c>
      <c r="D51" s="189"/>
      <c r="E51" s="189"/>
      <c r="F51" s="227"/>
      <c r="G51" s="194" t="s">
        <v>2235</v>
      </c>
    </row>
    <row r="52" s="142" customFormat="1" ht="16.5" spans="1:7">
      <c r="A52" s="228" t="s">
        <v>2236</v>
      </c>
      <c r="B52" s="229"/>
      <c r="C52" s="230">
        <f ca="1">C31+C51</f>
        <v>45477</v>
      </c>
      <c r="D52" s="229"/>
      <c r="E52" s="229"/>
      <c r="F52" s="229"/>
      <c r="G52" s="231"/>
    </row>
    <row r="55" ht="15" spans="2:3">
      <c r="B55" s="232" t="s">
        <v>2237</v>
      </c>
      <c r="C55" s="233"/>
    </row>
    <row r="56" spans="2:3">
      <c r="B56" s="234" t="s">
        <v>2238</v>
      </c>
      <c r="C56" s="235">
        <f ca="1">ROUND(C51/C52,3)</f>
        <v>0.477</v>
      </c>
    </row>
    <row r="57" spans="2:3">
      <c r="B57" s="234" t="s">
        <v>2239</v>
      </c>
      <c r="C57" s="236">
        <f ca="1">1-C56</f>
        <v>0.523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333333333333"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333333333333"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8333333333333" style="16" customWidth="1"/>
    <col min="2" max="2" width="13.25" style="17" customWidth="1"/>
    <col min="3" max="3" width="15.6333333333333" style="17" customWidth="1"/>
    <col min="4" max="4" width="9.38333333333333" style="17" customWidth="1"/>
    <col min="5" max="5" width="13.5" style="17" customWidth="1"/>
    <col min="6" max="6" width="9" style="17"/>
    <col min="7" max="7" width="9.38333333333333" style="17" customWidth="1"/>
    <col min="8" max="8" width="12.25" style="17" customWidth="1"/>
    <col min="9" max="9" width="9" style="17"/>
    <col min="10" max="10" width="9.38333333333333" style="17" customWidth="1"/>
    <col min="11" max="11" width="4" style="16" customWidth="1"/>
    <col min="12" max="12" width="5.13333333333333" style="17" customWidth="1"/>
    <col min="13" max="13" width="13.75" style="17" customWidth="1"/>
    <col min="14" max="256" width="9" style="17"/>
    <col min="257" max="257" width="4.88333333333333" style="18" customWidth="1"/>
    <col min="258" max="258" width="13.25" style="18" customWidth="1"/>
    <col min="259" max="259" width="15.6333333333333" style="18" customWidth="1"/>
    <col min="260" max="260" width="9.38333333333333" style="18" customWidth="1"/>
    <col min="261" max="261" width="13.5" style="18" customWidth="1"/>
    <col min="262" max="262" width="9" style="18"/>
    <col min="263" max="263" width="9.38333333333333" style="18" customWidth="1"/>
    <col min="264" max="265" width="9" style="18"/>
    <col min="266" max="266" width="9.38333333333333" style="18" customWidth="1"/>
    <col min="267" max="267" width="4" style="18" customWidth="1"/>
    <col min="268" max="268" width="5.13333333333333" style="18" customWidth="1"/>
    <col min="269" max="269" width="13.75" style="18" customWidth="1"/>
    <col min="270" max="512" width="9" style="18"/>
    <col min="513" max="513" width="4.88333333333333" style="18" customWidth="1"/>
    <col min="514" max="514" width="13.25" style="18" customWidth="1"/>
    <col min="515" max="515" width="15.6333333333333" style="18" customWidth="1"/>
    <col min="516" max="516" width="9.38333333333333" style="18" customWidth="1"/>
    <col min="517" max="517" width="13.5" style="18" customWidth="1"/>
    <col min="518" max="518" width="9" style="18"/>
    <col min="519" max="519" width="9.38333333333333" style="18" customWidth="1"/>
    <col min="520" max="521" width="9" style="18"/>
    <col min="522" max="522" width="9.38333333333333" style="18" customWidth="1"/>
    <col min="523" max="523" width="4" style="18" customWidth="1"/>
    <col min="524" max="524" width="5.13333333333333" style="18" customWidth="1"/>
    <col min="525" max="525" width="13.75" style="18" customWidth="1"/>
    <col min="526" max="768" width="9" style="18"/>
    <col min="769" max="769" width="4.88333333333333" style="18" customWidth="1"/>
    <col min="770" max="770" width="13.25" style="18" customWidth="1"/>
    <col min="771" max="771" width="15.6333333333333" style="18" customWidth="1"/>
    <col min="772" max="772" width="9.38333333333333" style="18" customWidth="1"/>
    <col min="773" max="773" width="13.5" style="18" customWidth="1"/>
    <col min="774" max="774" width="9" style="18"/>
    <col min="775" max="775" width="9.38333333333333" style="18" customWidth="1"/>
    <col min="776" max="777" width="9" style="18"/>
    <col min="778" max="778" width="9.38333333333333" style="18" customWidth="1"/>
    <col min="779" max="779" width="4" style="18" customWidth="1"/>
    <col min="780" max="780" width="5.13333333333333" style="18" customWidth="1"/>
    <col min="781" max="781" width="13.75" style="18" customWidth="1"/>
    <col min="782" max="1024" width="9" style="18"/>
    <col min="1025" max="1025" width="4.88333333333333" style="18" customWidth="1"/>
    <col min="1026" max="1026" width="13.25" style="18" customWidth="1"/>
    <col min="1027" max="1027" width="15.6333333333333" style="18" customWidth="1"/>
    <col min="1028" max="1028" width="9.38333333333333" style="18" customWidth="1"/>
    <col min="1029" max="1029" width="13.5" style="18" customWidth="1"/>
    <col min="1030" max="1030" width="9" style="18"/>
    <col min="1031" max="1031" width="9.38333333333333" style="18" customWidth="1"/>
    <col min="1032" max="1033" width="9" style="18"/>
    <col min="1034" max="1034" width="9.38333333333333" style="18" customWidth="1"/>
    <col min="1035" max="1035" width="4" style="18" customWidth="1"/>
    <col min="1036" max="1036" width="5.13333333333333" style="18" customWidth="1"/>
    <col min="1037" max="1037" width="13.75" style="18" customWidth="1"/>
    <col min="1038" max="1280" width="9" style="18"/>
    <col min="1281" max="1281" width="4.88333333333333" style="18" customWidth="1"/>
    <col min="1282" max="1282" width="13.25" style="18" customWidth="1"/>
    <col min="1283" max="1283" width="15.6333333333333" style="18" customWidth="1"/>
    <col min="1284" max="1284" width="9.38333333333333" style="18" customWidth="1"/>
    <col min="1285" max="1285" width="13.5" style="18" customWidth="1"/>
    <col min="1286" max="1286" width="9" style="18"/>
    <col min="1287" max="1287" width="9.38333333333333" style="18" customWidth="1"/>
    <col min="1288" max="1289" width="9" style="18"/>
    <col min="1290" max="1290" width="9.38333333333333" style="18" customWidth="1"/>
    <col min="1291" max="1291" width="4" style="18" customWidth="1"/>
    <col min="1292" max="1292" width="5.13333333333333" style="18" customWidth="1"/>
    <col min="1293" max="1293" width="13.75" style="18" customWidth="1"/>
    <col min="1294" max="1536" width="9" style="18"/>
    <col min="1537" max="1537" width="4.88333333333333" style="18" customWidth="1"/>
    <col min="1538" max="1538" width="13.25" style="18" customWidth="1"/>
    <col min="1539" max="1539" width="15.6333333333333" style="18" customWidth="1"/>
    <col min="1540" max="1540" width="9.38333333333333" style="18" customWidth="1"/>
    <col min="1541" max="1541" width="13.5" style="18" customWidth="1"/>
    <col min="1542" max="1542" width="9" style="18"/>
    <col min="1543" max="1543" width="9.38333333333333" style="18" customWidth="1"/>
    <col min="1544" max="1545" width="9" style="18"/>
    <col min="1546" max="1546" width="9.38333333333333" style="18" customWidth="1"/>
    <col min="1547" max="1547" width="4" style="18" customWidth="1"/>
    <col min="1548" max="1548" width="5.13333333333333" style="18" customWidth="1"/>
    <col min="1549" max="1549" width="13.75" style="18" customWidth="1"/>
    <col min="1550" max="1792" width="9" style="18"/>
    <col min="1793" max="1793" width="4.88333333333333" style="18" customWidth="1"/>
    <col min="1794" max="1794" width="13.25" style="18" customWidth="1"/>
    <col min="1795" max="1795" width="15.6333333333333" style="18" customWidth="1"/>
    <col min="1796" max="1796" width="9.38333333333333" style="18" customWidth="1"/>
    <col min="1797" max="1797" width="13.5" style="18" customWidth="1"/>
    <col min="1798" max="1798" width="9" style="18"/>
    <col min="1799" max="1799" width="9.38333333333333" style="18" customWidth="1"/>
    <col min="1800" max="1801" width="9" style="18"/>
    <col min="1802" max="1802" width="9.38333333333333" style="18" customWidth="1"/>
    <col min="1803" max="1803" width="4" style="18" customWidth="1"/>
    <col min="1804" max="1804" width="5.13333333333333" style="18" customWidth="1"/>
    <col min="1805" max="1805" width="13.75" style="18" customWidth="1"/>
    <col min="1806" max="2048" width="9" style="18"/>
    <col min="2049" max="2049" width="4.88333333333333" style="18" customWidth="1"/>
    <col min="2050" max="2050" width="13.25" style="18" customWidth="1"/>
    <col min="2051" max="2051" width="15.6333333333333" style="18" customWidth="1"/>
    <col min="2052" max="2052" width="9.38333333333333" style="18" customWidth="1"/>
    <col min="2053" max="2053" width="13.5" style="18" customWidth="1"/>
    <col min="2054" max="2054" width="9" style="18"/>
    <col min="2055" max="2055" width="9.38333333333333" style="18" customWidth="1"/>
    <col min="2056" max="2057" width="9" style="18"/>
    <col min="2058" max="2058" width="9.38333333333333" style="18" customWidth="1"/>
    <col min="2059" max="2059" width="4" style="18" customWidth="1"/>
    <col min="2060" max="2060" width="5.13333333333333" style="18" customWidth="1"/>
    <col min="2061" max="2061" width="13.75" style="18" customWidth="1"/>
    <col min="2062" max="2304" width="9" style="18"/>
    <col min="2305" max="2305" width="4.88333333333333" style="18" customWidth="1"/>
    <col min="2306" max="2306" width="13.25" style="18" customWidth="1"/>
    <col min="2307" max="2307" width="15.6333333333333" style="18" customWidth="1"/>
    <col min="2308" max="2308" width="9.38333333333333" style="18" customWidth="1"/>
    <col min="2309" max="2309" width="13.5" style="18" customWidth="1"/>
    <col min="2310" max="2310" width="9" style="18"/>
    <col min="2311" max="2311" width="9.38333333333333" style="18" customWidth="1"/>
    <col min="2312" max="2313" width="9" style="18"/>
    <col min="2314" max="2314" width="9.38333333333333" style="18" customWidth="1"/>
    <col min="2315" max="2315" width="4" style="18" customWidth="1"/>
    <col min="2316" max="2316" width="5.13333333333333" style="18" customWidth="1"/>
    <col min="2317" max="2317" width="13.75" style="18" customWidth="1"/>
    <col min="2318" max="2560" width="9" style="18"/>
    <col min="2561" max="2561" width="4.88333333333333" style="18" customWidth="1"/>
    <col min="2562" max="2562" width="13.25" style="18" customWidth="1"/>
    <col min="2563" max="2563" width="15.6333333333333" style="18" customWidth="1"/>
    <col min="2564" max="2564" width="9.38333333333333" style="18" customWidth="1"/>
    <col min="2565" max="2565" width="13.5" style="18" customWidth="1"/>
    <col min="2566" max="2566" width="9" style="18"/>
    <col min="2567" max="2567" width="9.38333333333333" style="18" customWidth="1"/>
    <col min="2568" max="2569" width="9" style="18"/>
    <col min="2570" max="2570" width="9.38333333333333" style="18" customWidth="1"/>
    <col min="2571" max="2571" width="4" style="18" customWidth="1"/>
    <col min="2572" max="2572" width="5.13333333333333" style="18" customWidth="1"/>
    <col min="2573" max="2573" width="13.75" style="18" customWidth="1"/>
    <col min="2574" max="2816" width="9" style="18"/>
    <col min="2817" max="2817" width="4.88333333333333" style="18" customWidth="1"/>
    <col min="2818" max="2818" width="13.25" style="18" customWidth="1"/>
    <col min="2819" max="2819" width="15.6333333333333" style="18" customWidth="1"/>
    <col min="2820" max="2820" width="9.38333333333333" style="18" customWidth="1"/>
    <col min="2821" max="2821" width="13.5" style="18" customWidth="1"/>
    <col min="2822" max="2822" width="9" style="18"/>
    <col min="2823" max="2823" width="9.38333333333333" style="18" customWidth="1"/>
    <col min="2824" max="2825" width="9" style="18"/>
    <col min="2826" max="2826" width="9.38333333333333" style="18" customWidth="1"/>
    <col min="2827" max="2827" width="4" style="18" customWidth="1"/>
    <col min="2828" max="2828" width="5.13333333333333" style="18" customWidth="1"/>
    <col min="2829" max="2829" width="13.75" style="18" customWidth="1"/>
    <col min="2830" max="3072" width="9" style="18"/>
    <col min="3073" max="3073" width="4.88333333333333" style="18" customWidth="1"/>
    <col min="3074" max="3074" width="13.25" style="18" customWidth="1"/>
    <col min="3075" max="3075" width="15.6333333333333" style="18" customWidth="1"/>
    <col min="3076" max="3076" width="9.38333333333333" style="18" customWidth="1"/>
    <col min="3077" max="3077" width="13.5" style="18" customWidth="1"/>
    <col min="3078" max="3078" width="9" style="18"/>
    <col min="3079" max="3079" width="9.38333333333333" style="18" customWidth="1"/>
    <col min="3080" max="3081" width="9" style="18"/>
    <col min="3082" max="3082" width="9.38333333333333" style="18" customWidth="1"/>
    <col min="3083" max="3083" width="4" style="18" customWidth="1"/>
    <col min="3084" max="3084" width="5.13333333333333" style="18" customWidth="1"/>
    <col min="3085" max="3085" width="13.75" style="18" customWidth="1"/>
    <col min="3086" max="3328" width="9" style="18"/>
    <col min="3329" max="3329" width="4.88333333333333" style="18" customWidth="1"/>
    <col min="3330" max="3330" width="13.25" style="18" customWidth="1"/>
    <col min="3331" max="3331" width="15.6333333333333" style="18" customWidth="1"/>
    <col min="3332" max="3332" width="9.38333333333333" style="18" customWidth="1"/>
    <col min="3333" max="3333" width="13.5" style="18" customWidth="1"/>
    <col min="3334" max="3334" width="9" style="18"/>
    <col min="3335" max="3335" width="9.38333333333333" style="18" customWidth="1"/>
    <col min="3336" max="3337" width="9" style="18"/>
    <col min="3338" max="3338" width="9.38333333333333" style="18" customWidth="1"/>
    <col min="3339" max="3339" width="4" style="18" customWidth="1"/>
    <col min="3340" max="3340" width="5.13333333333333" style="18" customWidth="1"/>
    <col min="3341" max="3341" width="13.75" style="18" customWidth="1"/>
    <col min="3342" max="3584" width="9" style="18"/>
    <col min="3585" max="3585" width="4.88333333333333" style="18" customWidth="1"/>
    <col min="3586" max="3586" width="13.25" style="18" customWidth="1"/>
    <col min="3587" max="3587" width="15.6333333333333" style="18" customWidth="1"/>
    <col min="3588" max="3588" width="9.38333333333333" style="18" customWidth="1"/>
    <col min="3589" max="3589" width="13.5" style="18" customWidth="1"/>
    <col min="3590" max="3590" width="9" style="18"/>
    <col min="3591" max="3591" width="9.38333333333333" style="18" customWidth="1"/>
    <col min="3592" max="3593" width="9" style="18"/>
    <col min="3594" max="3594" width="9.38333333333333" style="18" customWidth="1"/>
    <col min="3595" max="3595" width="4" style="18" customWidth="1"/>
    <col min="3596" max="3596" width="5.13333333333333" style="18" customWidth="1"/>
    <col min="3597" max="3597" width="13.75" style="18" customWidth="1"/>
    <col min="3598" max="3840" width="9" style="18"/>
    <col min="3841" max="3841" width="4.88333333333333" style="18" customWidth="1"/>
    <col min="3842" max="3842" width="13.25" style="18" customWidth="1"/>
    <col min="3843" max="3843" width="15.6333333333333" style="18" customWidth="1"/>
    <col min="3844" max="3844" width="9.38333333333333" style="18" customWidth="1"/>
    <col min="3845" max="3845" width="13.5" style="18" customWidth="1"/>
    <col min="3846" max="3846" width="9" style="18"/>
    <col min="3847" max="3847" width="9.38333333333333" style="18" customWidth="1"/>
    <col min="3848" max="3849" width="9" style="18"/>
    <col min="3850" max="3850" width="9.38333333333333" style="18" customWidth="1"/>
    <col min="3851" max="3851" width="4" style="18" customWidth="1"/>
    <col min="3852" max="3852" width="5.13333333333333" style="18" customWidth="1"/>
    <col min="3853" max="3853" width="13.75" style="18" customWidth="1"/>
    <col min="3854" max="4096" width="9" style="18"/>
    <col min="4097" max="4097" width="4.88333333333333" style="18" customWidth="1"/>
    <col min="4098" max="4098" width="13.25" style="18" customWidth="1"/>
    <col min="4099" max="4099" width="15.6333333333333" style="18" customWidth="1"/>
    <col min="4100" max="4100" width="9.38333333333333" style="18" customWidth="1"/>
    <col min="4101" max="4101" width="13.5" style="18" customWidth="1"/>
    <col min="4102" max="4102" width="9" style="18"/>
    <col min="4103" max="4103" width="9.38333333333333" style="18" customWidth="1"/>
    <col min="4104" max="4105" width="9" style="18"/>
    <col min="4106" max="4106" width="9.38333333333333" style="18" customWidth="1"/>
    <col min="4107" max="4107" width="4" style="18" customWidth="1"/>
    <col min="4108" max="4108" width="5.13333333333333" style="18" customWidth="1"/>
    <col min="4109" max="4109" width="13.75" style="18" customWidth="1"/>
    <col min="4110" max="4352" width="9" style="18"/>
    <col min="4353" max="4353" width="4.88333333333333" style="18" customWidth="1"/>
    <col min="4354" max="4354" width="13.25" style="18" customWidth="1"/>
    <col min="4355" max="4355" width="15.6333333333333" style="18" customWidth="1"/>
    <col min="4356" max="4356" width="9.38333333333333" style="18" customWidth="1"/>
    <col min="4357" max="4357" width="13.5" style="18" customWidth="1"/>
    <col min="4358" max="4358" width="9" style="18"/>
    <col min="4359" max="4359" width="9.38333333333333" style="18" customWidth="1"/>
    <col min="4360" max="4361" width="9" style="18"/>
    <col min="4362" max="4362" width="9.38333333333333" style="18" customWidth="1"/>
    <col min="4363" max="4363" width="4" style="18" customWidth="1"/>
    <col min="4364" max="4364" width="5.13333333333333" style="18" customWidth="1"/>
    <col min="4365" max="4365" width="13.75" style="18" customWidth="1"/>
    <col min="4366" max="4608" width="9" style="18"/>
    <col min="4609" max="4609" width="4.88333333333333" style="18" customWidth="1"/>
    <col min="4610" max="4610" width="13.25" style="18" customWidth="1"/>
    <col min="4611" max="4611" width="15.6333333333333" style="18" customWidth="1"/>
    <col min="4612" max="4612" width="9.38333333333333" style="18" customWidth="1"/>
    <col min="4613" max="4613" width="13.5" style="18" customWidth="1"/>
    <col min="4614" max="4614" width="9" style="18"/>
    <col min="4615" max="4615" width="9.38333333333333" style="18" customWidth="1"/>
    <col min="4616" max="4617" width="9" style="18"/>
    <col min="4618" max="4618" width="9.38333333333333" style="18" customWidth="1"/>
    <col min="4619" max="4619" width="4" style="18" customWidth="1"/>
    <col min="4620" max="4620" width="5.13333333333333" style="18" customWidth="1"/>
    <col min="4621" max="4621" width="13.75" style="18" customWidth="1"/>
    <col min="4622" max="4864" width="9" style="18"/>
    <col min="4865" max="4865" width="4.88333333333333" style="18" customWidth="1"/>
    <col min="4866" max="4866" width="13.25" style="18" customWidth="1"/>
    <col min="4867" max="4867" width="15.6333333333333" style="18" customWidth="1"/>
    <col min="4868" max="4868" width="9.38333333333333" style="18" customWidth="1"/>
    <col min="4869" max="4869" width="13.5" style="18" customWidth="1"/>
    <col min="4870" max="4870" width="9" style="18"/>
    <col min="4871" max="4871" width="9.38333333333333" style="18" customWidth="1"/>
    <col min="4872" max="4873" width="9" style="18"/>
    <col min="4874" max="4874" width="9.38333333333333" style="18" customWidth="1"/>
    <col min="4875" max="4875" width="4" style="18" customWidth="1"/>
    <col min="4876" max="4876" width="5.13333333333333" style="18" customWidth="1"/>
    <col min="4877" max="4877" width="13.75" style="18" customWidth="1"/>
    <col min="4878" max="5120" width="9" style="18"/>
    <col min="5121" max="5121" width="4.88333333333333" style="18" customWidth="1"/>
    <col min="5122" max="5122" width="13.25" style="18" customWidth="1"/>
    <col min="5123" max="5123" width="15.6333333333333" style="18" customWidth="1"/>
    <col min="5124" max="5124" width="9.38333333333333" style="18" customWidth="1"/>
    <col min="5125" max="5125" width="13.5" style="18" customWidth="1"/>
    <col min="5126" max="5126" width="9" style="18"/>
    <col min="5127" max="5127" width="9.38333333333333" style="18" customWidth="1"/>
    <col min="5128" max="5129" width="9" style="18"/>
    <col min="5130" max="5130" width="9.38333333333333" style="18" customWidth="1"/>
    <col min="5131" max="5131" width="4" style="18" customWidth="1"/>
    <col min="5132" max="5132" width="5.13333333333333" style="18" customWidth="1"/>
    <col min="5133" max="5133" width="13.75" style="18" customWidth="1"/>
    <col min="5134" max="5376" width="9" style="18"/>
    <col min="5377" max="5377" width="4.88333333333333" style="18" customWidth="1"/>
    <col min="5378" max="5378" width="13.25" style="18" customWidth="1"/>
    <col min="5379" max="5379" width="15.6333333333333" style="18" customWidth="1"/>
    <col min="5380" max="5380" width="9.38333333333333" style="18" customWidth="1"/>
    <col min="5381" max="5381" width="13.5" style="18" customWidth="1"/>
    <col min="5382" max="5382" width="9" style="18"/>
    <col min="5383" max="5383" width="9.38333333333333" style="18" customWidth="1"/>
    <col min="5384" max="5385" width="9" style="18"/>
    <col min="5386" max="5386" width="9.38333333333333" style="18" customWidth="1"/>
    <col min="5387" max="5387" width="4" style="18" customWidth="1"/>
    <col min="5388" max="5388" width="5.13333333333333" style="18" customWidth="1"/>
    <col min="5389" max="5389" width="13.75" style="18" customWidth="1"/>
    <col min="5390" max="5632" width="9" style="18"/>
    <col min="5633" max="5633" width="4.88333333333333" style="18" customWidth="1"/>
    <col min="5634" max="5634" width="13.25" style="18" customWidth="1"/>
    <col min="5635" max="5635" width="15.6333333333333" style="18" customWidth="1"/>
    <col min="5636" max="5636" width="9.38333333333333" style="18" customWidth="1"/>
    <col min="5637" max="5637" width="13.5" style="18" customWidth="1"/>
    <col min="5638" max="5638" width="9" style="18"/>
    <col min="5639" max="5639" width="9.38333333333333" style="18" customWidth="1"/>
    <col min="5640" max="5641" width="9" style="18"/>
    <col min="5642" max="5642" width="9.38333333333333" style="18" customWidth="1"/>
    <col min="5643" max="5643" width="4" style="18" customWidth="1"/>
    <col min="5644" max="5644" width="5.13333333333333" style="18" customWidth="1"/>
    <col min="5645" max="5645" width="13.75" style="18" customWidth="1"/>
    <col min="5646" max="5888" width="9" style="18"/>
    <col min="5889" max="5889" width="4.88333333333333" style="18" customWidth="1"/>
    <col min="5890" max="5890" width="13.25" style="18" customWidth="1"/>
    <col min="5891" max="5891" width="15.6333333333333" style="18" customWidth="1"/>
    <col min="5892" max="5892" width="9.38333333333333" style="18" customWidth="1"/>
    <col min="5893" max="5893" width="13.5" style="18" customWidth="1"/>
    <col min="5894" max="5894" width="9" style="18"/>
    <col min="5895" max="5895" width="9.38333333333333" style="18" customWidth="1"/>
    <col min="5896" max="5897" width="9" style="18"/>
    <col min="5898" max="5898" width="9.38333333333333" style="18" customWidth="1"/>
    <col min="5899" max="5899" width="4" style="18" customWidth="1"/>
    <col min="5900" max="5900" width="5.13333333333333" style="18" customWidth="1"/>
    <col min="5901" max="5901" width="13.75" style="18" customWidth="1"/>
    <col min="5902" max="6144" width="9" style="18"/>
    <col min="6145" max="6145" width="4.88333333333333" style="18" customWidth="1"/>
    <col min="6146" max="6146" width="13.25" style="18" customWidth="1"/>
    <col min="6147" max="6147" width="15.6333333333333" style="18" customWidth="1"/>
    <col min="6148" max="6148" width="9.38333333333333" style="18" customWidth="1"/>
    <col min="6149" max="6149" width="13.5" style="18" customWidth="1"/>
    <col min="6150" max="6150" width="9" style="18"/>
    <col min="6151" max="6151" width="9.38333333333333" style="18" customWidth="1"/>
    <col min="6152" max="6153" width="9" style="18"/>
    <col min="6154" max="6154" width="9.38333333333333" style="18" customWidth="1"/>
    <col min="6155" max="6155" width="4" style="18" customWidth="1"/>
    <col min="6156" max="6156" width="5.13333333333333" style="18" customWidth="1"/>
    <col min="6157" max="6157" width="13.75" style="18" customWidth="1"/>
    <col min="6158" max="6400" width="9" style="18"/>
    <col min="6401" max="6401" width="4.88333333333333" style="18" customWidth="1"/>
    <col min="6402" max="6402" width="13.25" style="18" customWidth="1"/>
    <col min="6403" max="6403" width="15.6333333333333" style="18" customWidth="1"/>
    <col min="6404" max="6404" width="9.38333333333333" style="18" customWidth="1"/>
    <col min="6405" max="6405" width="13.5" style="18" customWidth="1"/>
    <col min="6406" max="6406" width="9" style="18"/>
    <col min="6407" max="6407" width="9.38333333333333" style="18" customWidth="1"/>
    <col min="6408" max="6409" width="9" style="18"/>
    <col min="6410" max="6410" width="9.38333333333333" style="18" customWidth="1"/>
    <col min="6411" max="6411" width="4" style="18" customWidth="1"/>
    <col min="6412" max="6412" width="5.13333333333333" style="18" customWidth="1"/>
    <col min="6413" max="6413" width="13.75" style="18" customWidth="1"/>
    <col min="6414" max="6656" width="9" style="18"/>
    <col min="6657" max="6657" width="4.88333333333333" style="18" customWidth="1"/>
    <col min="6658" max="6658" width="13.25" style="18" customWidth="1"/>
    <col min="6659" max="6659" width="15.6333333333333" style="18" customWidth="1"/>
    <col min="6660" max="6660" width="9.38333333333333" style="18" customWidth="1"/>
    <col min="6661" max="6661" width="13.5" style="18" customWidth="1"/>
    <col min="6662" max="6662" width="9" style="18"/>
    <col min="6663" max="6663" width="9.38333333333333" style="18" customWidth="1"/>
    <col min="6664" max="6665" width="9" style="18"/>
    <col min="6666" max="6666" width="9.38333333333333" style="18" customWidth="1"/>
    <col min="6667" max="6667" width="4" style="18" customWidth="1"/>
    <col min="6668" max="6668" width="5.13333333333333" style="18" customWidth="1"/>
    <col min="6669" max="6669" width="13.75" style="18" customWidth="1"/>
    <col min="6670" max="6912" width="9" style="18"/>
    <col min="6913" max="6913" width="4.88333333333333" style="18" customWidth="1"/>
    <col min="6914" max="6914" width="13.25" style="18" customWidth="1"/>
    <col min="6915" max="6915" width="15.6333333333333" style="18" customWidth="1"/>
    <col min="6916" max="6916" width="9.38333333333333" style="18" customWidth="1"/>
    <col min="6917" max="6917" width="13.5" style="18" customWidth="1"/>
    <col min="6918" max="6918" width="9" style="18"/>
    <col min="6919" max="6919" width="9.38333333333333" style="18" customWidth="1"/>
    <col min="6920" max="6921" width="9" style="18"/>
    <col min="6922" max="6922" width="9.38333333333333" style="18" customWidth="1"/>
    <col min="6923" max="6923" width="4" style="18" customWidth="1"/>
    <col min="6924" max="6924" width="5.13333333333333" style="18" customWidth="1"/>
    <col min="6925" max="6925" width="13.75" style="18" customWidth="1"/>
    <col min="6926" max="7168" width="9" style="18"/>
    <col min="7169" max="7169" width="4.88333333333333" style="18" customWidth="1"/>
    <col min="7170" max="7170" width="13.25" style="18" customWidth="1"/>
    <col min="7171" max="7171" width="15.6333333333333" style="18" customWidth="1"/>
    <col min="7172" max="7172" width="9.38333333333333" style="18" customWidth="1"/>
    <col min="7173" max="7173" width="13.5" style="18" customWidth="1"/>
    <col min="7174" max="7174" width="9" style="18"/>
    <col min="7175" max="7175" width="9.38333333333333" style="18" customWidth="1"/>
    <col min="7176" max="7177" width="9" style="18"/>
    <col min="7178" max="7178" width="9.38333333333333" style="18" customWidth="1"/>
    <col min="7179" max="7179" width="4" style="18" customWidth="1"/>
    <col min="7180" max="7180" width="5.13333333333333" style="18" customWidth="1"/>
    <col min="7181" max="7181" width="13.75" style="18" customWidth="1"/>
    <col min="7182" max="7424" width="9" style="18"/>
    <col min="7425" max="7425" width="4.88333333333333" style="18" customWidth="1"/>
    <col min="7426" max="7426" width="13.25" style="18" customWidth="1"/>
    <col min="7427" max="7427" width="15.6333333333333" style="18" customWidth="1"/>
    <col min="7428" max="7428" width="9.38333333333333" style="18" customWidth="1"/>
    <col min="7429" max="7429" width="13.5" style="18" customWidth="1"/>
    <col min="7430" max="7430" width="9" style="18"/>
    <col min="7431" max="7431" width="9.38333333333333" style="18" customWidth="1"/>
    <col min="7432" max="7433" width="9" style="18"/>
    <col min="7434" max="7434" width="9.38333333333333" style="18" customWidth="1"/>
    <col min="7435" max="7435" width="4" style="18" customWidth="1"/>
    <col min="7436" max="7436" width="5.13333333333333" style="18" customWidth="1"/>
    <col min="7437" max="7437" width="13.75" style="18" customWidth="1"/>
    <col min="7438" max="7680" width="9" style="18"/>
    <col min="7681" max="7681" width="4.88333333333333" style="18" customWidth="1"/>
    <col min="7682" max="7682" width="13.25" style="18" customWidth="1"/>
    <col min="7683" max="7683" width="15.6333333333333" style="18" customWidth="1"/>
    <col min="7684" max="7684" width="9.38333333333333" style="18" customWidth="1"/>
    <col min="7685" max="7685" width="13.5" style="18" customWidth="1"/>
    <col min="7686" max="7686" width="9" style="18"/>
    <col min="7687" max="7687" width="9.38333333333333" style="18" customWidth="1"/>
    <col min="7688" max="7689" width="9" style="18"/>
    <col min="7690" max="7690" width="9.38333333333333" style="18" customWidth="1"/>
    <col min="7691" max="7691" width="4" style="18" customWidth="1"/>
    <col min="7692" max="7692" width="5.13333333333333" style="18" customWidth="1"/>
    <col min="7693" max="7693" width="13.75" style="18" customWidth="1"/>
    <col min="7694" max="7936" width="9" style="18"/>
    <col min="7937" max="7937" width="4.88333333333333" style="18" customWidth="1"/>
    <col min="7938" max="7938" width="13.25" style="18" customWidth="1"/>
    <col min="7939" max="7939" width="15.6333333333333" style="18" customWidth="1"/>
    <col min="7940" max="7940" width="9.38333333333333" style="18" customWidth="1"/>
    <col min="7941" max="7941" width="13.5" style="18" customWidth="1"/>
    <col min="7942" max="7942" width="9" style="18"/>
    <col min="7943" max="7943" width="9.38333333333333" style="18" customWidth="1"/>
    <col min="7944" max="7945" width="9" style="18"/>
    <col min="7946" max="7946" width="9.38333333333333" style="18" customWidth="1"/>
    <col min="7947" max="7947" width="4" style="18" customWidth="1"/>
    <col min="7948" max="7948" width="5.13333333333333" style="18" customWidth="1"/>
    <col min="7949" max="7949" width="13.75" style="18" customWidth="1"/>
    <col min="7950" max="8192" width="9" style="18"/>
    <col min="8193" max="8193" width="4.88333333333333" style="18" customWidth="1"/>
    <col min="8194" max="8194" width="13.25" style="18" customWidth="1"/>
    <col min="8195" max="8195" width="15.6333333333333" style="18" customWidth="1"/>
    <col min="8196" max="8196" width="9.38333333333333" style="18" customWidth="1"/>
    <col min="8197" max="8197" width="13.5" style="18" customWidth="1"/>
    <col min="8198" max="8198" width="9" style="18"/>
    <col min="8199" max="8199" width="9.38333333333333" style="18" customWidth="1"/>
    <col min="8200" max="8201" width="9" style="18"/>
    <col min="8202" max="8202" width="9.38333333333333" style="18" customWidth="1"/>
    <col min="8203" max="8203" width="4" style="18" customWidth="1"/>
    <col min="8204" max="8204" width="5.13333333333333" style="18" customWidth="1"/>
    <col min="8205" max="8205" width="13.75" style="18" customWidth="1"/>
    <col min="8206" max="8448" width="9" style="18"/>
    <col min="8449" max="8449" width="4.88333333333333" style="18" customWidth="1"/>
    <col min="8450" max="8450" width="13.25" style="18" customWidth="1"/>
    <col min="8451" max="8451" width="15.6333333333333" style="18" customWidth="1"/>
    <col min="8452" max="8452" width="9.38333333333333" style="18" customWidth="1"/>
    <col min="8453" max="8453" width="13.5" style="18" customWidth="1"/>
    <col min="8454" max="8454" width="9" style="18"/>
    <col min="8455" max="8455" width="9.38333333333333" style="18" customWidth="1"/>
    <col min="8456" max="8457" width="9" style="18"/>
    <col min="8458" max="8458" width="9.38333333333333" style="18" customWidth="1"/>
    <col min="8459" max="8459" width="4" style="18" customWidth="1"/>
    <col min="8460" max="8460" width="5.13333333333333" style="18" customWidth="1"/>
    <col min="8461" max="8461" width="13.75" style="18" customWidth="1"/>
    <col min="8462" max="8704" width="9" style="18"/>
    <col min="8705" max="8705" width="4.88333333333333" style="18" customWidth="1"/>
    <col min="8706" max="8706" width="13.25" style="18" customWidth="1"/>
    <col min="8707" max="8707" width="15.6333333333333" style="18" customWidth="1"/>
    <col min="8708" max="8708" width="9.38333333333333" style="18" customWidth="1"/>
    <col min="8709" max="8709" width="13.5" style="18" customWidth="1"/>
    <col min="8710" max="8710" width="9" style="18"/>
    <col min="8711" max="8711" width="9.38333333333333" style="18" customWidth="1"/>
    <col min="8712" max="8713" width="9" style="18"/>
    <col min="8714" max="8714" width="9.38333333333333" style="18" customWidth="1"/>
    <col min="8715" max="8715" width="4" style="18" customWidth="1"/>
    <col min="8716" max="8716" width="5.13333333333333" style="18" customWidth="1"/>
    <col min="8717" max="8717" width="13.75" style="18" customWidth="1"/>
    <col min="8718" max="8960" width="9" style="18"/>
    <col min="8961" max="8961" width="4.88333333333333" style="18" customWidth="1"/>
    <col min="8962" max="8962" width="13.25" style="18" customWidth="1"/>
    <col min="8963" max="8963" width="15.6333333333333" style="18" customWidth="1"/>
    <col min="8964" max="8964" width="9.38333333333333" style="18" customWidth="1"/>
    <col min="8965" max="8965" width="13.5" style="18" customWidth="1"/>
    <col min="8966" max="8966" width="9" style="18"/>
    <col min="8967" max="8967" width="9.38333333333333" style="18" customWidth="1"/>
    <col min="8968" max="8969" width="9" style="18"/>
    <col min="8970" max="8970" width="9.38333333333333" style="18" customWidth="1"/>
    <col min="8971" max="8971" width="4" style="18" customWidth="1"/>
    <col min="8972" max="8972" width="5.13333333333333" style="18" customWidth="1"/>
    <col min="8973" max="8973" width="13.75" style="18" customWidth="1"/>
    <col min="8974" max="9216" width="9" style="18"/>
    <col min="9217" max="9217" width="4.88333333333333" style="18" customWidth="1"/>
    <col min="9218" max="9218" width="13.25" style="18" customWidth="1"/>
    <col min="9219" max="9219" width="15.6333333333333" style="18" customWidth="1"/>
    <col min="9220" max="9220" width="9.38333333333333" style="18" customWidth="1"/>
    <col min="9221" max="9221" width="13.5" style="18" customWidth="1"/>
    <col min="9222" max="9222" width="9" style="18"/>
    <col min="9223" max="9223" width="9.38333333333333" style="18" customWidth="1"/>
    <col min="9224" max="9225" width="9" style="18"/>
    <col min="9226" max="9226" width="9.38333333333333" style="18" customWidth="1"/>
    <col min="9227" max="9227" width="4" style="18" customWidth="1"/>
    <col min="9228" max="9228" width="5.13333333333333" style="18" customWidth="1"/>
    <col min="9229" max="9229" width="13.75" style="18" customWidth="1"/>
    <col min="9230" max="9472" width="9" style="18"/>
    <col min="9473" max="9473" width="4.88333333333333" style="18" customWidth="1"/>
    <col min="9474" max="9474" width="13.25" style="18" customWidth="1"/>
    <col min="9475" max="9475" width="15.6333333333333" style="18" customWidth="1"/>
    <col min="9476" max="9476" width="9.38333333333333" style="18" customWidth="1"/>
    <col min="9477" max="9477" width="13.5" style="18" customWidth="1"/>
    <col min="9478" max="9478" width="9" style="18"/>
    <col min="9479" max="9479" width="9.38333333333333" style="18" customWidth="1"/>
    <col min="9480" max="9481" width="9" style="18"/>
    <col min="9482" max="9482" width="9.38333333333333" style="18" customWidth="1"/>
    <col min="9483" max="9483" width="4" style="18" customWidth="1"/>
    <col min="9484" max="9484" width="5.13333333333333" style="18" customWidth="1"/>
    <col min="9485" max="9485" width="13.75" style="18" customWidth="1"/>
    <col min="9486" max="9728" width="9" style="18"/>
    <col min="9729" max="9729" width="4.88333333333333" style="18" customWidth="1"/>
    <col min="9730" max="9730" width="13.25" style="18" customWidth="1"/>
    <col min="9731" max="9731" width="15.6333333333333" style="18" customWidth="1"/>
    <col min="9732" max="9732" width="9.38333333333333" style="18" customWidth="1"/>
    <col min="9733" max="9733" width="13.5" style="18" customWidth="1"/>
    <col min="9734" max="9734" width="9" style="18"/>
    <col min="9735" max="9735" width="9.38333333333333" style="18" customWidth="1"/>
    <col min="9736" max="9737" width="9" style="18"/>
    <col min="9738" max="9738" width="9.38333333333333" style="18" customWidth="1"/>
    <col min="9739" max="9739" width="4" style="18" customWidth="1"/>
    <col min="9740" max="9740" width="5.13333333333333" style="18" customWidth="1"/>
    <col min="9741" max="9741" width="13.75" style="18" customWidth="1"/>
    <col min="9742" max="9984" width="9" style="18"/>
    <col min="9985" max="9985" width="4.88333333333333" style="18" customWidth="1"/>
    <col min="9986" max="9986" width="13.25" style="18" customWidth="1"/>
    <col min="9987" max="9987" width="15.6333333333333" style="18" customWidth="1"/>
    <col min="9988" max="9988" width="9.38333333333333" style="18" customWidth="1"/>
    <col min="9989" max="9989" width="13.5" style="18" customWidth="1"/>
    <col min="9990" max="9990" width="9" style="18"/>
    <col min="9991" max="9991" width="9.38333333333333" style="18" customWidth="1"/>
    <col min="9992" max="9993" width="9" style="18"/>
    <col min="9994" max="9994" width="9.38333333333333" style="18" customWidth="1"/>
    <col min="9995" max="9995" width="4" style="18" customWidth="1"/>
    <col min="9996" max="9996" width="5.13333333333333" style="18" customWidth="1"/>
    <col min="9997" max="9997" width="13.75" style="18" customWidth="1"/>
    <col min="9998" max="10240" width="9" style="18"/>
    <col min="10241" max="10241" width="4.88333333333333" style="18" customWidth="1"/>
    <col min="10242" max="10242" width="13.25" style="18" customWidth="1"/>
    <col min="10243" max="10243" width="15.6333333333333" style="18" customWidth="1"/>
    <col min="10244" max="10244" width="9.38333333333333" style="18" customWidth="1"/>
    <col min="10245" max="10245" width="13.5" style="18" customWidth="1"/>
    <col min="10246" max="10246" width="9" style="18"/>
    <col min="10247" max="10247" width="9.38333333333333" style="18" customWidth="1"/>
    <col min="10248" max="10249" width="9" style="18"/>
    <col min="10250" max="10250" width="9.38333333333333" style="18" customWidth="1"/>
    <col min="10251" max="10251" width="4" style="18" customWidth="1"/>
    <col min="10252" max="10252" width="5.13333333333333" style="18" customWidth="1"/>
    <col min="10253" max="10253" width="13.75" style="18" customWidth="1"/>
    <col min="10254" max="10496" width="9" style="18"/>
    <col min="10497" max="10497" width="4.88333333333333" style="18" customWidth="1"/>
    <col min="10498" max="10498" width="13.25" style="18" customWidth="1"/>
    <col min="10499" max="10499" width="15.6333333333333" style="18" customWidth="1"/>
    <col min="10500" max="10500" width="9.38333333333333" style="18" customWidth="1"/>
    <col min="10501" max="10501" width="13.5" style="18" customWidth="1"/>
    <col min="10502" max="10502" width="9" style="18"/>
    <col min="10503" max="10503" width="9.38333333333333" style="18" customWidth="1"/>
    <col min="10504" max="10505" width="9" style="18"/>
    <col min="10506" max="10506" width="9.38333333333333" style="18" customWidth="1"/>
    <col min="10507" max="10507" width="4" style="18" customWidth="1"/>
    <col min="10508" max="10508" width="5.13333333333333" style="18" customWidth="1"/>
    <col min="10509" max="10509" width="13.75" style="18" customWidth="1"/>
    <col min="10510" max="10752" width="9" style="18"/>
    <col min="10753" max="10753" width="4.88333333333333" style="18" customWidth="1"/>
    <col min="10754" max="10754" width="13.25" style="18" customWidth="1"/>
    <col min="10755" max="10755" width="15.6333333333333" style="18" customWidth="1"/>
    <col min="10756" max="10756" width="9.38333333333333" style="18" customWidth="1"/>
    <col min="10757" max="10757" width="13.5" style="18" customWidth="1"/>
    <col min="10758" max="10758" width="9" style="18"/>
    <col min="10759" max="10759" width="9.38333333333333" style="18" customWidth="1"/>
    <col min="10760" max="10761" width="9" style="18"/>
    <col min="10762" max="10762" width="9.38333333333333" style="18" customWidth="1"/>
    <col min="10763" max="10763" width="4" style="18" customWidth="1"/>
    <col min="10764" max="10764" width="5.13333333333333" style="18" customWidth="1"/>
    <col min="10765" max="10765" width="13.75" style="18" customWidth="1"/>
    <col min="10766" max="11008" width="9" style="18"/>
    <col min="11009" max="11009" width="4.88333333333333" style="18" customWidth="1"/>
    <col min="11010" max="11010" width="13.25" style="18" customWidth="1"/>
    <col min="11011" max="11011" width="15.6333333333333" style="18" customWidth="1"/>
    <col min="11012" max="11012" width="9.38333333333333" style="18" customWidth="1"/>
    <col min="11013" max="11013" width="13.5" style="18" customWidth="1"/>
    <col min="11014" max="11014" width="9" style="18"/>
    <col min="11015" max="11015" width="9.38333333333333" style="18" customWidth="1"/>
    <col min="11016" max="11017" width="9" style="18"/>
    <col min="11018" max="11018" width="9.38333333333333" style="18" customWidth="1"/>
    <col min="11019" max="11019" width="4" style="18" customWidth="1"/>
    <col min="11020" max="11020" width="5.13333333333333" style="18" customWidth="1"/>
    <col min="11021" max="11021" width="13.75" style="18" customWidth="1"/>
    <col min="11022" max="11264" width="9" style="18"/>
    <col min="11265" max="11265" width="4.88333333333333" style="18" customWidth="1"/>
    <col min="11266" max="11266" width="13.25" style="18" customWidth="1"/>
    <col min="11267" max="11267" width="15.6333333333333" style="18" customWidth="1"/>
    <col min="11268" max="11268" width="9.38333333333333" style="18" customWidth="1"/>
    <col min="11269" max="11269" width="13.5" style="18" customWidth="1"/>
    <col min="11270" max="11270" width="9" style="18"/>
    <col min="11271" max="11271" width="9.38333333333333" style="18" customWidth="1"/>
    <col min="11272" max="11273" width="9" style="18"/>
    <col min="11274" max="11274" width="9.38333333333333" style="18" customWidth="1"/>
    <col min="11275" max="11275" width="4" style="18" customWidth="1"/>
    <col min="11276" max="11276" width="5.13333333333333" style="18" customWidth="1"/>
    <col min="11277" max="11277" width="13.75" style="18" customWidth="1"/>
    <col min="11278" max="11520" width="9" style="18"/>
    <col min="11521" max="11521" width="4.88333333333333" style="18" customWidth="1"/>
    <col min="11522" max="11522" width="13.25" style="18" customWidth="1"/>
    <col min="11523" max="11523" width="15.6333333333333" style="18" customWidth="1"/>
    <col min="11524" max="11524" width="9.38333333333333" style="18" customWidth="1"/>
    <col min="11525" max="11525" width="13.5" style="18" customWidth="1"/>
    <col min="11526" max="11526" width="9" style="18"/>
    <col min="11527" max="11527" width="9.38333333333333" style="18" customWidth="1"/>
    <col min="11528" max="11529" width="9" style="18"/>
    <col min="11530" max="11530" width="9.38333333333333" style="18" customWidth="1"/>
    <col min="11531" max="11531" width="4" style="18" customWidth="1"/>
    <col min="11532" max="11532" width="5.13333333333333" style="18" customWidth="1"/>
    <col min="11533" max="11533" width="13.75" style="18" customWidth="1"/>
    <col min="11534" max="11776" width="9" style="18"/>
    <col min="11777" max="11777" width="4.88333333333333" style="18" customWidth="1"/>
    <col min="11778" max="11778" width="13.25" style="18" customWidth="1"/>
    <col min="11779" max="11779" width="15.6333333333333" style="18" customWidth="1"/>
    <col min="11780" max="11780" width="9.38333333333333" style="18" customWidth="1"/>
    <col min="11781" max="11781" width="13.5" style="18" customWidth="1"/>
    <col min="11782" max="11782" width="9" style="18"/>
    <col min="11783" max="11783" width="9.38333333333333" style="18" customWidth="1"/>
    <col min="11784" max="11785" width="9" style="18"/>
    <col min="11786" max="11786" width="9.38333333333333" style="18" customWidth="1"/>
    <col min="11787" max="11787" width="4" style="18" customWidth="1"/>
    <col min="11788" max="11788" width="5.13333333333333" style="18" customWidth="1"/>
    <col min="11789" max="11789" width="13.75" style="18" customWidth="1"/>
    <col min="11790" max="12032" width="9" style="18"/>
    <col min="12033" max="12033" width="4.88333333333333" style="18" customWidth="1"/>
    <col min="12034" max="12034" width="13.25" style="18" customWidth="1"/>
    <col min="12035" max="12035" width="15.6333333333333" style="18" customWidth="1"/>
    <col min="12036" max="12036" width="9.38333333333333" style="18" customWidth="1"/>
    <col min="12037" max="12037" width="13.5" style="18" customWidth="1"/>
    <col min="12038" max="12038" width="9" style="18"/>
    <col min="12039" max="12039" width="9.38333333333333" style="18" customWidth="1"/>
    <col min="12040" max="12041" width="9" style="18"/>
    <col min="12042" max="12042" width="9.38333333333333" style="18" customWidth="1"/>
    <col min="12043" max="12043" width="4" style="18" customWidth="1"/>
    <col min="12044" max="12044" width="5.13333333333333" style="18" customWidth="1"/>
    <col min="12045" max="12045" width="13.75" style="18" customWidth="1"/>
    <col min="12046" max="12288" width="9" style="18"/>
    <col min="12289" max="12289" width="4.88333333333333" style="18" customWidth="1"/>
    <col min="12290" max="12290" width="13.25" style="18" customWidth="1"/>
    <col min="12291" max="12291" width="15.6333333333333" style="18" customWidth="1"/>
    <col min="12292" max="12292" width="9.38333333333333" style="18" customWidth="1"/>
    <col min="12293" max="12293" width="13.5" style="18" customWidth="1"/>
    <col min="12294" max="12294" width="9" style="18"/>
    <col min="12295" max="12295" width="9.38333333333333" style="18" customWidth="1"/>
    <col min="12296" max="12297" width="9" style="18"/>
    <col min="12298" max="12298" width="9.38333333333333" style="18" customWidth="1"/>
    <col min="12299" max="12299" width="4" style="18" customWidth="1"/>
    <col min="12300" max="12300" width="5.13333333333333" style="18" customWidth="1"/>
    <col min="12301" max="12301" width="13.75" style="18" customWidth="1"/>
    <col min="12302" max="12544" width="9" style="18"/>
    <col min="12545" max="12545" width="4.88333333333333" style="18" customWidth="1"/>
    <col min="12546" max="12546" width="13.25" style="18" customWidth="1"/>
    <col min="12547" max="12547" width="15.6333333333333" style="18" customWidth="1"/>
    <col min="12548" max="12548" width="9.38333333333333" style="18" customWidth="1"/>
    <col min="12549" max="12549" width="13.5" style="18" customWidth="1"/>
    <col min="12550" max="12550" width="9" style="18"/>
    <col min="12551" max="12551" width="9.38333333333333" style="18" customWidth="1"/>
    <col min="12552" max="12553" width="9" style="18"/>
    <col min="12554" max="12554" width="9.38333333333333" style="18" customWidth="1"/>
    <col min="12555" max="12555" width="4" style="18" customWidth="1"/>
    <col min="12556" max="12556" width="5.13333333333333" style="18" customWidth="1"/>
    <col min="12557" max="12557" width="13.75" style="18" customWidth="1"/>
    <col min="12558" max="12800" width="9" style="18"/>
    <col min="12801" max="12801" width="4.88333333333333" style="18" customWidth="1"/>
    <col min="12802" max="12802" width="13.25" style="18" customWidth="1"/>
    <col min="12803" max="12803" width="15.6333333333333" style="18" customWidth="1"/>
    <col min="12804" max="12804" width="9.38333333333333" style="18" customWidth="1"/>
    <col min="12805" max="12805" width="13.5" style="18" customWidth="1"/>
    <col min="12806" max="12806" width="9" style="18"/>
    <col min="12807" max="12807" width="9.38333333333333" style="18" customWidth="1"/>
    <col min="12808" max="12809" width="9" style="18"/>
    <col min="12810" max="12810" width="9.38333333333333" style="18" customWidth="1"/>
    <col min="12811" max="12811" width="4" style="18" customWidth="1"/>
    <col min="12812" max="12812" width="5.13333333333333" style="18" customWidth="1"/>
    <col min="12813" max="12813" width="13.75" style="18" customWidth="1"/>
    <col min="12814" max="13056" width="9" style="18"/>
    <col min="13057" max="13057" width="4.88333333333333" style="18" customWidth="1"/>
    <col min="13058" max="13058" width="13.25" style="18" customWidth="1"/>
    <col min="13059" max="13059" width="15.6333333333333" style="18" customWidth="1"/>
    <col min="13060" max="13060" width="9.38333333333333" style="18" customWidth="1"/>
    <col min="13061" max="13061" width="13.5" style="18" customWidth="1"/>
    <col min="13062" max="13062" width="9" style="18"/>
    <col min="13063" max="13063" width="9.38333333333333" style="18" customWidth="1"/>
    <col min="13064" max="13065" width="9" style="18"/>
    <col min="13066" max="13066" width="9.38333333333333" style="18" customWidth="1"/>
    <col min="13067" max="13067" width="4" style="18" customWidth="1"/>
    <col min="13068" max="13068" width="5.13333333333333" style="18" customWidth="1"/>
    <col min="13069" max="13069" width="13.75" style="18" customWidth="1"/>
    <col min="13070" max="13312" width="9" style="18"/>
    <col min="13313" max="13313" width="4.88333333333333" style="18" customWidth="1"/>
    <col min="13314" max="13314" width="13.25" style="18" customWidth="1"/>
    <col min="13315" max="13315" width="15.6333333333333" style="18" customWidth="1"/>
    <col min="13316" max="13316" width="9.38333333333333" style="18" customWidth="1"/>
    <col min="13317" max="13317" width="13.5" style="18" customWidth="1"/>
    <col min="13318" max="13318" width="9" style="18"/>
    <col min="13319" max="13319" width="9.38333333333333" style="18" customWidth="1"/>
    <col min="13320" max="13321" width="9" style="18"/>
    <col min="13322" max="13322" width="9.38333333333333" style="18" customWidth="1"/>
    <col min="13323" max="13323" width="4" style="18" customWidth="1"/>
    <col min="13324" max="13324" width="5.13333333333333" style="18" customWidth="1"/>
    <col min="13325" max="13325" width="13.75" style="18" customWidth="1"/>
    <col min="13326" max="13568" width="9" style="18"/>
    <col min="13569" max="13569" width="4.88333333333333" style="18" customWidth="1"/>
    <col min="13570" max="13570" width="13.25" style="18" customWidth="1"/>
    <col min="13571" max="13571" width="15.6333333333333" style="18" customWidth="1"/>
    <col min="13572" max="13572" width="9.38333333333333" style="18" customWidth="1"/>
    <col min="13573" max="13573" width="13.5" style="18" customWidth="1"/>
    <col min="13574" max="13574" width="9" style="18"/>
    <col min="13575" max="13575" width="9.38333333333333" style="18" customWidth="1"/>
    <col min="13576" max="13577" width="9" style="18"/>
    <col min="13578" max="13578" width="9.38333333333333" style="18" customWidth="1"/>
    <col min="13579" max="13579" width="4" style="18" customWidth="1"/>
    <col min="13580" max="13580" width="5.13333333333333" style="18" customWidth="1"/>
    <col min="13581" max="13581" width="13.75" style="18" customWidth="1"/>
    <col min="13582" max="13824" width="9" style="18"/>
    <col min="13825" max="13825" width="4.88333333333333" style="18" customWidth="1"/>
    <col min="13826" max="13826" width="13.25" style="18" customWidth="1"/>
    <col min="13827" max="13827" width="15.6333333333333" style="18" customWidth="1"/>
    <col min="13828" max="13828" width="9.38333333333333" style="18" customWidth="1"/>
    <col min="13829" max="13829" width="13.5" style="18" customWidth="1"/>
    <col min="13830" max="13830" width="9" style="18"/>
    <col min="13831" max="13831" width="9.38333333333333" style="18" customWidth="1"/>
    <col min="13832" max="13833" width="9" style="18"/>
    <col min="13834" max="13834" width="9.38333333333333" style="18" customWidth="1"/>
    <col min="13835" max="13835" width="4" style="18" customWidth="1"/>
    <col min="13836" max="13836" width="5.13333333333333" style="18" customWidth="1"/>
    <col min="13837" max="13837" width="13.75" style="18" customWidth="1"/>
    <col min="13838" max="14080" width="9" style="18"/>
    <col min="14081" max="14081" width="4.88333333333333" style="18" customWidth="1"/>
    <col min="14082" max="14082" width="13.25" style="18" customWidth="1"/>
    <col min="14083" max="14083" width="15.6333333333333" style="18" customWidth="1"/>
    <col min="14084" max="14084" width="9.38333333333333" style="18" customWidth="1"/>
    <col min="14085" max="14085" width="13.5" style="18" customWidth="1"/>
    <col min="14086" max="14086" width="9" style="18"/>
    <col min="14087" max="14087" width="9.38333333333333" style="18" customWidth="1"/>
    <col min="14088" max="14089" width="9" style="18"/>
    <col min="14090" max="14090" width="9.38333333333333" style="18" customWidth="1"/>
    <col min="14091" max="14091" width="4" style="18" customWidth="1"/>
    <col min="14092" max="14092" width="5.13333333333333" style="18" customWidth="1"/>
    <col min="14093" max="14093" width="13.75" style="18" customWidth="1"/>
    <col min="14094" max="14336" width="9" style="18"/>
    <col min="14337" max="14337" width="4.88333333333333" style="18" customWidth="1"/>
    <col min="14338" max="14338" width="13.25" style="18" customWidth="1"/>
    <col min="14339" max="14339" width="15.6333333333333" style="18" customWidth="1"/>
    <col min="14340" max="14340" width="9.38333333333333" style="18" customWidth="1"/>
    <col min="14341" max="14341" width="13.5" style="18" customWidth="1"/>
    <col min="14342" max="14342" width="9" style="18"/>
    <col min="14343" max="14343" width="9.38333333333333" style="18" customWidth="1"/>
    <col min="14344" max="14345" width="9" style="18"/>
    <col min="14346" max="14346" width="9.38333333333333" style="18" customWidth="1"/>
    <col min="14347" max="14347" width="4" style="18" customWidth="1"/>
    <col min="14348" max="14348" width="5.13333333333333" style="18" customWidth="1"/>
    <col min="14349" max="14349" width="13.75" style="18" customWidth="1"/>
    <col min="14350" max="14592" width="9" style="18"/>
    <col min="14593" max="14593" width="4.88333333333333" style="18" customWidth="1"/>
    <col min="14594" max="14594" width="13.25" style="18" customWidth="1"/>
    <col min="14595" max="14595" width="15.6333333333333" style="18" customWidth="1"/>
    <col min="14596" max="14596" width="9.38333333333333" style="18" customWidth="1"/>
    <col min="14597" max="14597" width="13.5" style="18" customWidth="1"/>
    <col min="14598" max="14598" width="9" style="18"/>
    <col min="14599" max="14599" width="9.38333333333333" style="18" customWidth="1"/>
    <col min="14600" max="14601" width="9" style="18"/>
    <col min="14602" max="14602" width="9.38333333333333" style="18" customWidth="1"/>
    <col min="14603" max="14603" width="4" style="18" customWidth="1"/>
    <col min="14604" max="14604" width="5.13333333333333" style="18" customWidth="1"/>
    <col min="14605" max="14605" width="13.75" style="18" customWidth="1"/>
    <col min="14606" max="14848" width="9" style="18"/>
    <col min="14849" max="14849" width="4.88333333333333" style="18" customWidth="1"/>
    <col min="14850" max="14850" width="13.25" style="18" customWidth="1"/>
    <col min="14851" max="14851" width="15.6333333333333" style="18" customWidth="1"/>
    <col min="14852" max="14852" width="9.38333333333333" style="18" customWidth="1"/>
    <col min="14853" max="14853" width="13.5" style="18" customWidth="1"/>
    <col min="14854" max="14854" width="9" style="18"/>
    <col min="14855" max="14855" width="9.38333333333333" style="18" customWidth="1"/>
    <col min="14856" max="14857" width="9" style="18"/>
    <col min="14858" max="14858" width="9.38333333333333" style="18" customWidth="1"/>
    <col min="14859" max="14859" width="4" style="18" customWidth="1"/>
    <col min="14860" max="14860" width="5.13333333333333" style="18" customWidth="1"/>
    <col min="14861" max="14861" width="13.75" style="18" customWidth="1"/>
    <col min="14862" max="15104" width="9" style="18"/>
    <col min="15105" max="15105" width="4.88333333333333" style="18" customWidth="1"/>
    <col min="15106" max="15106" width="13.25" style="18" customWidth="1"/>
    <col min="15107" max="15107" width="15.6333333333333" style="18" customWidth="1"/>
    <col min="15108" max="15108" width="9.38333333333333" style="18" customWidth="1"/>
    <col min="15109" max="15109" width="13.5" style="18" customWidth="1"/>
    <col min="15110" max="15110" width="9" style="18"/>
    <col min="15111" max="15111" width="9.38333333333333" style="18" customWidth="1"/>
    <col min="15112" max="15113" width="9" style="18"/>
    <col min="15114" max="15114" width="9.38333333333333" style="18" customWidth="1"/>
    <col min="15115" max="15115" width="4" style="18" customWidth="1"/>
    <col min="15116" max="15116" width="5.13333333333333" style="18" customWidth="1"/>
    <col min="15117" max="15117" width="13.75" style="18" customWidth="1"/>
    <col min="15118" max="15360" width="9" style="18"/>
    <col min="15361" max="15361" width="4.88333333333333" style="18" customWidth="1"/>
    <col min="15362" max="15362" width="13.25" style="18" customWidth="1"/>
    <col min="15363" max="15363" width="15.6333333333333" style="18" customWidth="1"/>
    <col min="15364" max="15364" width="9.38333333333333" style="18" customWidth="1"/>
    <col min="15365" max="15365" width="13.5" style="18" customWidth="1"/>
    <col min="15366" max="15366" width="9" style="18"/>
    <col min="15367" max="15367" width="9.38333333333333" style="18" customWidth="1"/>
    <col min="15368" max="15369" width="9" style="18"/>
    <col min="15370" max="15370" width="9.38333333333333" style="18" customWidth="1"/>
    <col min="15371" max="15371" width="4" style="18" customWidth="1"/>
    <col min="15372" max="15372" width="5.13333333333333" style="18" customWidth="1"/>
    <col min="15373" max="15373" width="13.75" style="18" customWidth="1"/>
    <col min="15374" max="15616" width="9" style="18"/>
    <col min="15617" max="15617" width="4.88333333333333" style="18" customWidth="1"/>
    <col min="15618" max="15618" width="13.25" style="18" customWidth="1"/>
    <col min="15619" max="15619" width="15.6333333333333" style="18" customWidth="1"/>
    <col min="15620" max="15620" width="9.38333333333333" style="18" customWidth="1"/>
    <col min="15621" max="15621" width="13.5" style="18" customWidth="1"/>
    <col min="15622" max="15622" width="9" style="18"/>
    <col min="15623" max="15623" width="9.38333333333333" style="18" customWidth="1"/>
    <col min="15624" max="15625" width="9" style="18"/>
    <col min="15626" max="15626" width="9.38333333333333" style="18" customWidth="1"/>
    <col min="15627" max="15627" width="4" style="18" customWidth="1"/>
    <col min="15628" max="15628" width="5.13333333333333" style="18" customWidth="1"/>
    <col min="15629" max="15629" width="13.75" style="18" customWidth="1"/>
    <col min="15630" max="15872" width="9" style="18"/>
    <col min="15873" max="15873" width="4.88333333333333" style="18" customWidth="1"/>
    <col min="15874" max="15874" width="13.25" style="18" customWidth="1"/>
    <col min="15875" max="15875" width="15.6333333333333" style="18" customWidth="1"/>
    <col min="15876" max="15876" width="9.38333333333333" style="18" customWidth="1"/>
    <col min="15877" max="15877" width="13.5" style="18" customWidth="1"/>
    <col min="15878" max="15878" width="9" style="18"/>
    <col min="15879" max="15879" width="9.38333333333333" style="18" customWidth="1"/>
    <col min="15880" max="15881" width="9" style="18"/>
    <col min="15882" max="15882" width="9.38333333333333" style="18" customWidth="1"/>
    <col min="15883" max="15883" width="4" style="18" customWidth="1"/>
    <col min="15884" max="15884" width="5.13333333333333" style="18" customWidth="1"/>
    <col min="15885" max="15885" width="13.75" style="18" customWidth="1"/>
    <col min="15886" max="16128" width="9" style="18"/>
    <col min="16129" max="16129" width="4.88333333333333" style="18" customWidth="1"/>
    <col min="16130" max="16130" width="13.25" style="18" customWidth="1"/>
    <col min="16131" max="16131" width="15.6333333333333" style="18" customWidth="1"/>
    <col min="16132" max="16132" width="9.38333333333333" style="18" customWidth="1"/>
    <col min="16133" max="16133" width="13.5" style="18" customWidth="1"/>
    <col min="16134" max="16134" width="9" style="18"/>
    <col min="16135" max="16135" width="9.38333333333333" style="18" customWidth="1"/>
    <col min="16136" max="16137" width="9" style="18"/>
    <col min="16138" max="16138" width="9.38333333333333" style="18" customWidth="1"/>
    <col min="16139" max="16139" width="4" style="18" customWidth="1"/>
    <col min="16140" max="16140" width="5.13333333333333"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1" sqref="B11"/>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333333333333" style="511" customWidth="1"/>
    <col min="2" max="9" width="12.1333333333333" style="511" customWidth="1"/>
    <col min="10" max="16384" width="9" style="511"/>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 spans="1:9">
      <c r="A3" s="3428"/>
      <c r="B3" s="3428"/>
      <c r="C3" s="3428"/>
      <c r="D3" s="3428" t="s">
        <v>110</v>
      </c>
      <c r="E3" s="3428" t="s">
        <v>111</v>
      </c>
      <c r="F3" s="3428" t="s">
        <v>110</v>
      </c>
      <c r="G3" s="3428" t="s">
        <v>111</v>
      </c>
      <c r="H3" s="3428" t="s">
        <v>110</v>
      </c>
      <c r="I3" s="3428" t="s">
        <v>111</v>
      </c>
    </row>
    <row r="4" ht="15" spans="1:9">
      <c r="A4" s="3429" t="str">
        <f>项目基本情况!S2</f>
        <v>北京市房地产</v>
      </c>
      <c r="B4" s="3428">
        <f>项目基本情况!C17</f>
        <v>55180.06</v>
      </c>
      <c r="C4" s="3428">
        <f>项目基本情况!C18</f>
        <v>0</v>
      </c>
      <c r="D4" s="3428">
        <f ca="1">结果表!D118</f>
        <v>18501</v>
      </c>
      <c r="E4" s="3428">
        <f ca="1">结果表!E118</f>
        <v>3353</v>
      </c>
      <c r="F4" s="3428">
        <f ca="1">结果表!F118</f>
        <v>8666</v>
      </c>
      <c r="G4" s="3428">
        <f ca="1">结果表!G118</f>
        <v>1570</v>
      </c>
      <c r="H4" s="3428">
        <f ca="1">结果表!H118</f>
        <v>27167</v>
      </c>
      <c r="I4" s="3428">
        <f ca="1">结果表!I118</f>
        <v>4923</v>
      </c>
    </row>
    <row r="5" ht="30" customHeight="1" spans="1:9">
      <c r="A5" s="3428" t="s">
        <v>112</v>
      </c>
      <c r="B5" s="3428"/>
      <c r="C5" s="3428"/>
      <c r="D5" s="3430" t="str">
        <f ca="1">结果表!D119</f>
        <v>壹亿捌仟伍佰零壹万元整</v>
      </c>
      <c r="E5" s="3430"/>
      <c r="F5" s="3430" t="str">
        <f ca="1">结果表!F119</f>
        <v>捌仟陆佰陆拾陆万元整</v>
      </c>
      <c r="G5" s="3430"/>
      <c r="H5" s="3430" t="str">
        <f ca="1">结果表!H119</f>
        <v>贰亿柒仟壹佰陆拾柒万元整</v>
      </c>
      <c r="I5" s="3430"/>
    </row>
    <row r="6" ht="15.75"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房地产抵押价值</v>
      </c>
      <c r="B8" s="3431"/>
      <c r="C8" s="3431"/>
      <c r="D8" s="3431">
        <f ca="1">结果表!D122</f>
        <v>27167</v>
      </c>
      <c r="E8" s="3431"/>
      <c r="F8" s="3431"/>
      <c r="G8" s="3431"/>
      <c r="H8" s="3431"/>
      <c r="I8" s="3431"/>
    </row>
    <row r="9" ht="15" spans="1:9">
      <c r="A9" s="3428" t="s">
        <v>112</v>
      </c>
      <c r="B9" s="3428"/>
      <c r="C9" s="3428"/>
      <c r="D9" s="3430" t="str">
        <f ca="1">结果表!D123</f>
        <v>贰亿柒仟壹佰陆拾柒万元整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333333333333" style="511" customWidth="1"/>
    <col min="2" max="3" width="22.3833333333333" style="511" customWidth="1"/>
    <col min="4" max="4" width="23" style="511" customWidth="1"/>
    <col min="5" max="16384" width="9" style="511"/>
  </cols>
  <sheetData>
    <row r="1" ht="18.75" spans="1:4">
      <c r="A1" s="3406" t="s">
        <v>114</v>
      </c>
      <c r="B1" s="3406"/>
      <c r="C1" s="3406"/>
      <c r="D1" s="3406"/>
    </row>
    <row r="2" ht="18" spans="1:4">
      <c r="A2" s="3407" t="s">
        <v>115</v>
      </c>
      <c r="B2" s="3407"/>
      <c r="C2" s="3407"/>
      <c r="D2" s="3407"/>
    </row>
    <row r="3" ht="18.75"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8" spans="1:4">
      <c r="A6" s="3407" t="s">
        <v>121</v>
      </c>
      <c r="B6" s="3407"/>
      <c r="C6" s="3407"/>
      <c r="D6" s="3407"/>
    </row>
    <row r="7" ht="18.75"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8.75"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1698"/>
      <c r="C23" s="1698"/>
      <c r="D23" s="1698"/>
    </row>
    <row r="24" spans="1:4">
      <c r="A24" s="3422"/>
      <c r="B24" s="1698"/>
      <c r="C24" s="1698"/>
      <c r="D24" s="1698"/>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333333333333" style="3402" customWidth="1"/>
    <col min="3" max="10" width="12.5" style="3402" customWidth="1"/>
    <col min="11" max="16384" width="9" style="3402"/>
  </cols>
  <sheetData>
    <row r="1" ht="18.75" spans="1:10">
      <c r="A1" s="3403" t="s">
        <v>133</v>
      </c>
      <c r="B1" s="3404"/>
      <c r="C1" s="3404"/>
      <c r="D1" s="3404"/>
      <c r="E1" s="3404"/>
      <c r="F1" s="3404"/>
      <c r="G1" s="3404"/>
      <c r="H1" s="3404"/>
      <c r="I1" s="3404"/>
      <c r="J1" s="3404"/>
    </row>
    <row r="2" ht="18.75"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8" customWidth="1"/>
    <col min="2" max="16384" width="14.5" style="3327"/>
  </cols>
  <sheetData>
    <row r="1" s="3377" customFormat="1" ht="18.75"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333333333333" defaultRowHeight="24" customHeight="1" outlineLevelCol="7"/>
  <cols>
    <col min="1" max="1" width="24.6333333333333" style="3346" customWidth="1"/>
    <col min="2" max="2" width="38.6333333333333" style="3346" customWidth="1"/>
    <col min="3" max="3" width="26" style="3346" customWidth="1"/>
    <col min="4" max="4" width="35" style="3346" hidden="1" customWidth="1"/>
    <col min="5" max="5" width="30.1333333333333" style="3346" customWidth="1"/>
    <col min="6" max="6" width="35.5" style="3346" customWidth="1"/>
    <col min="7" max="7" width="31" style="3346" customWidth="1"/>
    <col min="8" max="8" width="37.5" style="3346" hidden="1" customWidth="1"/>
    <col min="9" max="16384" width="22.6333333333333" style="3346"/>
  </cols>
  <sheetData>
    <row r="1" customHeight="1" spans="1:8">
      <c r="A1" s="3347"/>
      <c r="B1" s="3347"/>
      <c r="C1" s="3347"/>
      <c r="D1" s="3347"/>
      <c r="E1" s="3347"/>
      <c r="F1" s="3347"/>
      <c r="G1" s="3347"/>
      <c r="H1" s="3347"/>
    </row>
    <row r="2" customHeight="1" spans="1:8">
      <c r="A2" s="3348" t="s">
        <v>175</v>
      </c>
      <c r="B2" s="3349">
        <f ca="1">TODAY()</f>
        <v>44785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ca="1"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ca="1" t="shared" si="0"/>
        <v>（注册号：）</v>
      </c>
      <c r="E16" s="3358"/>
      <c r="F16" s="3355"/>
      <c r="G16" s="3355"/>
      <c r="H16" s="3362" t="str">
        <f ca="1"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2022-08-12T05:11:38Z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