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80" windowWidth="11370" windowHeight="1089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新房" sheetId="76" r:id="rId30"/>
    <sheet name="不动产收益法-车位" sheetId="71"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结果表新" sheetId="70" r:id="rId43"/>
    <sheet name="面积清单" sheetId="69" r:id="rId44"/>
    <sheet name="市场情况" sheetId="72" r:id="rId45"/>
    <sheet name="土地案例" sheetId="73" r:id="rId46"/>
    <sheet name="新房案例" sheetId="75" r:id="rId47"/>
    <sheet name="基准地价-结果链接" sheetId="74" r:id="rId48"/>
  </sheets>
  <externalReferences>
    <externalReference r:id="rId49"/>
    <externalReference r:id="rId50"/>
    <externalReference r:id="rId51"/>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'不动产比较法-新房'!$A$1:$L$49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29">'不动产比较法-新房'!$A$1:$K$54,'不动产比较法-新房'!$A$57:$M$131</definedName>
    <definedName name="_xlnm.Print_Area" localSheetId="33">'不动产比较法-住宅'!$A$1:$K$54,'不动产比较法-住宅'!$A$57:$M$131</definedName>
    <definedName name="_xlnm.Print_Area" localSheetId="41">不动产收益法!$A$1:$F$43,不动产收益法!$H$3:$M$29,不动产收益法!$A$46:$F$70,不动产收益法!$I$46:$M$60</definedName>
    <definedName name="_xlnm.Print_Area" localSheetId="30">'不动产收益法-车位'!$A$1:$F$43,'不动产收益法-车位'!$H$3:$M$29,'不动产收益法-车位'!$A$46:$F$70,'不动产收益法-车位'!$I$46:$M$60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47">'基准地价-结果链接'!$A$1:$J$41,'基准地价-结果链接'!$A$44:$N$87,'基准地价-结果链接'!$R$1:$V$16</definedName>
    <definedName name="_xlnm.Print_Area" localSheetId="16">结果表!$A$1:$I$46,结果表!$K$25:$O$44,结果表!$A$62:$I$115,结果表!$K$64:$P$81</definedName>
    <definedName name="_xlnm.Print_Area" localSheetId="28">'剩余法-待开发'!$A$1:$K$36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7">'基准地价-结果链接'!$N$19:$AB$19</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9">'不动产比较法-新房'!$B$88:$M$88</definedName>
    <definedName name="住宅朝向">'不动产比较法-住宅'!$B$88:$M$88</definedName>
    <definedName name="住宅房型" localSheetId="29">'不动产比较法-新房'!$B$118:$M$118</definedName>
    <definedName name="住宅房型">'不动产比较法-住宅'!$B$118:$M$118</definedName>
    <definedName name="住宅公共部分装修" localSheetId="29">'不动产比较法-新房'!$B$109:$M$109</definedName>
    <definedName name="住宅公共部分装修">'不动产比较法-住宅'!$B$109:$M$109</definedName>
    <definedName name="住宅基础设施水平" localSheetId="29">'不动产比较法-新房'!$B$116:$M$116</definedName>
    <definedName name="住宅基础设施水平">'不动产比较法-住宅'!$B$116:$M$116</definedName>
    <definedName name="住宅建筑结构" localSheetId="29">'不动产比较法-新房'!$B$105:$M$105</definedName>
    <definedName name="住宅建筑结构">'不动产比较法-住宅'!$B$105:$M$105</definedName>
    <definedName name="住宅建筑类型" localSheetId="29">'不动产比较法-新房'!$B$100:$M$100</definedName>
    <definedName name="住宅建筑类型">'不动产比较法-住宅'!$B$100:$M$100</definedName>
    <definedName name="住宅建筑品质" localSheetId="29">'不动产比较法-新房'!$B$107:$M$107</definedName>
    <definedName name="住宅建筑品质">'不动产比较法-住宅'!$B$107:$M$107</definedName>
    <definedName name="住宅交易情况" localSheetId="29">'不动产比较法-新房'!$A$61:$M$61</definedName>
    <definedName name="住宅交易情况">'不动产比较法-住宅'!$A$61:$M$61</definedName>
    <definedName name="住宅楼层" localSheetId="29">'不动产比较法-新房'!$B$86:$M$86</definedName>
    <definedName name="住宅楼层">'不动产比较法-住宅'!$B$86:$M$86</definedName>
    <definedName name="住宅内部装修" localSheetId="29">'不动产比较法-新房'!$B$122:$M$122</definedName>
    <definedName name="住宅内部装修">'不动产比较法-住宅'!$B$122:$M$122</definedName>
    <definedName name="住宅物业管理" localSheetId="29">'不动产比较法-新房'!$B$114:$M$114</definedName>
    <definedName name="住宅物业管理">'不动产比较法-住宅'!$B$114:$M$114</definedName>
    <definedName name="住宅用途" localSheetId="29">'不动产比较法-新房'!$B$63:$M$63</definedName>
    <definedName name="住宅用途">'不动产比较法-住宅'!$B$63:$M$63</definedName>
    <definedName name="住宅主力户型面积" localSheetId="29">'不动产比较法-新房'!$B$120:$M$120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B32" i="1" l="1"/>
  <c r="B30" i="1"/>
  <c r="E32" i="1"/>
  <c r="E31" i="1"/>
  <c r="L14" i="1" l="1"/>
  <c r="I5" i="76" l="1"/>
  <c r="G5" i="76"/>
  <c r="E5" i="76"/>
  <c r="C145" i="76"/>
  <c r="K139" i="76" s="1"/>
  <c r="J142" i="76"/>
  <c r="J140"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s="1"/>
  <c r="F89" i="76" s="1"/>
  <c r="G89" i="76" s="1"/>
  <c r="H89" i="76" s="1"/>
  <c r="I89" i="76" s="1"/>
  <c r="J89" i="76" s="1"/>
  <c r="K89" i="76" s="1"/>
  <c r="L89" i="76" s="1"/>
  <c r="M89" i="76" s="1"/>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K48" i="76"/>
  <c r="V47" i="76"/>
  <c r="T47" i="76"/>
  <c r="R47" i="76"/>
  <c r="P47" i="76"/>
  <c r="Q46" i="76"/>
  <c r="Z46" i="76" s="1"/>
  <c r="J46" i="76"/>
  <c r="AC46" i="76" s="1"/>
  <c r="H46" i="76"/>
  <c r="AB46" i="76" s="1"/>
  <c r="F46" i="76"/>
  <c r="AA46" i="76" s="1"/>
  <c r="Q45" i="76"/>
  <c r="Z45" i="76" s="1"/>
  <c r="J45" i="76"/>
  <c r="AC45" i="76" s="1"/>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Q23" i="76"/>
  <c r="Z23" i="76" s="1"/>
  <c r="J23" i="76"/>
  <c r="AC23" i="76" s="1"/>
  <c r="H23" i="76"/>
  <c r="AB23" i="76" s="1"/>
  <c r="F23" i="76"/>
  <c r="AA23" i="76" s="1"/>
  <c r="C23" i="76"/>
  <c r="Q21" i="76"/>
  <c r="Z21" i="76" s="1"/>
  <c r="J21" i="76"/>
  <c r="AC21" i="76" s="1"/>
  <c r="H21" i="76"/>
  <c r="AB21" i="76" s="1"/>
  <c r="F21" i="76"/>
  <c r="AA21" i="76" s="1"/>
  <c r="C21" i="76"/>
  <c r="Q19" i="76"/>
  <c r="Z19" i="76" s="1"/>
  <c r="J19" i="76"/>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W8" i="76" s="1"/>
  <c r="H8" i="76"/>
  <c r="AB8" i="76" s="1"/>
  <c r="F8" i="76"/>
  <c r="S8" i="76" s="1"/>
  <c r="I37" i="21"/>
  <c r="G37" i="21"/>
  <c r="E37" i="21"/>
  <c r="D35" i="70"/>
  <c r="K145" i="76" l="1"/>
  <c r="U8" i="76"/>
  <c r="AA8" i="76"/>
  <c r="AC8" i="76"/>
  <c r="U9" i="76"/>
  <c r="S10" i="76"/>
  <c r="W10" i="76"/>
  <c r="U11" i="76"/>
  <c r="S12" i="76"/>
  <c r="W12" i="76"/>
  <c r="U13" i="76"/>
  <c r="S14" i="76"/>
  <c r="W14" i="76"/>
  <c r="S15" i="76"/>
  <c r="W15" i="76"/>
  <c r="S17" i="76"/>
  <c r="W17" i="76"/>
  <c r="AC19" i="76"/>
  <c r="W19" i="76"/>
  <c r="S19" i="76"/>
  <c r="AA25" i="76"/>
  <c r="S25" i="76"/>
  <c r="S9" i="76"/>
  <c r="W9" i="76"/>
  <c r="U10" i="76"/>
  <c r="S11" i="76"/>
  <c r="W11" i="76"/>
  <c r="U12" i="76"/>
  <c r="S13" i="76"/>
  <c r="W13" i="76"/>
  <c r="U14" i="76"/>
  <c r="U15" i="76"/>
  <c r="U17" i="76"/>
  <c r="U19" i="76"/>
  <c r="U21" i="76"/>
  <c r="U23" i="76"/>
  <c r="S21" i="76"/>
  <c r="W21" i="76"/>
  <c r="S23" i="76"/>
  <c r="W23" i="76"/>
  <c r="U25" i="76"/>
  <c r="S26" i="76"/>
  <c r="W26" i="76"/>
  <c r="U27" i="76"/>
  <c r="S28" i="76"/>
  <c r="W28" i="76"/>
  <c r="U29" i="76"/>
  <c r="S30" i="76"/>
  <c r="W30" i="76"/>
  <c r="U31" i="76"/>
  <c r="S32" i="76"/>
  <c r="W32" i="76"/>
  <c r="U34" i="76"/>
  <c r="S35" i="76"/>
  <c r="W35" i="76"/>
  <c r="U36" i="76"/>
  <c r="U37" i="76"/>
  <c r="S38" i="76"/>
  <c r="W38" i="76"/>
  <c r="U39" i="76"/>
  <c r="S40" i="76"/>
  <c r="W40" i="76"/>
  <c r="U41" i="76"/>
  <c r="S42" i="76"/>
  <c r="W42" i="76"/>
  <c r="U43" i="76"/>
  <c r="S44" i="76"/>
  <c r="W44" i="76"/>
  <c r="AB45" i="76"/>
  <c r="U45" i="76"/>
  <c r="W25" i="76"/>
  <c r="U26" i="76"/>
  <c r="S27" i="76"/>
  <c r="W27" i="76"/>
  <c r="U28" i="76"/>
  <c r="S29" i="76"/>
  <c r="W29" i="76"/>
  <c r="U30" i="76"/>
  <c r="S31" i="76"/>
  <c r="W31" i="76"/>
  <c r="U32" i="76"/>
  <c r="S34" i="76"/>
  <c r="W34" i="76"/>
  <c r="U35" i="76"/>
  <c r="S36" i="76"/>
  <c r="W36" i="76"/>
  <c r="S37" i="76"/>
  <c r="W37" i="76"/>
  <c r="U38" i="76"/>
  <c r="S39" i="76"/>
  <c r="W39" i="76"/>
  <c r="U40" i="76"/>
  <c r="S41" i="76"/>
  <c r="W41" i="76"/>
  <c r="U42" i="76"/>
  <c r="S43" i="76"/>
  <c r="W43" i="76"/>
  <c r="U44" i="76"/>
  <c r="AA45" i="76"/>
  <c r="S45" i="76"/>
  <c r="W45" i="76"/>
  <c r="U46" i="76"/>
  <c r="K141" i="76"/>
  <c r="K143" i="76"/>
  <c r="S46" i="76"/>
  <c r="W46" i="76"/>
  <c r="K144" i="76"/>
  <c r="F113" i="74"/>
  <c r="N99" i="74"/>
  <c r="N108" i="74" s="1"/>
  <c r="M99" i="74"/>
  <c r="L99" i="74"/>
  <c r="K99" i="74"/>
  <c r="J99" i="74"/>
  <c r="J108" i="74" s="1"/>
  <c r="I99" i="74"/>
  <c r="H99" i="74"/>
  <c r="G99" i="74"/>
  <c r="F99" i="74"/>
  <c r="F108" i="74" s="1"/>
  <c r="E99" i="74"/>
  <c r="D99" i="74"/>
  <c r="C99" i="74"/>
  <c r="N87" i="74"/>
  <c r="M87" i="74"/>
  <c r="K87" i="74"/>
  <c r="J87" i="74" s="1"/>
  <c r="D87" i="74"/>
  <c r="M86" i="74"/>
  <c r="N86" i="74" s="1"/>
  <c r="K86" i="74"/>
  <c r="J86" i="74"/>
  <c r="D86" i="74"/>
  <c r="M85" i="74"/>
  <c r="N85" i="74" s="1"/>
  <c r="K85" i="74"/>
  <c r="J85" i="74"/>
  <c r="D85" i="74"/>
  <c r="N84" i="74"/>
  <c r="M84" i="74"/>
  <c r="K84" i="74"/>
  <c r="J84" i="74" s="1"/>
  <c r="D84" i="74"/>
  <c r="M83" i="74"/>
  <c r="N83" i="74" s="1"/>
  <c r="K83" i="74"/>
  <c r="J83" i="74"/>
  <c r="D83" i="74"/>
  <c r="B83" i="74"/>
  <c r="M82" i="74"/>
  <c r="N82" i="74" s="1"/>
  <c r="K82" i="74"/>
  <c r="J82" i="74" s="1"/>
  <c r="D82" i="74"/>
  <c r="B82" i="74"/>
  <c r="M81" i="74"/>
  <c r="N81" i="74" s="1"/>
  <c r="K81" i="74"/>
  <c r="J81" i="74"/>
  <c r="D81" i="74"/>
  <c r="N80" i="74"/>
  <c r="M80" i="74"/>
  <c r="K80" i="74"/>
  <c r="J80" i="74" s="1"/>
  <c r="F80" i="74"/>
  <c r="H86" i="74" s="1"/>
  <c r="D80" i="74"/>
  <c r="E80" i="74" s="1"/>
  <c r="B78" i="74" s="1"/>
  <c r="N77" i="74"/>
  <c r="M77" i="74"/>
  <c r="K77" i="74"/>
  <c r="J77" i="74" s="1"/>
  <c r="D77" i="74"/>
  <c r="M76" i="74"/>
  <c r="N76" i="74" s="1"/>
  <c r="K76" i="74"/>
  <c r="J76" i="74" s="1"/>
  <c r="D76" i="74"/>
  <c r="M75" i="74"/>
  <c r="N75" i="74" s="1"/>
  <c r="K75" i="74"/>
  <c r="J75" i="74" s="1"/>
  <c r="D75" i="74"/>
  <c r="M74" i="74"/>
  <c r="N74" i="74" s="1"/>
  <c r="K74" i="74"/>
  <c r="J74" i="74" s="1"/>
  <c r="D74" i="74"/>
  <c r="N73" i="74"/>
  <c r="M73" i="74"/>
  <c r="K73" i="74"/>
  <c r="J73" i="74" s="1"/>
  <c r="D73" i="74"/>
  <c r="M72" i="74"/>
  <c r="N72" i="74" s="1"/>
  <c r="K72" i="74"/>
  <c r="J72" i="74"/>
  <c r="D72" i="74"/>
  <c r="M71" i="74"/>
  <c r="N71" i="74" s="1"/>
  <c r="K71" i="74"/>
  <c r="J71" i="74" s="1"/>
  <c r="D71" i="74"/>
  <c r="B71" i="74"/>
  <c r="M70" i="74"/>
  <c r="N70" i="74" s="1"/>
  <c r="K70" i="74"/>
  <c r="J70" i="74" s="1"/>
  <c r="D70" i="74"/>
  <c r="N69" i="74"/>
  <c r="M69" i="74"/>
  <c r="K69" i="74"/>
  <c r="J69" i="74" s="1"/>
  <c r="F69" i="74"/>
  <c r="H75" i="74" s="1"/>
  <c r="D69" i="74"/>
  <c r="E69" i="74" s="1"/>
  <c r="B67" i="74" s="1"/>
  <c r="N66" i="74"/>
  <c r="M66" i="74"/>
  <c r="K66" i="74"/>
  <c r="J66" i="74" s="1"/>
  <c r="D66" i="74"/>
  <c r="M65" i="74"/>
  <c r="N65" i="74" s="1"/>
  <c r="K65" i="74"/>
  <c r="J65" i="74"/>
  <c r="D65" i="74"/>
  <c r="M64" i="74"/>
  <c r="N64" i="74" s="1"/>
  <c r="K64" i="74"/>
  <c r="J64" i="74" s="1"/>
  <c r="D64" i="74"/>
  <c r="M63" i="74"/>
  <c r="N63" i="74" s="1"/>
  <c r="K63" i="74"/>
  <c r="J63" i="74" s="1"/>
  <c r="D63" i="74"/>
  <c r="M62" i="74"/>
  <c r="N62" i="74" s="1"/>
  <c r="K62" i="74"/>
  <c r="J62" i="74" s="1"/>
  <c r="D62" i="74"/>
  <c r="N61" i="74"/>
  <c r="M61" i="74"/>
  <c r="K61" i="74"/>
  <c r="J61" i="74" s="1"/>
  <c r="D61" i="74"/>
  <c r="M60" i="74"/>
  <c r="N60" i="74" s="1"/>
  <c r="K60" i="74"/>
  <c r="J60" i="74" s="1"/>
  <c r="D60" i="74"/>
  <c r="B60" i="74"/>
  <c r="M59" i="74"/>
  <c r="N59" i="74" s="1"/>
  <c r="K59" i="74"/>
  <c r="J59" i="74" s="1"/>
  <c r="D59" i="74"/>
  <c r="N58" i="74"/>
  <c r="M58" i="74"/>
  <c r="K58" i="74"/>
  <c r="J58" i="74" s="1"/>
  <c r="F58" i="74"/>
  <c r="H65" i="74" s="1"/>
  <c r="D58" i="74"/>
  <c r="E58" i="74" s="1"/>
  <c r="B56" i="74" s="1"/>
  <c r="N55" i="74"/>
  <c r="M55" i="74"/>
  <c r="K55" i="74"/>
  <c r="J55" i="74" s="1"/>
  <c r="D55" i="74"/>
  <c r="M54" i="74"/>
  <c r="N54" i="74" s="1"/>
  <c r="K54" i="74"/>
  <c r="J54" i="74" s="1"/>
  <c r="D54" i="74"/>
  <c r="N53" i="74"/>
  <c r="M53" i="74"/>
  <c r="K53" i="74"/>
  <c r="J53" i="74" s="1"/>
  <c r="D53" i="74"/>
  <c r="M52" i="74"/>
  <c r="N52" i="74" s="1"/>
  <c r="K52" i="74"/>
  <c r="J52" i="74" s="1"/>
  <c r="D52" i="74"/>
  <c r="M51" i="74"/>
  <c r="N51" i="74" s="1"/>
  <c r="K51" i="74"/>
  <c r="J51" i="74" s="1"/>
  <c r="D51" i="74"/>
  <c r="N50" i="74"/>
  <c r="M50" i="74"/>
  <c r="K50" i="74"/>
  <c r="J50" i="74" s="1"/>
  <c r="D50" i="74"/>
  <c r="N49" i="74"/>
  <c r="M49" i="74"/>
  <c r="K49" i="74"/>
  <c r="J49" i="74" s="1"/>
  <c r="D49" i="74"/>
  <c r="B49" i="74"/>
  <c r="M48" i="74"/>
  <c r="N48" i="74" s="1"/>
  <c r="K48" i="74"/>
  <c r="J48" i="74" s="1"/>
  <c r="D48" i="74"/>
  <c r="M47" i="74"/>
  <c r="N47" i="74" s="1"/>
  <c r="K47" i="74"/>
  <c r="J47" i="74"/>
  <c r="F47" i="74"/>
  <c r="D47" i="74"/>
  <c r="E47" i="74" s="1"/>
  <c r="B45" i="74" s="1"/>
  <c r="H39" i="74"/>
  <c r="H38" i="74"/>
  <c r="H37" i="74"/>
  <c r="H36" i="74"/>
  <c r="H35" i="74"/>
  <c r="H34" i="74"/>
  <c r="H33" i="74"/>
  <c r="C24" i="74"/>
  <c r="J20" i="74"/>
  <c r="I20" i="74"/>
  <c r="C20" i="74" s="1"/>
  <c r="G20" i="74"/>
  <c r="E41" i="74" s="1"/>
  <c r="C41" i="74" s="1"/>
  <c r="E20" i="74"/>
  <c r="P28" i="74" s="1"/>
  <c r="M19" i="74"/>
  <c r="I19" i="74"/>
  <c r="C18" i="74"/>
  <c r="F15" i="74"/>
  <c r="E15" i="74"/>
  <c r="D15" i="74"/>
  <c r="C12" i="74" s="1"/>
  <c r="C15" i="74"/>
  <c r="Y12" i="74"/>
  <c r="Y10" i="74"/>
  <c r="C10" i="74"/>
  <c r="C11" i="74" s="1"/>
  <c r="AJ9" i="74"/>
  <c r="AJ10" i="74" s="1"/>
  <c r="AI9" i="74"/>
  <c r="AI12" i="74" s="1"/>
  <c r="AH9" i="74"/>
  <c r="AH10" i="74" s="1"/>
  <c r="AG9" i="74"/>
  <c r="AG12" i="74" s="1"/>
  <c r="AF9" i="74"/>
  <c r="AF10" i="74" s="1"/>
  <c r="AE9" i="74"/>
  <c r="AE12" i="74" s="1"/>
  <c r="AD9" i="74"/>
  <c r="AD10" i="74" s="1"/>
  <c r="AC9" i="74"/>
  <c r="AC12" i="74" s="1"/>
  <c r="AB9" i="74"/>
  <c r="AB10" i="74" s="1"/>
  <c r="AA9" i="74"/>
  <c r="AA12" i="74" s="1"/>
  <c r="Z9" i="74"/>
  <c r="Z10" i="74" s="1"/>
  <c r="C9" i="74"/>
  <c r="A7" i="74"/>
  <c r="M6" i="74"/>
  <c r="N4" i="74"/>
  <c r="M3" i="74"/>
  <c r="G3" i="74"/>
  <c r="N101" i="74" s="1"/>
  <c r="N106" i="74" s="1"/>
  <c r="N2" i="74"/>
  <c r="I2" i="74"/>
  <c r="G2" i="74"/>
  <c r="H113" i="74" s="1"/>
  <c r="M1" i="74"/>
  <c r="D1" i="74"/>
  <c r="S3" i="74" l="1"/>
  <c r="S5" i="74"/>
  <c r="S6" i="74"/>
  <c r="X7" i="74"/>
  <c r="AA11" i="74"/>
  <c r="AA13" i="74" s="1"/>
  <c r="AE11" i="74"/>
  <c r="AE13" i="74" s="1"/>
  <c r="AI11" i="74"/>
  <c r="AI13" i="74" s="1"/>
  <c r="AB12" i="74"/>
  <c r="AF12" i="74"/>
  <c r="AJ12" i="74"/>
  <c r="J17" i="74"/>
  <c r="N17" i="74"/>
  <c r="F22" i="74"/>
  <c r="O28" i="74"/>
  <c r="H60" i="74"/>
  <c r="H64" i="74"/>
  <c r="H71" i="74"/>
  <c r="H76" i="74"/>
  <c r="H82" i="74"/>
  <c r="H87" i="74"/>
  <c r="F101" i="74"/>
  <c r="F106" i="74" s="1"/>
  <c r="Y11" i="74"/>
  <c r="Y13" i="74" s="1"/>
  <c r="AC11" i="74"/>
  <c r="AC13" i="74" s="1"/>
  <c r="AG11" i="74"/>
  <c r="AG13" i="74" s="1"/>
  <c r="Z12" i="74"/>
  <c r="AD12" i="74"/>
  <c r="AH12" i="74"/>
  <c r="C17" i="74"/>
  <c r="H17" i="74"/>
  <c r="L17" i="74"/>
  <c r="H22" i="74"/>
  <c r="M28" i="74"/>
  <c r="F33" i="74"/>
  <c r="F34" i="74"/>
  <c r="F35" i="74"/>
  <c r="F36" i="74"/>
  <c r="F37" i="74"/>
  <c r="F38" i="74"/>
  <c r="F39" i="74"/>
  <c r="H58" i="74"/>
  <c r="H61" i="74"/>
  <c r="H66" i="74"/>
  <c r="H69" i="74"/>
  <c r="H73" i="74"/>
  <c r="H77" i="74"/>
  <c r="H80" i="74"/>
  <c r="H84" i="74"/>
  <c r="F109" i="74"/>
  <c r="N109" i="74"/>
  <c r="E11" i="74"/>
  <c r="E10" i="74"/>
  <c r="E9" i="74"/>
  <c r="E8" i="74"/>
  <c r="AA10" i="74"/>
  <c r="AE10" i="74"/>
  <c r="AI10" i="74"/>
  <c r="AH13" i="74"/>
  <c r="M12" i="74"/>
  <c r="N11" i="74"/>
  <c r="N10" i="74"/>
  <c r="M9" i="74"/>
  <c r="M8" i="74"/>
  <c r="M7" i="74"/>
  <c r="N6" i="74"/>
  <c r="N5" i="74"/>
  <c r="M4" i="74"/>
  <c r="N3" i="74"/>
  <c r="M2" i="74"/>
  <c r="N1" i="74"/>
  <c r="N12" i="74"/>
  <c r="M11" i="74"/>
  <c r="M5" i="74"/>
  <c r="N7" i="74"/>
  <c r="N8" i="74"/>
  <c r="N9" i="74"/>
  <c r="M10" i="74"/>
  <c r="AC10" i="74"/>
  <c r="AG10" i="74"/>
  <c r="H54" i="74"/>
  <c r="H52" i="74"/>
  <c r="H51" i="74"/>
  <c r="H48" i="74"/>
  <c r="H50" i="74"/>
  <c r="H55" i="74"/>
  <c r="D108" i="74"/>
  <c r="D100" i="74"/>
  <c r="H108" i="74"/>
  <c r="H100" i="74"/>
  <c r="L108" i="74"/>
  <c r="L100" i="74"/>
  <c r="J100" i="74"/>
  <c r="F103" i="74"/>
  <c r="N103" i="74"/>
  <c r="F105" i="74"/>
  <c r="N105" i="74"/>
  <c r="F107" i="74"/>
  <c r="N107" i="74"/>
  <c r="S2" i="74"/>
  <c r="B113" i="74"/>
  <c r="M101" i="74"/>
  <c r="K101" i="74"/>
  <c r="I101" i="74"/>
  <c r="G101" i="74"/>
  <c r="E101" i="74"/>
  <c r="C101" i="74"/>
  <c r="L101" i="74"/>
  <c r="H101" i="74"/>
  <c r="D101" i="74"/>
  <c r="S4" i="74"/>
  <c r="C6" i="74"/>
  <c r="S7" i="74"/>
  <c r="Z7" i="74"/>
  <c r="Z11" i="74"/>
  <c r="Z13" i="74" s="1"/>
  <c r="AB11" i="74"/>
  <c r="AB13" i="74" s="1"/>
  <c r="AD11" i="74"/>
  <c r="AD13" i="74" s="1"/>
  <c r="AF11" i="74"/>
  <c r="AF13" i="74" s="1"/>
  <c r="AH11" i="74"/>
  <c r="AJ11" i="74"/>
  <c r="AJ13" i="74" s="1"/>
  <c r="D17" i="74"/>
  <c r="I17" i="74"/>
  <c r="K17" i="74"/>
  <c r="M17" i="74"/>
  <c r="O17" i="74"/>
  <c r="E22" i="74"/>
  <c r="D22" i="74" s="1"/>
  <c r="C21" i="74" s="1"/>
  <c r="G22" i="74"/>
  <c r="J22" i="74"/>
  <c r="C23" i="74"/>
  <c r="N28" i="74"/>
  <c r="H47" i="74"/>
  <c r="H49" i="74"/>
  <c r="H53" i="74"/>
  <c r="F100" i="74"/>
  <c r="N100" i="74"/>
  <c r="J101" i="74"/>
  <c r="F102" i="74"/>
  <c r="N102" i="74"/>
  <c r="F104" i="74"/>
  <c r="N104" i="74"/>
  <c r="H59" i="74"/>
  <c r="H62" i="74"/>
  <c r="H63" i="74"/>
  <c r="H70" i="74"/>
  <c r="H72" i="74"/>
  <c r="H74" i="74"/>
  <c r="H81" i="74"/>
  <c r="H83" i="74"/>
  <c r="H85" i="74"/>
  <c r="C108" i="74"/>
  <c r="C109" i="74" s="1"/>
  <c r="C100" i="74"/>
  <c r="E108" i="74"/>
  <c r="E109" i="74" s="1"/>
  <c r="E100" i="74"/>
  <c r="G108" i="74"/>
  <c r="G109" i="74" s="1"/>
  <c r="G100" i="74"/>
  <c r="I108" i="74"/>
  <c r="I109" i="74" s="1"/>
  <c r="I100" i="74"/>
  <c r="K108" i="74"/>
  <c r="K109" i="74" s="1"/>
  <c r="K100" i="74"/>
  <c r="M108" i="74"/>
  <c r="M109" i="74" s="1"/>
  <c r="M100" i="74"/>
  <c r="H109" i="74" l="1"/>
  <c r="C7" i="74"/>
  <c r="G17" i="74"/>
  <c r="J107" i="74"/>
  <c r="J105" i="74"/>
  <c r="J103" i="74"/>
  <c r="J106" i="74"/>
  <c r="J104" i="74"/>
  <c r="J102" i="74"/>
  <c r="D107" i="74"/>
  <c r="D106" i="74"/>
  <c r="D105" i="74"/>
  <c r="D104" i="74"/>
  <c r="D103" i="74"/>
  <c r="D102" i="74"/>
  <c r="L107" i="74"/>
  <c r="L106" i="74"/>
  <c r="L105" i="74"/>
  <c r="L104" i="74"/>
  <c r="L103" i="74"/>
  <c r="L102" i="74"/>
  <c r="E107" i="74"/>
  <c r="E106" i="74"/>
  <c r="E105" i="74"/>
  <c r="E104" i="74"/>
  <c r="E103" i="74"/>
  <c r="E102" i="74"/>
  <c r="I107" i="74"/>
  <c r="I106" i="74"/>
  <c r="I105" i="74"/>
  <c r="I104" i="74"/>
  <c r="I103" i="74"/>
  <c r="I102" i="74"/>
  <c r="M107" i="74"/>
  <c r="M106" i="74"/>
  <c r="M105" i="74"/>
  <c r="M104" i="74"/>
  <c r="M103" i="74"/>
  <c r="M102" i="74"/>
  <c r="L109" i="74"/>
  <c r="D109" i="74"/>
  <c r="J109" i="74"/>
  <c r="H107" i="74"/>
  <c r="H106" i="74"/>
  <c r="H105" i="74"/>
  <c r="H104" i="74"/>
  <c r="H103" i="74"/>
  <c r="H102" i="74"/>
  <c r="C107" i="74"/>
  <c r="C106" i="74"/>
  <c r="C105" i="74"/>
  <c r="C104" i="74"/>
  <c r="C103" i="74"/>
  <c r="C102" i="74"/>
  <c r="G107" i="74"/>
  <c r="G106" i="74"/>
  <c r="G105" i="74"/>
  <c r="G104" i="74"/>
  <c r="G103" i="74"/>
  <c r="G102" i="74"/>
  <c r="K107" i="74"/>
  <c r="K106" i="74"/>
  <c r="K105" i="74"/>
  <c r="K104" i="74"/>
  <c r="K103" i="74"/>
  <c r="K102"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D118" i="74"/>
  <c r="E118" i="74" s="1"/>
  <c r="F118" i="74" s="1"/>
  <c r="B118" i="74"/>
  <c r="C118" i="74" s="1"/>
  <c r="D117" i="74"/>
  <c r="E117" i="74" s="1"/>
  <c r="F117" i="74" s="1"/>
  <c r="G117" i="74" s="1"/>
  <c r="H117" i="74" s="1"/>
  <c r="B117" i="74"/>
  <c r="C117" i="74" s="1"/>
  <c r="D116" i="74"/>
  <c r="E116" i="74" s="1"/>
  <c r="F116" i="74" s="1"/>
  <c r="G116" i="74" s="1"/>
  <c r="H116" i="74" s="1"/>
  <c r="B116" i="74"/>
  <c r="C116" i="74" s="1"/>
  <c r="D115" i="74"/>
  <c r="E115" i="74" s="1"/>
  <c r="F115" i="74" s="1"/>
  <c r="G115" i="74" s="1"/>
  <c r="H115" i="74" s="1"/>
  <c r="B115" i="74"/>
  <c r="E48" i="39"/>
  <c r="D24" i="70"/>
  <c r="C37" i="9" s="1"/>
  <c r="D20" i="70"/>
  <c r="C18" i="70"/>
  <c r="B2" i="74" l="1"/>
  <c r="C115" i="74"/>
  <c r="D113" i="74"/>
  <c r="I48" i="39"/>
  <c r="G48" i="39"/>
  <c r="I40" i="39"/>
  <c r="G40" i="39"/>
  <c r="E40" i="39"/>
  <c r="I9" i="39"/>
  <c r="G9" i="39"/>
  <c r="E9" i="39"/>
  <c r="I7" i="39"/>
  <c r="G7" i="39"/>
  <c r="E7" i="39"/>
  <c r="AH7" i="1" l="1"/>
  <c r="Q73" i="71"/>
  <c r="Q60" i="71"/>
  <c r="D60" i="71"/>
  <c r="Q59" i="71"/>
  <c r="K59" i="71"/>
  <c r="F58" i="71"/>
  <c r="Q52" i="71"/>
  <c r="J50" i="71"/>
  <c r="M47" i="71"/>
  <c r="F33" i="71"/>
  <c r="F60" i="71" s="1"/>
  <c r="F31" i="71"/>
  <c r="F23" i="71"/>
  <c r="F21" i="71"/>
  <c r="F20" i="71"/>
  <c r="M19" i="71"/>
  <c r="F18" i="71"/>
  <c r="M17" i="71"/>
  <c r="F17" i="71"/>
  <c r="F15" i="71"/>
  <c r="AD13" i="3"/>
  <c r="I13" i="3"/>
  <c r="F19" i="6" s="1"/>
  <c r="A3" i="3"/>
  <c r="C40" i="39" s="1"/>
  <c r="C8" i="70"/>
  <c r="D10" i="70"/>
  <c r="F22" i="69"/>
  <c r="F23" i="69"/>
  <c r="F24" i="69"/>
  <c r="F21" i="69"/>
  <c r="F25" i="69" s="1"/>
  <c r="E25" i="69" s="1"/>
  <c r="J11" i="69"/>
  <c r="AN13" i="3" s="1"/>
  <c r="I11" i="69"/>
  <c r="K13" i="3" s="1"/>
  <c r="G20" i="6" s="1"/>
  <c r="C24" i="70" s="1"/>
  <c r="F12" i="69"/>
  <c r="E24" i="70" l="1"/>
  <c r="B37" i="9"/>
  <c r="E37" i="9" s="1"/>
  <c r="G35" i="9" s="1"/>
  <c r="D23" i="71"/>
  <c r="D22" i="71"/>
  <c r="D24" i="71"/>
  <c r="L46" i="71"/>
  <c r="P75" i="71"/>
  <c r="P62" i="71"/>
  <c r="D4" i="74" l="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E17" i="74" s="1"/>
  <c r="C16" i="74" s="1"/>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S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Y12" i="46"/>
  <c r="AA9" i="46"/>
  <c r="AB9" i="46"/>
  <c r="AB10" i="46" s="1"/>
  <c r="AC9" i="46"/>
  <c r="AC10" i="46" s="1"/>
  <c r="AD9" i="46"/>
  <c r="AD10" i="46" s="1"/>
  <c r="AE9" i="46"/>
  <c r="AE10" i="46" s="1"/>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K39" i="9" s="1"/>
  <c r="C57" i="10"/>
  <c r="A28" i="51" s="1"/>
  <c r="N4" i="63" s="1"/>
  <c r="C56" i="10"/>
  <c r="C55" i="10"/>
  <c r="C54" i="10"/>
  <c r="A26" i="51" s="1"/>
  <c r="B19" i="63" s="1"/>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s="1"/>
  <c r="B40" i="50"/>
  <c r="B3" i="63" s="1"/>
  <c r="B21" i="63"/>
  <c r="B67" i="63"/>
  <c r="I19" i="46"/>
  <c r="Q29" i="59"/>
  <c r="F29" i="59" s="1"/>
  <c r="V29" i="59" s="1"/>
  <c r="P29" i="59"/>
  <c r="E29" i="59" s="1"/>
  <c r="O29" i="59"/>
  <c r="C29" i="59" s="1"/>
  <c r="N29" i="59"/>
  <c r="B29" i="59" s="1"/>
  <c r="D90" i="59"/>
  <c r="F89" i="59"/>
  <c r="F88" i="59" s="1"/>
  <c r="F87" i="59" s="1"/>
  <c r="E89" i="59"/>
  <c r="E88" i="59"/>
  <c r="E87" i="59" s="1"/>
  <c r="C89" i="59"/>
  <c r="D89" i="59" s="1"/>
  <c r="B89" i="59"/>
  <c r="B88" i="59" s="1"/>
  <c r="B87" i="59" s="1"/>
  <c r="D86" i="59"/>
  <c r="F85" i="59"/>
  <c r="F84" i="59" s="1"/>
  <c r="F83" i="59" s="1"/>
  <c r="E85" i="59"/>
  <c r="E84" i="59" s="1"/>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s="1"/>
  <c r="F68" i="59"/>
  <c r="F67"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Y39" i="59" s="1"/>
  <c r="N39" i="59"/>
  <c r="Q38" i="59"/>
  <c r="AB38" i="59" s="1"/>
  <c r="P38" i="59"/>
  <c r="AA38" i="59" s="1"/>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X27" i="59"/>
  <c r="X29" i="59"/>
  <c r="AA3" i="59"/>
  <c r="AA26" i="59"/>
  <c r="AA27" i="59"/>
  <c r="AA28" i="59"/>
  <c r="AA29" i="59"/>
  <c r="Y26" i="59"/>
  <c r="Z26" i="59" s="1"/>
  <c r="Y27" i="59"/>
  <c r="Z27" i="59" s="1"/>
  <c r="Y28" i="59"/>
  <c r="Z28" i="59" s="1"/>
  <c r="Y29" i="59"/>
  <c r="Z29" i="59" s="1"/>
  <c r="AB29" i="59"/>
  <c r="AB26" i="59"/>
  <c r="AB27" i="59"/>
  <c r="AB28" i="59"/>
  <c r="E31" i="59"/>
  <c r="E32" i="59" s="1"/>
  <c r="E33" i="59" s="1"/>
  <c r="U33" i="59" s="1"/>
  <c r="S69" i="59"/>
  <c r="Z39" i="59"/>
  <c r="AA40" i="59"/>
  <c r="F36" i="59"/>
  <c r="F37" i="59" s="1"/>
  <c r="V37" i="59" s="1"/>
  <c r="F48" i="59"/>
  <c r="F49" i="59" s="1"/>
  <c r="V49" i="59" s="1"/>
  <c r="F56" i="59"/>
  <c r="F57" i="59"/>
  <c r="V57" i="59" s="1"/>
  <c r="F60" i="59"/>
  <c r="F61" i="59" s="1"/>
  <c r="V61" i="59" s="1"/>
  <c r="C56" i="59"/>
  <c r="D55" i="59"/>
  <c r="C60" i="59"/>
  <c r="D59" i="59"/>
  <c r="C64" i="59"/>
  <c r="D63" i="59"/>
  <c r="E67" i="59"/>
  <c r="N68" i="59"/>
  <c r="B67" i="59"/>
  <c r="Q68" i="59"/>
  <c r="T69" i="59"/>
  <c r="O69" i="59"/>
  <c r="D69" i="59"/>
  <c r="C68" i="59"/>
  <c r="C67" i="59" s="1"/>
  <c r="P69" i="59"/>
  <c r="U69" i="59"/>
  <c r="Q69" i="59"/>
  <c r="C72" i="59"/>
  <c r="C71" i="59" s="1"/>
  <c r="D71" i="59" s="1"/>
  <c r="E72" i="59"/>
  <c r="E71" i="59" s="1"/>
  <c r="D73" i="59"/>
  <c r="C76" i="59"/>
  <c r="D76" i="59" s="1"/>
  <c r="E76" i="59"/>
  <c r="E75" i="59" s="1"/>
  <c r="D77" i="59"/>
  <c r="C80" i="59"/>
  <c r="D80" i="59" s="1"/>
  <c r="E80" i="59"/>
  <c r="E79" i="59" s="1"/>
  <c r="D81" i="59"/>
  <c r="C84" i="59"/>
  <c r="C83" i="59" s="1"/>
  <c r="D83" i="59" s="1"/>
  <c r="C88" i="59"/>
  <c r="U16" i="4"/>
  <c r="S16" i="4"/>
  <c r="Q16" i="4"/>
  <c r="O16" i="4"/>
  <c r="M16" i="4"/>
  <c r="K16" i="4"/>
  <c r="P66" i="59"/>
  <c r="P67" i="59"/>
  <c r="D88" i="59"/>
  <c r="C87" i="59"/>
  <c r="D87" i="59"/>
  <c r="C79" i="59"/>
  <c r="D79" i="59" s="1"/>
  <c r="D72" i="59"/>
  <c r="O68" i="59"/>
  <c r="D84" i="59"/>
  <c r="C75" i="59"/>
  <c r="D75" i="59" s="1"/>
  <c r="N66" i="59"/>
  <c r="N67" i="59"/>
  <c r="C65" i="59"/>
  <c r="T65" i="59" s="1"/>
  <c r="D64" i="59"/>
  <c r="D60" i="59"/>
  <c r="C61" i="59"/>
  <c r="C57" i="59"/>
  <c r="T57" i="59" s="1"/>
  <c r="D56" i="59"/>
  <c r="T61" i="59"/>
  <c r="D61" i="59"/>
  <c r="D57" i="59"/>
  <c r="D65"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74" s="1"/>
  <c r="C22" i="20"/>
  <c r="B65" i="46" s="1"/>
  <c r="S18" i="36"/>
  <c r="S18" i="35"/>
  <c r="S21" i="34"/>
  <c r="S31" i="39"/>
  <c r="C27" i="40"/>
  <c r="B54"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D3" i="76" s="1"/>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R5" i="3" s="1"/>
  <c r="BS20" i="3"/>
  <c r="BT20" i="3"/>
  <c r="H481" i="3"/>
  <c r="AC481" i="3"/>
  <c r="BB481" i="3"/>
  <c r="BC481" i="3"/>
  <c r="BA481" i="3" s="1"/>
  <c r="AZ481" i="3" s="1"/>
  <c r="BD481" i="3"/>
  <c r="BE481" i="3"/>
  <c r="BF481" i="3"/>
  <c r="BG481" i="3"/>
  <c r="BH481" i="3"/>
  <c r="BI481" i="3"/>
  <c r="BJ481" i="3"/>
  <c r="BK481" i="3"/>
  <c r="BK5" i="3" s="1"/>
  <c r="BM481" i="3"/>
  <c r="BN481" i="3"/>
  <c r="BO481" i="3"/>
  <c r="BP481" i="3"/>
  <c r="BP5" i="3" s="1"/>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A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L529" i="3" s="1"/>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A541" i="3" s="1"/>
  <c r="BD541" i="3"/>
  <c r="BE541" i="3"/>
  <c r="BF541" i="3"/>
  <c r="BG541" i="3"/>
  <c r="BH541" i="3"/>
  <c r="BI541" i="3"/>
  <c r="BJ541" i="3"/>
  <c r="BK541" i="3"/>
  <c r="BM541" i="3"/>
  <c r="BN541" i="3"/>
  <c r="BL541" i="3" s="1"/>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L556" i="3" s="1"/>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A568" i="3" s="1"/>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AC31" i="35" s="1"/>
  <c r="H31" i="35"/>
  <c r="F31" i="35"/>
  <c r="S31" i="35" s="1"/>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D77" i="40"/>
  <c r="E77" i="40" s="1"/>
  <c r="F13" i="40"/>
  <c r="S13" i="40" s="1"/>
  <c r="B121" i="40"/>
  <c r="F42" i="40" s="1"/>
  <c r="AA42" i="40" s="1"/>
  <c r="B119" i="40"/>
  <c r="F41" i="40" s="1"/>
  <c r="AA41" i="40" s="1"/>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E89" i="40" s="1"/>
  <c r="F89" i="40" s="1"/>
  <c r="G89" i="40" s="1"/>
  <c r="H21" i="40"/>
  <c r="AB21" i="40" s="1"/>
  <c r="D87" i="40"/>
  <c r="E87" i="40" s="1"/>
  <c r="D85" i="40"/>
  <c r="E85" i="40" s="1"/>
  <c r="F85" i="40" s="1"/>
  <c r="G85" i="40" s="1"/>
  <c r="J17" i="40"/>
  <c r="AC17"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F45" i="39" s="1"/>
  <c r="D127" i="39"/>
  <c r="D123" i="39"/>
  <c r="E123" i="39" s="1"/>
  <c r="F123" i="39" s="1"/>
  <c r="G123" i="39" s="1"/>
  <c r="H123" i="39" s="1"/>
  <c r="I123" i="39" s="1"/>
  <c r="J123" i="39" s="1"/>
  <c r="K123" i="39" s="1"/>
  <c r="L123" i="39" s="1"/>
  <c r="M123" i="39" s="1"/>
  <c r="B105" i="39"/>
  <c r="D98" i="39"/>
  <c r="D96" i="39"/>
  <c r="E96" i="39" s="1"/>
  <c r="D94" i="39"/>
  <c r="E94" i="39" s="1"/>
  <c r="F94" i="39" s="1"/>
  <c r="G94" i="39" s="1"/>
  <c r="D92" i="39"/>
  <c r="E92" i="39" s="1"/>
  <c r="F92" i="39" s="1"/>
  <c r="G92" i="39" s="1"/>
  <c r="D90" i="39"/>
  <c r="E90" i="39" s="1"/>
  <c r="B87" i="39"/>
  <c r="B85" i="39"/>
  <c r="H15" i="39" s="1"/>
  <c r="U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B108" i="37"/>
  <c r="C23" i="37"/>
  <c r="C19" i="37"/>
  <c r="C17" i="37"/>
  <c r="C15" i="37"/>
  <c r="B112" i="37"/>
  <c r="D107" i="37"/>
  <c r="E107" i="37"/>
  <c r="D105" i="37"/>
  <c r="E105" i="37"/>
  <c r="H36" i="37"/>
  <c r="D103" i="37"/>
  <c r="E103" i="37" s="1"/>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B95" i="36"/>
  <c r="H34" i="36"/>
  <c r="U34" i="36" s="1"/>
  <c r="D83" i="36"/>
  <c r="E83" i="36"/>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F62" i="36" s="1"/>
  <c r="G62" i="36" s="1"/>
  <c r="B59" i="36"/>
  <c r="B57" i="36"/>
  <c r="J12" i="36" s="1"/>
  <c r="B55" i="36"/>
  <c r="F11" i="36" s="1"/>
  <c r="S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F27" i="35"/>
  <c r="J22" i="35"/>
  <c r="AC22" i="35" s="1"/>
  <c r="B101" i="35"/>
  <c r="B99" i="35"/>
  <c r="B97" i="35"/>
  <c r="J34" i="35" s="1"/>
  <c r="AC34" i="35" s="1"/>
  <c r="B77" i="35"/>
  <c r="B75" i="35"/>
  <c r="J24" i="35" s="1"/>
  <c r="B73" i="35"/>
  <c r="H23" i="35" s="1"/>
  <c r="U23" i="35" s="1"/>
  <c r="B57" i="35"/>
  <c r="B61" i="35"/>
  <c r="B59" i="35"/>
  <c r="H12" i="35" s="1"/>
  <c r="B131" i="34"/>
  <c r="B129" i="34"/>
  <c r="B127" i="34"/>
  <c r="B99" i="34"/>
  <c r="B97" i="34"/>
  <c r="B95" i="34"/>
  <c r="B93" i="34"/>
  <c r="B75" i="34"/>
  <c r="B73" i="34"/>
  <c r="B71" i="34"/>
  <c r="B130" i="33"/>
  <c r="B128" i="33"/>
  <c r="H45" i="33"/>
  <c r="U45" i="33" s="1"/>
  <c r="B126" i="33"/>
  <c r="B98" i="33"/>
  <c r="B96" i="33"/>
  <c r="F30" i="33" s="1"/>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F9" i="35"/>
  <c r="AA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Q9" i="34"/>
  <c r="Z9" i="34" s="1"/>
  <c r="J9" i="34"/>
  <c r="H9" i="34"/>
  <c r="AB9" i="34" s="1"/>
  <c r="F9" i="34"/>
  <c r="AA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Q11" i="33"/>
  <c r="Z11" i="33" s="1"/>
  <c r="Q10" i="33"/>
  <c r="Z10" i="33" s="1"/>
  <c r="Q9" i="33"/>
  <c r="Z9" i="33" s="1"/>
  <c r="J9" i="33"/>
  <c r="AC9" i="33" s="1"/>
  <c r="H9" i="33"/>
  <c r="AB9" i="33" s="1"/>
  <c r="F9" i="33"/>
  <c r="AA9" i="33" s="1"/>
  <c r="J8" i="33"/>
  <c r="W8" i="33" s="1"/>
  <c r="H8" i="33"/>
  <c r="U8" i="33" s="1"/>
  <c r="F8" i="33"/>
  <c r="C7" i="33"/>
  <c r="C58" i="33" s="1"/>
  <c r="D58" i="33" s="1"/>
  <c r="E58" i="33" s="1"/>
  <c r="F58" i="33" s="1"/>
  <c r="M102" i="21"/>
  <c r="D102" i="21"/>
  <c r="E102" i="21"/>
  <c r="F102" i="21"/>
  <c r="G102" i="21"/>
  <c r="H102" i="21"/>
  <c r="I102" i="21"/>
  <c r="J102" i="21"/>
  <c r="K102" i="21"/>
  <c r="L102" i="21"/>
  <c r="C102" i="21"/>
  <c r="C63" i="21"/>
  <c r="G18" i="20"/>
  <c r="B87" i="74" s="1"/>
  <c r="B87" i="46"/>
  <c r="C25" i="40"/>
  <c r="G16" i="20"/>
  <c r="G15" i="20"/>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s="1"/>
  <c r="B130" i="21"/>
  <c r="J46" i="21" s="1"/>
  <c r="B128" i="21"/>
  <c r="B126" i="21"/>
  <c r="J44" i="21" s="1"/>
  <c r="B98" i="21"/>
  <c r="B96" i="21"/>
  <c r="B94" i="21"/>
  <c r="B92" i="21"/>
  <c r="B90" i="21"/>
  <c r="B74" i="21"/>
  <c r="B72" i="2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F38" i="21"/>
  <c r="F36" i="21"/>
  <c r="S36" i="21" s="1"/>
  <c r="F39" i="21"/>
  <c r="AA39" i="21"/>
  <c r="J40" i="21"/>
  <c r="W40" i="21"/>
  <c r="H35" i="21"/>
  <c r="AB35" i="21"/>
  <c r="J8" i="21"/>
  <c r="AC8" i="21" s="1"/>
  <c r="H8" i="21"/>
  <c r="AB8" i="21" s="1"/>
  <c r="H10" i="21"/>
  <c r="H39" i="21"/>
  <c r="AB39" i="21" s="1"/>
  <c r="J34" i="21"/>
  <c r="W34" i="21" s="1"/>
  <c r="H36" i="21"/>
  <c r="U36" i="21" s="1"/>
  <c r="F35" i="21"/>
  <c r="AA35" i="21" s="1"/>
  <c r="J10" i="21"/>
  <c r="AC10" i="21" s="1"/>
  <c r="H26" i="21"/>
  <c r="AB26" i="21" s="1"/>
  <c r="F19" i="21"/>
  <c r="AA19" i="21" s="1"/>
  <c r="H19" i="21"/>
  <c r="AB19" i="21" s="1"/>
  <c r="J19" i="21"/>
  <c r="W19" i="21" s="1"/>
  <c r="J26" i="21"/>
  <c r="W26" i="21"/>
  <c r="F26" i="21"/>
  <c r="AA26" i="21"/>
  <c r="S41" i="21"/>
  <c r="AA41" i="21"/>
  <c r="S10" i="39"/>
  <c r="U30" i="37"/>
  <c r="F103" i="37"/>
  <c r="G103" i="37" s="1"/>
  <c r="H103" i="37" s="1"/>
  <c r="I103" i="37" s="1"/>
  <c r="J103" i="37" s="1"/>
  <c r="K103" i="37" s="1"/>
  <c r="L103" i="37" s="1"/>
  <c r="M103" i="37" s="1"/>
  <c r="F29" i="36"/>
  <c r="AA29" i="36" s="1"/>
  <c r="F16" i="36"/>
  <c r="AA16" i="36" s="1"/>
  <c r="W22" i="36"/>
  <c r="U26" i="36"/>
  <c r="AC31" i="36"/>
  <c r="J33" i="36"/>
  <c r="W33" i="36" s="1"/>
  <c r="U31" i="35"/>
  <c r="W31" i="35"/>
  <c r="F36" i="34"/>
  <c r="S36" i="34"/>
  <c r="H39" i="33"/>
  <c r="AB39" i="33" s="1"/>
  <c r="F26" i="33"/>
  <c r="AA26" i="33" s="1"/>
  <c r="U9" i="33"/>
  <c r="W38" i="33"/>
  <c r="S40" i="33"/>
  <c r="S33" i="33"/>
  <c r="U38" i="33"/>
  <c r="W8" i="21"/>
  <c r="W10" i="40"/>
  <c r="U11" i="40"/>
  <c r="U36" i="40"/>
  <c r="S40" i="39"/>
  <c r="AC40" i="21"/>
  <c r="AC35" i="21"/>
  <c r="C29" i="39"/>
  <c r="U36" i="39"/>
  <c r="H32" i="33"/>
  <c r="AB32" i="33"/>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E101" i="37"/>
  <c r="F101" i="37"/>
  <c r="G101" i="37" s="1"/>
  <c r="H101" i="37" s="1"/>
  <c r="I101" i="37" s="1"/>
  <c r="J101" i="37" s="1"/>
  <c r="K101" i="37" s="1"/>
  <c r="L101" i="37" s="1"/>
  <c r="M101" i="37" s="1"/>
  <c r="J34" i="37"/>
  <c r="W34" i="37" s="1"/>
  <c r="H43" i="34"/>
  <c r="U42" i="34"/>
  <c r="E114" i="34"/>
  <c r="H36" i="34"/>
  <c r="F37" i="34"/>
  <c r="AA37" i="34" s="1"/>
  <c r="F33" i="34"/>
  <c r="F19" i="34"/>
  <c r="AA19" i="34" s="1"/>
  <c r="J10" i="34"/>
  <c r="U9" i="34"/>
  <c r="J28" i="34"/>
  <c r="E113" i="33"/>
  <c r="F113" i="33" s="1"/>
  <c r="G113" i="33" s="1"/>
  <c r="H113" i="33" s="1"/>
  <c r="I113" i="33" s="1"/>
  <c r="J113" i="33" s="1"/>
  <c r="K113" i="33" s="1"/>
  <c r="L113" i="33" s="1"/>
  <c r="M113" i="33" s="1"/>
  <c r="F36" i="33"/>
  <c r="S36" i="33"/>
  <c r="F19" i="33"/>
  <c r="S19" i="33"/>
  <c r="J19" i="33"/>
  <c r="S10" i="21"/>
  <c r="AB30" i="36"/>
  <c r="S22" i="35"/>
  <c r="H29" i="35"/>
  <c r="U29" i="35" s="1"/>
  <c r="U34" i="37"/>
  <c r="S34" i="37"/>
  <c r="AB42" i="34"/>
  <c r="W36" i="34"/>
  <c r="J19" i="34"/>
  <c r="AC19" i="34" s="1"/>
  <c r="H37" i="33"/>
  <c r="AC42" i="34"/>
  <c r="AA42" i="34"/>
  <c r="S42" i="34"/>
  <c r="AA38" i="34"/>
  <c r="J37" i="33"/>
  <c r="J42" i="21"/>
  <c r="AC42" i="21" s="1"/>
  <c r="J44" i="34"/>
  <c r="AC44" i="34"/>
  <c r="F44" i="34"/>
  <c r="S44" i="34"/>
  <c r="J10" i="35"/>
  <c r="W10" i="35"/>
  <c r="AL5" i="3"/>
  <c r="BQ13" i="3"/>
  <c r="BQ5" i="3" s="1"/>
  <c r="F28" i="6" s="1"/>
  <c r="F30" i="21"/>
  <c r="H44" i="21"/>
  <c r="H46" i="21"/>
  <c r="AB46" i="21" s="1"/>
  <c r="F46" i="21"/>
  <c r="H26" i="33"/>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45" i="33"/>
  <c r="F45" i="33"/>
  <c r="S45" i="33" s="1"/>
  <c r="F11" i="35"/>
  <c r="S11" i="35" s="1"/>
  <c r="H28" i="36"/>
  <c r="U28" i="36" s="1"/>
  <c r="H32" i="36"/>
  <c r="J11" i="36"/>
  <c r="W11" i="36" s="1"/>
  <c r="H13" i="36"/>
  <c r="AB13" i="36" s="1"/>
  <c r="J13" i="36"/>
  <c r="F13" i="36"/>
  <c r="S13" i="36" s="1"/>
  <c r="E89" i="37"/>
  <c r="F89" i="37" s="1"/>
  <c r="G89" i="37" s="1"/>
  <c r="H89" i="37" s="1"/>
  <c r="I89" i="37" s="1"/>
  <c r="J89" i="37" s="1"/>
  <c r="K89" i="37" s="1"/>
  <c r="L89" i="37" s="1"/>
  <c r="M89" i="37" s="1"/>
  <c r="J29" i="37"/>
  <c r="F29" i="37"/>
  <c r="AA29" i="37" s="1"/>
  <c r="F105" i="37"/>
  <c r="G105" i="37" s="1"/>
  <c r="AB36" i="37"/>
  <c r="F107" i="37"/>
  <c r="J37" i="37"/>
  <c r="AC37" i="37"/>
  <c r="H37" i="37"/>
  <c r="U37" i="37"/>
  <c r="F40" i="37"/>
  <c r="F14" i="33"/>
  <c r="J30" i="33"/>
  <c r="AC30" i="33" s="1"/>
  <c r="H44" i="33"/>
  <c r="U44" i="33"/>
  <c r="J44" i="33"/>
  <c r="AC44" i="33"/>
  <c r="F44" i="33"/>
  <c r="S44" i="33"/>
  <c r="J25" i="36"/>
  <c r="W25" i="36"/>
  <c r="F25" i="36"/>
  <c r="AA25" i="36"/>
  <c r="H25" i="36"/>
  <c r="AB25" i="36"/>
  <c r="H38" i="37"/>
  <c r="AB38" i="37"/>
  <c r="J38" i="37"/>
  <c r="AC38" i="37"/>
  <c r="F38" i="37"/>
  <c r="S38" i="37"/>
  <c r="F14" i="37"/>
  <c r="AA14" i="37"/>
  <c r="F27" i="37"/>
  <c r="AA27" i="37"/>
  <c r="J14" i="37"/>
  <c r="W14" i="37"/>
  <c r="J27" i="37"/>
  <c r="W27" i="37"/>
  <c r="AA38" i="37"/>
  <c r="J36" i="37"/>
  <c r="AC36" i="37" s="1"/>
  <c r="AB28" i="36"/>
  <c r="AB31" i="21"/>
  <c r="AB13" i="21"/>
  <c r="U36" i="37"/>
  <c r="AB45" i="33"/>
  <c r="S45" i="21"/>
  <c r="S19" i="21"/>
  <c r="G521" i="3"/>
  <c r="G513" i="3"/>
  <c r="G485" i="3"/>
  <c r="G557" i="3"/>
  <c r="G545" i="3"/>
  <c r="BL569" i="3"/>
  <c r="BL545" i="3"/>
  <c r="BL527" i="3"/>
  <c r="BL511" i="3"/>
  <c r="BL491" i="3"/>
  <c r="G16" i="3"/>
  <c r="BL555" i="3"/>
  <c r="BL525" i="3"/>
  <c r="BL503" i="3"/>
  <c r="BA569" i="3"/>
  <c r="AZ569" i="3" s="1"/>
  <c r="BA559" i="3"/>
  <c r="BA545" i="3"/>
  <c r="AZ545" i="3" s="1"/>
  <c r="BA521" i="3"/>
  <c r="BA505" i="3"/>
  <c r="BA493" i="3"/>
  <c r="BA487" i="3"/>
  <c r="BA572" i="3"/>
  <c r="BA558" i="3"/>
  <c r="BA554" i="3"/>
  <c r="BA546" i="3"/>
  <c r="BA532" i="3"/>
  <c r="BA524" i="3"/>
  <c r="BA516" i="3"/>
  <c r="BA508" i="3"/>
  <c r="BA498" i="3"/>
  <c r="BA488" i="3"/>
  <c r="BA20" i="3"/>
  <c r="G558" i="3"/>
  <c r="G554" i="3"/>
  <c r="G546" i="3"/>
  <c r="AC542" i="3"/>
  <c r="G542" i="3"/>
  <c r="BQ542" i="3"/>
  <c r="BQ568" i="3"/>
  <c r="BQ566" i="3"/>
  <c r="BQ564" i="3"/>
  <c r="BQ562" i="3"/>
  <c r="BQ560" i="3"/>
  <c r="BQ558" i="3"/>
  <c r="BQ556" i="3"/>
  <c r="BQ554" i="3"/>
  <c r="BQ552" i="3"/>
  <c r="BQ550" i="3"/>
  <c r="BQ548" i="3"/>
  <c r="BQ546" i="3"/>
  <c r="BQ544" i="3"/>
  <c r="BL544" i="3" s="1"/>
  <c r="G544" i="3"/>
  <c r="G534" i="3"/>
  <c r="G526" i="3"/>
  <c r="BQ540" i="3"/>
  <c r="BQ538" i="3"/>
  <c r="BQ536" i="3"/>
  <c r="BQ534" i="3"/>
  <c r="BQ532" i="3"/>
  <c r="BL532" i="3" s="1"/>
  <c r="BQ530" i="3"/>
  <c r="BQ528" i="3"/>
  <c r="BQ526" i="3"/>
  <c r="BQ524" i="3"/>
  <c r="BL524" i="3" s="1"/>
  <c r="BQ522" i="3"/>
  <c r="BQ520" i="3"/>
  <c r="BQ518" i="3"/>
  <c r="BQ516" i="3"/>
  <c r="BQ514" i="3"/>
  <c r="BL514" i="3" s="1"/>
  <c r="BQ512" i="3"/>
  <c r="BQ510" i="3"/>
  <c r="BQ508" i="3"/>
  <c r="AC506" i="3"/>
  <c r="BQ506" i="3"/>
  <c r="G498" i="3"/>
  <c r="BQ504" i="3"/>
  <c r="BQ502" i="3"/>
  <c r="BQ500" i="3"/>
  <c r="BQ498" i="3"/>
  <c r="BQ496" i="3"/>
  <c r="AC494" i="3"/>
  <c r="BQ494" i="3"/>
  <c r="BL493" i="3"/>
  <c r="G488" i="3"/>
  <c r="G20" i="3"/>
  <c r="BQ492" i="3"/>
  <c r="BQ490" i="3"/>
  <c r="BQ488" i="3"/>
  <c r="BL488" i="3"/>
  <c r="BQ486" i="3"/>
  <c r="BQ484" i="3"/>
  <c r="BL484" i="3" s="1"/>
  <c r="BQ482" i="3"/>
  <c r="BQ20" i="3"/>
  <c r="BL20" i="3" s="1"/>
  <c r="BQ18" i="3"/>
  <c r="S505" i="31"/>
  <c r="S503" i="31"/>
  <c r="S501" i="31"/>
  <c r="S499" i="31"/>
  <c r="O27" i="31"/>
  <c r="O28" i="31"/>
  <c r="O26" i="31"/>
  <c r="M27" i="31"/>
  <c r="M28" i="31"/>
  <c r="M26" i="31"/>
  <c r="I26" i="31"/>
  <c r="I25" i="31"/>
  <c r="S25" i="31"/>
  <c r="S22" i="31" s="1"/>
  <c r="Q26" i="31"/>
  <c r="K26" i="31"/>
  <c r="I27" i="31"/>
  <c r="Q27" i="31"/>
  <c r="K27" i="31"/>
  <c r="I28" i="31"/>
  <c r="Q28" i="31"/>
  <c r="K28" i="31"/>
  <c r="H25" i="21"/>
  <c r="U25" i="21" s="1"/>
  <c r="F25" i="21"/>
  <c r="S25" i="21" s="1"/>
  <c r="J25" i="21"/>
  <c r="AC25" i="21" s="1"/>
  <c r="E125" i="33"/>
  <c r="F125" i="33" s="1"/>
  <c r="G125" i="33" s="1"/>
  <c r="H43" i="33"/>
  <c r="U43" i="33" s="1"/>
  <c r="H17" i="37"/>
  <c r="U17" i="37" s="1"/>
  <c r="F23" i="37"/>
  <c r="AB27" i="37"/>
  <c r="F39" i="33"/>
  <c r="AA39"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s="1"/>
  <c r="J43" i="33"/>
  <c r="J23" i="37"/>
  <c r="F17" i="37"/>
  <c r="AA17" i="37" s="1"/>
  <c r="D3" i="21"/>
  <c r="AC12" i="35"/>
  <c r="W23" i="35"/>
  <c r="S27" i="37"/>
  <c r="AC8" i="37"/>
  <c r="AC36" i="34"/>
  <c r="AA13" i="33"/>
  <c r="F43" i="33"/>
  <c r="AA43" i="33" s="1"/>
  <c r="S10" i="35"/>
  <c r="AB44" i="33"/>
  <c r="G107" i="37"/>
  <c r="H107" i="37" s="1"/>
  <c r="I107" i="37" s="1"/>
  <c r="J107" i="37" s="1"/>
  <c r="K107" i="37" s="1"/>
  <c r="L107" i="37" s="1"/>
  <c r="M107" i="37" s="1"/>
  <c r="H19" i="34"/>
  <c r="AB19" i="34" s="1"/>
  <c r="J10" i="37"/>
  <c r="J9" i="37"/>
  <c r="H9" i="37"/>
  <c r="U9" i="37" s="1"/>
  <c r="F9" i="37"/>
  <c r="S9" i="37" s="1"/>
  <c r="F11" i="37"/>
  <c r="S11" i="37" s="1"/>
  <c r="J12" i="37"/>
  <c r="H12" i="37"/>
  <c r="F12" i="37"/>
  <c r="AA12" i="37" s="1"/>
  <c r="H15" i="37"/>
  <c r="E94" i="37"/>
  <c r="F31" i="37"/>
  <c r="S31" i="37" s="1"/>
  <c r="F94" i="37"/>
  <c r="G94" i="37" s="1"/>
  <c r="H94" i="37" s="1"/>
  <c r="I94" i="37" s="1"/>
  <c r="J94" i="37" s="1"/>
  <c r="K94" i="37" s="1"/>
  <c r="L94" i="37" s="1"/>
  <c r="M94" i="37" s="1"/>
  <c r="H31" i="37"/>
  <c r="AB31" i="37" s="1"/>
  <c r="J15" i="37"/>
  <c r="W15" i="37" s="1"/>
  <c r="AB10" i="37"/>
  <c r="J11" i="37"/>
  <c r="W11" i="37" s="1"/>
  <c r="U31" i="37"/>
  <c r="F21" i="40"/>
  <c r="S21" i="40" s="1"/>
  <c r="J21" i="40"/>
  <c r="AC21" i="40" s="1"/>
  <c r="S27" i="31"/>
  <c r="G507" i="3"/>
  <c r="BA15" i="3"/>
  <c r="BL17" i="3"/>
  <c r="BL15" i="3"/>
  <c r="BA14" i="3"/>
  <c r="AZ14" i="3" s="1"/>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23" i="3"/>
  <c r="AZ31" i="3"/>
  <c r="AZ39" i="3"/>
  <c r="AZ47" i="3"/>
  <c r="AZ55" i="3"/>
  <c r="BL181" i="3"/>
  <c r="AZ181" i="3" s="1"/>
  <c r="G182" i="3"/>
  <c r="BA184" i="3"/>
  <c r="BL185" i="3"/>
  <c r="G186" i="3"/>
  <c r="BA188" i="3"/>
  <c r="BL189" i="3"/>
  <c r="AZ189" i="3"/>
  <c r="G190" i="3"/>
  <c r="BA192" i="3"/>
  <c r="BL193" i="3"/>
  <c r="AZ193" i="3" s="1"/>
  <c r="G194" i="3"/>
  <c r="BA196" i="3"/>
  <c r="BL197" i="3"/>
  <c r="AZ197" i="3"/>
  <c r="G198" i="3"/>
  <c r="BA200" i="3"/>
  <c r="BL201" i="3"/>
  <c r="AZ201" i="3" s="1"/>
  <c r="AZ66" i="3"/>
  <c r="AZ74" i="3"/>
  <c r="AZ185" i="3"/>
  <c r="AZ90" i="3"/>
  <c r="AZ98" i="3"/>
  <c r="AZ106" i="3"/>
  <c r="AZ110"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62"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0" i="3"/>
  <c r="AZ442" i="3"/>
  <c r="AZ446" i="3"/>
  <c r="AZ463" i="3"/>
  <c r="AZ475" i="3"/>
  <c r="AZ479" i="3"/>
  <c r="F33" i="46"/>
  <c r="H9" i="48"/>
  <c r="C12" i="46"/>
  <c r="AB16" i="35"/>
  <c r="AA13" i="40"/>
  <c r="F77" i="40"/>
  <c r="G77" i="40" s="1"/>
  <c r="H77" i="40"/>
  <c r="I77" i="40" s="1"/>
  <c r="J77" i="40" s="1"/>
  <c r="K77" i="40" s="1"/>
  <c r="L77" i="40" s="1"/>
  <c r="M77" i="40" s="1"/>
  <c r="R16" i="4"/>
  <c r="P16" i="4"/>
  <c r="D3" i="35"/>
  <c r="G4" i="4"/>
  <c r="S37" i="34"/>
  <c r="J16" i="35"/>
  <c r="W16" i="35"/>
  <c r="AC26" i="36"/>
  <c r="AZ300" i="3"/>
  <c r="H13" i="39"/>
  <c r="AB13" i="39" s="1"/>
  <c r="H11" i="37"/>
  <c r="AB11" i="37" s="1"/>
  <c r="W37" i="37"/>
  <c r="AA36" i="37"/>
  <c r="S42" i="33"/>
  <c r="U32" i="33"/>
  <c r="AB17" i="37"/>
  <c r="AZ488" i="3"/>
  <c r="AZ532" i="3"/>
  <c r="AC29" i="33"/>
  <c r="AA45" i="33"/>
  <c r="AC10" i="36"/>
  <c r="AC14" i="37"/>
  <c r="W44" i="33"/>
  <c r="J33" i="34"/>
  <c r="J40" i="34"/>
  <c r="W40" i="34" s="1"/>
  <c r="F16" i="35"/>
  <c r="W42" i="33"/>
  <c r="J35" i="34"/>
  <c r="W35" i="34" s="1"/>
  <c r="F107" i="34"/>
  <c r="G107" i="34" s="1"/>
  <c r="H107" i="34" s="1"/>
  <c r="I107" i="34" s="1"/>
  <c r="J107" i="34" s="1"/>
  <c r="K107" i="34" s="1"/>
  <c r="L107" i="34" s="1"/>
  <c r="M107" i="34" s="1"/>
  <c r="H16" i="36"/>
  <c r="AB16" i="36" s="1"/>
  <c r="H35" i="37"/>
  <c r="AB35" i="37"/>
  <c r="S26" i="21"/>
  <c r="H32" i="21"/>
  <c r="U32" i="21"/>
  <c r="U26" i="21"/>
  <c r="U39" i="21"/>
  <c r="J32" i="21"/>
  <c r="AC32" i="21" s="1"/>
  <c r="F17" i="2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F32" i="33"/>
  <c r="AA32" i="33" s="1"/>
  <c r="J32" i="33"/>
  <c r="F35" i="33"/>
  <c r="AA35" i="33" s="1"/>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F19" i="39"/>
  <c r="S19" i="39" s="1"/>
  <c r="H19" i="39"/>
  <c r="U19" i="39" s="1"/>
  <c r="J19" i="39"/>
  <c r="W19" i="39" s="1"/>
  <c r="F43" i="39"/>
  <c r="H43" i="39"/>
  <c r="U43" i="39" s="1"/>
  <c r="J43" i="39"/>
  <c r="AC43" i="39" s="1"/>
  <c r="F99" i="37"/>
  <c r="G99" i="37" s="1"/>
  <c r="H99" i="37" s="1"/>
  <c r="I99" i="37" s="1"/>
  <c r="J99" i="37" s="1"/>
  <c r="K99" i="37" s="1"/>
  <c r="L99" i="37" s="1"/>
  <c r="M99" i="37" s="1"/>
  <c r="AC27" i="37"/>
  <c r="AC45" i="21"/>
  <c r="S28" i="33"/>
  <c r="AA44" i="34"/>
  <c r="AC19" i="33"/>
  <c r="W19" i="33"/>
  <c r="U43" i="34"/>
  <c r="AB43" i="34"/>
  <c r="AC34" i="37"/>
  <c r="AA32" i="21"/>
  <c r="S32" i="21"/>
  <c r="U38" i="21"/>
  <c r="AB34" i="21"/>
  <c r="BL571" i="3"/>
  <c r="F42" i="21"/>
  <c r="AA42" i="21" s="1"/>
  <c r="AB40" i="33"/>
  <c r="U40" i="33"/>
  <c r="S35" i="34"/>
  <c r="H27" i="34"/>
  <c r="AB8" i="35"/>
  <c r="U8" i="35"/>
  <c r="S9" i="35"/>
  <c r="J14" i="35"/>
  <c r="F14" i="35"/>
  <c r="AA14" i="35" s="1"/>
  <c r="H14" i="35"/>
  <c r="U14" i="35" s="1"/>
  <c r="E80" i="35"/>
  <c r="F80" i="35" s="1"/>
  <c r="E94" i="35"/>
  <c r="F94" i="35"/>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c r="AB34" i="36"/>
  <c r="H33" i="36"/>
  <c r="U33" i="36"/>
  <c r="F33" i="36"/>
  <c r="AA33" i="36"/>
  <c r="H27" i="36"/>
  <c r="AB27" i="36"/>
  <c r="AA31" i="36"/>
  <c r="AC26" i="37"/>
  <c r="W26" i="37"/>
  <c r="AB29" i="37"/>
  <c r="AC30" i="37"/>
  <c r="AB14" i="37"/>
  <c r="J17" i="39"/>
  <c r="W17" i="39" s="1"/>
  <c r="F21" i="39"/>
  <c r="S21" i="39" s="1"/>
  <c r="H21" i="39"/>
  <c r="U21" i="39" s="1"/>
  <c r="J21" i="39"/>
  <c r="W21" i="39" s="1"/>
  <c r="F33" i="39"/>
  <c r="S33" i="39" s="1"/>
  <c r="H33" i="39"/>
  <c r="U33" i="39" s="1"/>
  <c r="J33" i="39"/>
  <c r="W33" i="39" s="1"/>
  <c r="F44" i="39"/>
  <c r="S44" i="39" s="1"/>
  <c r="H44" i="39"/>
  <c r="J44" i="39"/>
  <c r="W44" i="39" s="1"/>
  <c r="E127" i="39"/>
  <c r="F127" i="39" s="1"/>
  <c r="G127" i="39" s="1"/>
  <c r="H127" i="39" s="1"/>
  <c r="I127" i="39" s="1"/>
  <c r="J127" i="39" s="1"/>
  <c r="K127" i="39" s="1"/>
  <c r="L127" i="39" s="1"/>
  <c r="M127" i="39" s="1"/>
  <c r="F46" i="39"/>
  <c r="S46" i="39" s="1"/>
  <c r="H46" i="39"/>
  <c r="U46" i="39" s="1"/>
  <c r="J46" i="39"/>
  <c r="W46" i="39" s="1"/>
  <c r="F29" i="39"/>
  <c r="AA29" i="39" s="1"/>
  <c r="F34" i="39"/>
  <c r="AA34" i="39"/>
  <c r="H34" i="39"/>
  <c r="AB34" i="39"/>
  <c r="J34" i="39"/>
  <c r="AC34" i="39"/>
  <c r="F39" i="39"/>
  <c r="H39" i="39"/>
  <c r="AB39" i="39" s="1"/>
  <c r="J39" i="39"/>
  <c r="J29" i="35"/>
  <c r="AC29" i="35" s="1"/>
  <c r="F29" i="35"/>
  <c r="S29" i="35" s="1"/>
  <c r="F37" i="39"/>
  <c r="H37" i="39"/>
  <c r="U37" i="39" s="1"/>
  <c r="J37" i="39"/>
  <c r="W37" i="39" s="1"/>
  <c r="BL567" i="3"/>
  <c r="BA564" i="3"/>
  <c r="BL554" i="3"/>
  <c r="AZ554" i="3" s="1"/>
  <c r="BA552" i="3"/>
  <c r="BA549" i="3"/>
  <c r="BA548" i="3"/>
  <c r="BA547" i="3"/>
  <c r="BA539" i="3"/>
  <c r="BL537" i="3"/>
  <c r="BA535" i="3"/>
  <c r="BA534" i="3"/>
  <c r="BA533" i="3"/>
  <c r="BL531" i="3"/>
  <c r="BL530" i="3"/>
  <c r="BL528" i="3"/>
  <c r="BA527" i="3"/>
  <c r="AZ527" i="3" s="1"/>
  <c r="BA526" i="3"/>
  <c r="BA525" i="3"/>
  <c r="BL523" i="3"/>
  <c r="BL522" i="3"/>
  <c r="BA517" i="3"/>
  <c r="BA514" i="3"/>
  <c r="AZ514" i="3" s="1"/>
  <c r="BL512" i="3"/>
  <c r="BA510" i="3"/>
  <c r="BL507" i="3"/>
  <c r="BA506" i="3"/>
  <c r="BL504" i="3"/>
  <c r="BA503" i="3"/>
  <c r="AZ503" i="3" s="1"/>
  <c r="BA497" i="3"/>
  <c r="BL494" i="3"/>
  <c r="BA491" i="3"/>
  <c r="AZ491" i="3" s="1"/>
  <c r="BA490" i="3"/>
  <c r="BL489" i="3"/>
  <c r="BL487" i="3"/>
  <c r="AZ487" i="3" s="1"/>
  <c r="BA486" i="3"/>
  <c r="BL481" i="3"/>
  <c r="BL19" i="3"/>
  <c r="BA18" i="3"/>
  <c r="F114" i="34"/>
  <c r="G114" i="34" s="1"/>
  <c r="H114" i="34" s="1"/>
  <c r="I114" i="34" s="1"/>
  <c r="J114" i="34" s="1"/>
  <c r="K114" i="34" s="1"/>
  <c r="L114" i="34" s="1"/>
  <c r="M114" i="34" s="1"/>
  <c r="H38" i="34"/>
  <c r="H30" i="40"/>
  <c r="AB30" i="40" s="1"/>
  <c r="G99" i="40"/>
  <c r="J30" i="40"/>
  <c r="AC30" i="40" s="1"/>
  <c r="F38" i="40"/>
  <c r="AA38" i="40" s="1"/>
  <c r="AA36" i="34"/>
  <c r="S35" i="21"/>
  <c r="U8" i="21"/>
  <c r="AB8" i="33"/>
  <c r="E106" i="33"/>
  <c r="H34" i="33"/>
  <c r="U34" i="33" s="1"/>
  <c r="F34" i="33"/>
  <c r="E121" i="33"/>
  <c r="F41" i="33"/>
  <c r="S41" i="33" s="1"/>
  <c r="AC34" i="34"/>
  <c r="AA39" i="34"/>
  <c r="S39" i="34"/>
  <c r="S43" i="34"/>
  <c r="E78" i="34"/>
  <c r="F15" i="34"/>
  <c r="AA15" i="34" s="1"/>
  <c r="W28" i="35"/>
  <c r="J20" i="35"/>
  <c r="AC20" i="35" s="1"/>
  <c r="E72" i="35"/>
  <c r="F72" i="35" s="1"/>
  <c r="G72" i="35" s="1"/>
  <c r="H22" i="35"/>
  <c r="AB22" i="35"/>
  <c r="F23" i="35"/>
  <c r="AA23" i="35" s="1"/>
  <c r="W12" i="36"/>
  <c r="AC12" i="36"/>
  <c r="U31" i="36"/>
  <c r="S8" i="37"/>
  <c r="AA8" i="37"/>
  <c r="F14" i="39"/>
  <c r="AA14" i="39" s="1"/>
  <c r="H14" i="39"/>
  <c r="AB14" i="39" s="1"/>
  <c r="J14" i="39"/>
  <c r="AC14" i="39" s="1"/>
  <c r="F16" i="39"/>
  <c r="H16" i="39"/>
  <c r="J16" i="39"/>
  <c r="AC16" i="39" s="1"/>
  <c r="F23" i="39"/>
  <c r="AA23" i="39" s="1"/>
  <c r="F27" i="39"/>
  <c r="AA27" i="39" s="1"/>
  <c r="J27" i="39"/>
  <c r="AC27" i="39" s="1"/>
  <c r="E91" i="40"/>
  <c r="F91" i="40" s="1"/>
  <c r="G91" i="40" s="1"/>
  <c r="H23" i="40"/>
  <c r="U23" i="40" s="1"/>
  <c r="H41" i="40"/>
  <c r="AB41" i="40" s="1"/>
  <c r="H36" i="33"/>
  <c r="AB36" i="33"/>
  <c r="H37" i="34"/>
  <c r="J15" i="39"/>
  <c r="AC15" i="39" s="1"/>
  <c r="H45" i="39"/>
  <c r="U45" i="39" s="1"/>
  <c r="F41" i="39"/>
  <c r="AA41" i="39" s="1"/>
  <c r="H41" i="39"/>
  <c r="AB41" i="39" s="1"/>
  <c r="J41" i="39"/>
  <c r="AC41" i="39" s="1"/>
  <c r="J25" i="40"/>
  <c r="AC25" i="40" s="1"/>
  <c r="J32" i="40"/>
  <c r="AC32" i="40" s="1"/>
  <c r="H32" i="40"/>
  <c r="U32" i="40" s="1"/>
  <c r="H33" i="40"/>
  <c r="AB33" i="40" s="1"/>
  <c r="F33" i="40"/>
  <c r="AA33" i="40" s="1"/>
  <c r="J33" i="40"/>
  <c r="J38" i="39"/>
  <c r="W38" i="39" s="1"/>
  <c r="H38" i="39"/>
  <c r="U38" i="39" s="1"/>
  <c r="J16" i="40"/>
  <c r="J14" i="40"/>
  <c r="W14" i="40" s="1"/>
  <c r="H42" i="40"/>
  <c r="AB42" i="40" s="1"/>
  <c r="H40" i="40"/>
  <c r="U40" i="40" s="1"/>
  <c r="H34" i="40"/>
  <c r="AZ399" i="3"/>
  <c r="AZ403" i="3"/>
  <c r="AZ415" i="3"/>
  <c r="AZ431" i="3"/>
  <c r="AZ439" i="3"/>
  <c r="AZ454" i="3"/>
  <c r="B41" i="1"/>
  <c r="J42" i="40"/>
  <c r="AC42" i="40" s="1"/>
  <c r="J40" i="40"/>
  <c r="AC40" i="40" s="1"/>
  <c r="J34" i="40"/>
  <c r="AC34" i="40" s="1"/>
  <c r="H16" i="40"/>
  <c r="AB16" i="40" s="1"/>
  <c r="H14" i="40"/>
  <c r="U14" i="40" s="1"/>
  <c r="F32" i="40"/>
  <c r="AA32" i="40" s="1"/>
  <c r="AZ401" i="3"/>
  <c r="AZ428" i="3"/>
  <c r="AZ433" i="3"/>
  <c r="AZ441" i="3"/>
  <c r="AZ444" i="3"/>
  <c r="AZ452" i="3"/>
  <c r="M6" i="46"/>
  <c r="N2" i="46"/>
  <c r="F58" i="46"/>
  <c r="H61" i="46" s="1"/>
  <c r="AZ456" i="3"/>
  <c r="AZ474" i="3"/>
  <c r="AZ477" i="3"/>
  <c r="AZ212" i="3"/>
  <c r="AZ215" i="3"/>
  <c r="AZ228" i="3"/>
  <c r="AZ231" i="3"/>
  <c r="AZ244" i="3"/>
  <c r="AZ247" i="3"/>
  <c r="AZ260" i="3"/>
  <c r="AZ263" i="3"/>
  <c r="AZ276" i="3"/>
  <c r="AZ281" i="3"/>
  <c r="AZ292" i="3"/>
  <c r="AZ124" i="3"/>
  <c r="AZ140" i="3"/>
  <c r="M11" i="46"/>
  <c r="N6" i="46"/>
  <c r="F69" i="46"/>
  <c r="H71" i="46" s="1"/>
  <c r="AZ164" i="3"/>
  <c r="AZ177" i="3"/>
  <c r="AZ24" i="3"/>
  <c r="AZ40" i="3"/>
  <c r="AZ56" i="3"/>
  <c r="AZ63" i="3"/>
  <c r="AZ99" i="3"/>
  <c r="AZ112" i="3"/>
  <c r="J13" i="40"/>
  <c r="AB14" i="40"/>
  <c r="F72" i="9"/>
  <c r="S33" i="40"/>
  <c r="U37" i="34"/>
  <c r="AB37" i="34"/>
  <c r="J23" i="40"/>
  <c r="AC23" i="40" s="1"/>
  <c r="F23" i="40"/>
  <c r="S23" i="40" s="1"/>
  <c r="AB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99" i="40"/>
  <c r="I99" i="40" s="1"/>
  <c r="J99" i="40" s="1"/>
  <c r="K99" i="40" s="1"/>
  <c r="L99" i="40" s="1"/>
  <c r="M99" i="40" s="1"/>
  <c r="AB37" i="39"/>
  <c r="AA29" i="35"/>
  <c r="U39" i="39"/>
  <c r="AB21" i="39"/>
  <c r="AB33" i="36"/>
  <c r="AA11" i="36"/>
  <c r="S14" i="35"/>
  <c r="F33" i="37"/>
  <c r="S33" i="37" s="1"/>
  <c r="U46" i="34"/>
  <c r="AC30" i="34"/>
  <c r="AA14" i="34"/>
  <c r="W12" i="34"/>
  <c r="U29" i="33"/>
  <c r="AC13" i="33"/>
  <c r="U17" i="34"/>
  <c r="AA11" i="34"/>
  <c r="H15" i="33"/>
  <c r="U15" i="33" s="1"/>
  <c r="AA11" i="33"/>
  <c r="AA40" i="21"/>
  <c r="U16" i="40"/>
  <c r="W32" i="40"/>
  <c r="H25" i="40"/>
  <c r="AB25" i="40" s="1"/>
  <c r="F93" i="40"/>
  <c r="G93" i="40" s="1"/>
  <c r="J37" i="34"/>
  <c r="J36" i="33"/>
  <c r="W36" i="33" s="1"/>
  <c r="S15" i="34"/>
  <c r="AA41" i="33"/>
  <c r="F106" i="33"/>
  <c r="G106" i="33" s="1"/>
  <c r="H106" i="33" s="1"/>
  <c r="I106" i="33" s="1"/>
  <c r="J106" i="33" s="1"/>
  <c r="K106" i="33" s="1"/>
  <c r="L106" i="33" s="1"/>
  <c r="M106" i="33" s="1"/>
  <c r="J34" i="33"/>
  <c r="AC34" i="33" s="1"/>
  <c r="U30" i="40"/>
  <c r="W29" i="35"/>
  <c r="AC39" i="39"/>
  <c r="W39" i="39"/>
  <c r="AA39" i="39"/>
  <c r="S39" i="39"/>
  <c r="U34" i="39"/>
  <c r="AC33" i="39"/>
  <c r="U11" i="36"/>
  <c r="G80" i="35"/>
  <c r="H80" i="35" s="1"/>
  <c r="I80" i="35" s="1"/>
  <c r="J80" i="35" s="1"/>
  <c r="K80" i="35" s="1"/>
  <c r="L80" i="35" s="1"/>
  <c r="M80" i="35" s="1"/>
  <c r="F90" i="34"/>
  <c r="G90" i="34" s="1"/>
  <c r="H90" i="34" s="1"/>
  <c r="I90" i="34" s="1"/>
  <c r="J90" i="34" s="1"/>
  <c r="K90" i="34" s="1"/>
  <c r="L90" i="34" s="1"/>
  <c r="M90" i="34" s="1"/>
  <c r="AA43" i="39"/>
  <c r="S43" i="39"/>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H10" i="33"/>
  <c r="U10" i="33" s="1"/>
  <c r="J10" i="33"/>
  <c r="AC10" i="33" s="1"/>
  <c r="U40" i="21"/>
  <c r="U11" i="37"/>
  <c r="AC16" i="35"/>
  <c r="J11" i="34"/>
  <c r="AC36" i="33"/>
  <c r="F25" i="40"/>
  <c r="AA25" i="40" s="1"/>
  <c r="J11" i="33"/>
  <c r="W11" i="33" s="1"/>
  <c r="H33" i="37"/>
  <c r="AB33" i="37" s="1"/>
  <c r="AC15" i="34"/>
  <c r="U20" i="35"/>
  <c r="W23" i="40"/>
  <c r="AP11" i="1"/>
  <c r="B11" i="1"/>
  <c r="E11" i="1" s="1"/>
  <c r="K11" i="1"/>
  <c r="M11" i="1" s="1"/>
  <c r="B9" i="1"/>
  <c r="E9" i="1" s="1"/>
  <c r="K9" i="1"/>
  <c r="M9" i="1" s="1"/>
  <c r="B7" i="1"/>
  <c r="E7" i="1" s="1"/>
  <c r="K7" i="1"/>
  <c r="M7" i="1" s="1"/>
  <c r="F6" i="1"/>
  <c r="AP6" i="1" s="1"/>
  <c r="G11" i="1"/>
  <c r="M20" i="44"/>
  <c r="AC25" i="36"/>
  <c r="S8" i="36"/>
  <c r="AA26" i="36"/>
  <c r="AA28" i="36"/>
  <c r="U25" i="36"/>
  <c r="H20" i="36"/>
  <c r="U20" i="36"/>
  <c r="F68" i="36"/>
  <c r="G68" i="36"/>
  <c r="J20" i="36"/>
  <c r="AC20" i="36"/>
  <c r="F20" i="36"/>
  <c r="S20" i="36"/>
  <c r="J14" i="36"/>
  <c r="H14" i="36"/>
  <c r="F14" i="36"/>
  <c r="AA14" i="36"/>
  <c r="W20" i="36"/>
  <c r="U27" i="36"/>
  <c r="AB12" i="36"/>
  <c r="U9" i="36"/>
  <c r="S33" i="36"/>
  <c r="AA27" i="36"/>
  <c r="S16" i="36"/>
  <c r="S29" i="36"/>
  <c r="AC33" i="35"/>
  <c r="U22" i="35"/>
  <c r="S8" i="35"/>
  <c r="U33" i="35"/>
  <c r="W20" i="35"/>
  <c r="S23" i="35"/>
  <c r="AB14" i="35"/>
  <c r="AC10" i="35"/>
  <c r="U9" i="35"/>
  <c r="AC18" i="35"/>
  <c r="W18" i="35"/>
  <c r="U18" i="35"/>
  <c r="AB18" i="35"/>
  <c r="S30" i="35"/>
  <c r="AB30" i="35"/>
  <c r="S28" i="35"/>
  <c r="J26" i="35"/>
  <c r="F26" i="35"/>
  <c r="H26" i="35"/>
  <c r="AB9" i="37"/>
  <c r="AA9" i="37"/>
  <c r="S17" i="37"/>
  <c r="AB37" i="37"/>
  <c r="AA31" i="37"/>
  <c r="AA33" i="37"/>
  <c r="AA32" i="37"/>
  <c r="J33" i="37"/>
  <c r="W33" i="37"/>
  <c r="S29" i="37"/>
  <c r="J19" i="37"/>
  <c r="AC19" i="37" s="1"/>
  <c r="F19" i="37"/>
  <c r="AA19" i="37" s="1"/>
  <c r="H19" i="37"/>
  <c r="U19" i="37" s="1"/>
  <c r="J17" i="37"/>
  <c r="S15" i="37"/>
  <c r="AC21" i="37"/>
  <c r="W21" i="37"/>
  <c r="AC11" i="37"/>
  <c r="W32" i="37"/>
  <c r="U35" i="37"/>
  <c r="U8" i="37"/>
  <c r="AB21" i="37"/>
  <c r="U21" i="37"/>
  <c r="S37" i="37"/>
  <c r="AA11" i="37"/>
  <c r="S10" i="37"/>
  <c r="W46" i="34"/>
  <c r="AA40" i="34"/>
  <c r="U30" i="34"/>
  <c r="S32" i="34"/>
  <c r="AB33" i="34"/>
  <c r="AA12" i="34"/>
  <c r="AC35" i="34"/>
  <c r="AA30" i="34"/>
  <c r="AC32" i="34"/>
  <c r="U44" i="34"/>
  <c r="U34" i="34"/>
  <c r="J25" i="34"/>
  <c r="AC25" i="34" s="1"/>
  <c r="H25" i="34"/>
  <c r="F25" i="34"/>
  <c r="S25" i="34" s="1"/>
  <c r="J23" i="34"/>
  <c r="F86" i="34"/>
  <c r="G86" i="34" s="1"/>
  <c r="F23" i="34"/>
  <c r="H23" i="34"/>
  <c r="W17" i="34"/>
  <c r="U11" i="34"/>
  <c r="U10" i="34"/>
  <c r="AC40" i="34"/>
  <c r="W44" i="34"/>
  <c r="W19" i="34"/>
  <c r="AC21" i="34"/>
  <c r="W21" i="34"/>
  <c r="U15" i="34"/>
  <c r="AB21" i="34"/>
  <c r="U21" i="34"/>
  <c r="U19" i="34"/>
  <c r="AB41" i="34"/>
  <c r="AA41" i="34"/>
  <c r="S9" i="34"/>
  <c r="U39" i="33"/>
  <c r="S35" i="33"/>
  <c r="W34" i="33"/>
  <c r="AB41" i="33"/>
  <c r="U36" i="33"/>
  <c r="AC35" i="33"/>
  <c r="S29" i="33"/>
  <c r="U35" i="33"/>
  <c r="AB34" i="33"/>
  <c r="W26" i="33"/>
  <c r="H25" i="33"/>
  <c r="J25" i="33"/>
  <c r="W25" i="33" s="1"/>
  <c r="F87" i="33"/>
  <c r="G87" i="33" s="1"/>
  <c r="H87" i="33" s="1"/>
  <c r="I87" i="33" s="1"/>
  <c r="J87" i="33" s="1"/>
  <c r="K87" i="33" s="1"/>
  <c r="L87" i="33" s="1"/>
  <c r="M87" i="33" s="1"/>
  <c r="F25" i="33"/>
  <c r="J23" i="33"/>
  <c r="AC23" i="33" s="1"/>
  <c r="F23" i="33"/>
  <c r="H23" i="33"/>
  <c r="AB23" i="33" s="1"/>
  <c r="F17" i="33"/>
  <c r="H17" i="33"/>
  <c r="J17" i="33"/>
  <c r="AC11" i="33"/>
  <c r="W10" i="33"/>
  <c r="AC21" i="33"/>
  <c r="W21" i="33"/>
  <c r="AB21" i="33"/>
  <c r="U21" i="33"/>
  <c r="AA21" i="33"/>
  <c r="S21" i="33"/>
  <c r="AA44" i="33"/>
  <c r="AA36" i="33"/>
  <c r="U35" i="21"/>
  <c r="W43" i="21"/>
  <c r="AB32" i="21"/>
  <c r="AC26" i="21"/>
  <c r="H23" i="21"/>
  <c r="U23" i="21" s="1"/>
  <c r="W13" i="21"/>
  <c r="AC21" i="21"/>
  <c r="W21" i="21"/>
  <c r="W10" i="21"/>
  <c r="AB21" i="21"/>
  <c r="U21" i="21"/>
  <c r="AB29" i="21"/>
  <c r="AA31" i="21"/>
  <c r="S14" i="40"/>
  <c r="AB13" i="40"/>
  <c r="S16" i="40"/>
  <c r="W11" i="40"/>
  <c r="AA21" i="40"/>
  <c r="U21" i="40"/>
  <c r="W25" i="40"/>
  <c r="U25" i="40"/>
  <c r="W42" i="40"/>
  <c r="F37" i="40"/>
  <c r="S37" i="40" s="1"/>
  <c r="J37" i="40"/>
  <c r="AC37" i="40" s="1"/>
  <c r="H37" i="40"/>
  <c r="AB37" i="40" s="1"/>
  <c r="F39" i="40"/>
  <c r="S39" i="40" s="1"/>
  <c r="S38" i="40"/>
  <c r="H39" i="40"/>
  <c r="U39" i="40" s="1"/>
  <c r="J39" i="40"/>
  <c r="W38" i="40"/>
  <c r="F29" i="40"/>
  <c r="H29" i="40"/>
  <c r="AB29" i="40" s="1"/>
  <c r="J29" i="40"/>
  <c r="F97" i="40"/>
  <c r="G97" i="40" s="1"/>
  <c r="H97" i="40" s="1"/>
  <c r="I97" i="40" s="1"/>
  <c r="J97" i="40" s="1"/>
  <c r="K97" i="40" s="1"/>
  <c r="L97" i="40" s="1"/>
  <c r="M97" i="40" s="1"/>
  <c r="S30" i="40"/>
  <c r="S25" i="40"/>
  <c r="AA23" i="40"/>
  <c r="F87" i="40"/>
  <c r="G87" i="40" s="1"/>
  <c r="F19" i="40"/>
  <c r="H19" i="40"/>
  <c r="U19" i="40" s="1"/>
  <c r="J19" i="40"/>
  <c r="W17" i="40"/>
  <c r="F17" i="40"/>
  <c r="AA17" i="40" s="1"/>
  <c r="H17" i="40"/>
  <c r="U17" i="40" s="1"/>
  <c r="W21" i="40"/>
  <c r="AB40" i="40"/>
  <c r="U10" i="40"/>
  <c r="U27" i="40"/>
  <c r="AB27" i="40"/>
  <c r="AC44" i="39"/>
  <c r="S11" i="39"/>
  <c r="AA21" i="39"/>
  <c r="S14" i="39"/>
  <c r="U11" i="39"/>
  <c r="AB38" i="39"/>
  <c r="U31" i="39"/>
  <c r="AB31" i="39"/>
  <c r="S38" i="39"/>
  <c r="M20" i="15"/>
  <c r="D96" i="9"/>
  <c r="A18" i="64"/>
  <c r="B74" i="63" s="1"/>
  <c r="C53" i="10"/>
  <c r="A25" i="64" s="1"/>
  <c r="A18" i="51"/>
  <c r="B14" i="63" s="1"/>
  <c r="BA16" i="3"/>
  <c r="BA17" i="3"/>
  <c r="AZ17" i="3" s="1"/>
  <c r="F3" i="35"/>
  <c r="K1" i="12"/>
  <c r="I4" i="6"/>
  <c r="G3" i="46"/>
  <c r="AZ15" i="3"/>
  <c r="BO5" i="3"/>
  <c r="BN5" i="3"/>
  <c r="G29" i="6" s="1"/>
  <c r="BL18" i="3"/>
  <c r="AZ18" i="3" s="1"/>
  <c r="BC5" i="3"/>
  <c r="BD5" i="3"/>
  <c r="BS5" i="3"/>
  <c r="BL16" i="3"/>
  <c r="BA13" i="3"/>
  <c r="G28" i="12"/>
  <c r="D24" i="44"/>
  <c r="D26" i="44"/>
  <c r="N4" i="46"/>
  <c r="F47" i="46"/>
  <c r="H53" i="46" s="1"/>
  <c r="M2" i="46"/>
  <c r="N9" i="46"/>
  <c r="M12" i="46"/>
  <c r="M3" i="46"/>
  <c r="C6" i="46"/>
  <c r="H15" i="48"/>
  <c r="H14" i="48"/>
  <c r="F36" i="46"/>
  <c r="K17" i="46"/>
  <c r="F39" i="46"/>
  <c r="H13" i="48"/>
  <c r="D17" i="46"/>
  <c r="D71" i="46"/>
  <c r="D84" i="46"/>
  <c r="E80" i="46" s="1"/>
  <c r="B78" i="46" s="1"/>
  <c r="D69" i="46"/>
  <c r="E69" i="46" s="1"/>
  <c r="B67" i="46" s="1"/>
  <c r="E47" i="46"/>
  <c r="E58" i="46"/>
  <c r="B56" i="46"/>
  <c r="A4" i="51"/>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B6" i="63"/>
  <c r="L5" i="54"/>
  <c r="B39" i="63"/>
  <c r="K5" i="54"/>
  <c r="B38" i="63"/>
  <c r="T41" i="4"/>
  <c r="A17" i="64"/>
  <c r="B46" i="50"/>
  <c r="B4" i="63"/>
  <c r="H86" i="46"/>
  <c r="H82" i="46"/>
  <c r="H87" i="46"/>
  <c r="H85" i="46"/>
  <c r="H83" i="46"/>
  <c r="K10" i="1"/>
  <c r="M10" i="1" s="1"/>
  <c r="S11" i="1"/>
  <c r="R11" i="1"/>
  <c r="S13" i="1"/>
  <c r="R13" i="1"/>
  <c r="B10" i="1"/>
  <c r="E10" i="1" s="1"/>
  <c r="S10" i="1"/>
  <c r="B8" i="1"/>
  <c r="E8" i="1" s="1"/>
  <c r="B12" i="1"/>
  <c r="E12" i="1" s="1"/>
  <c r="S12" i="1"/>
  <c r="G1" i="15"/>
  <c r="F66" i="36"/>
  <c r="H18" i="36"/>
  <c r="U16" i="36"/>
  <c r="S25" i="36"/>
  <c r="AA34" i="36"/>
  <c r="AC27" i="36"/>
  <c r="W28" i="36"/>
  <c r="U13" i="36"/>
  <c r="AA22" i="36"/>
  <c r="U10" i="36"/>
  <c r="AA13" i="36"/>
  <c r="W9" i="36"/>
  <c r="W8" i="36"/>
  <c r="AC30" i="35"/>
  <c r="U24" i="35"/>
  <c r="W32" i="35"/>
  <c r="S24" i="35"/>
  <c r="AA33" i="35"/>
  <c r="U32" i="35"/>
  <c r="W22" i="35"/>
  <c r="W34" i="35"/>
  <c r="S32" i="35"/>
  <c r="W35" i="37"/>
  <c r="AC33" i="37"/>
  <c r="U33" i="37"/>
  <c r="AC15" i="37"/>
  <c r="S12" i="37"/>
  <c r="W38" i="37"/>
  <c r="W36" i="37"/>
  <c r="U26" i="37"/>
  <c r="U38" i="37"/>
  <c r="AB35" i="34"/>
  <c r="S19" i="34"/>
  <c r="S8" i="34"/>
  <c r="AA19" i="33"/>
  <c r="AC25" i="33"/>
  <c r="S43" i="33"/>
  <c r="AB42" i="33"/>
  <c r="S26" i="33"/>
  <c r="S15" i="33"/>
  <c r="S39" i="21"/>
  <c r="AB45" i="21"/>
  <c r="AA25" i="21"/>
  <c r="AA29" i="21"/>
  <c r="U27" i="21"/>
  <c r="W31" i="21"/>
  <c r="S27" i="21"/>
  <c r="AC27" i="21"/>
  <c r="W29" i="21"/>
  <c r="G95" i="40"/>
  <c r="J27" i="40"/>
  <c r="AC27" i="40" s="1"/>
  <c r="W37" i="40"/>
  <c r="W30" i="40"/>
  <c r="U38" i="40"/>
  <c r="S42" i="40"/>
  <c r="G104" i="39"/>
  <c r="J31" i="39"/>
  <c r="W31" i="39" s="1"/>
  <c r="AB33" i="39"/>
  <c r="AC46" i="39"/>
  <c r="S34" i="39"/>
  <c r="W42" i="39"/>
  <c r="W36" i="39"/>
  <c r="AC37" i="39"/>
  <c r="U14" i="39"/>
  <c r="W16" i="39"/>
  <c r="AA44" i="39"/>
  <c r="AA46" i="39"/>
  <c r="W34" i="39"/>
  <c r="W10" i="39"/>
  <c r="W11" i="39"/>
  <c r="U42" i="39"/>
  <c r="W40" i="39"/>
  <c r="S32" i="40"/>
  <c r="C17" i="40"/>
  <c r="C17" i="39"/>
  <c r="C19" i="39"/>
  <c r="C21" i="39"/>
  <c r="C23" i="40"/>
  <c r="B48" i="46"/>
  <c r="B55" i="46"/>
  <c r="B59" i="46"/>
  <c r="B62" i="46"/>
  <c r="B53" i="46"/>
  <c r="B64" i="46"/>
  <c r="D24" i="15"/>
  <c r="S14" i="36"/>
  <c r="AB20" i="36"/>
  <c r="AA20" i="36"/>
  <c r="AC14" i="36"/>
  <c r="W14" i="36"/>
  <c r="U14" i="36"/>
  <c r="AB14" i="36"/>
  <c r="U18" i="36"/>
  <c r="AB18" i="36"/>
  <c r="AA26" i="35"/>
  <c r="S26" i="35"/>
  <c r="U26" i="35"/>
  <c r="AB26" i="35"/>
  <c r="W26" i="35"/>
  <c r="AC26" i="35"/>
  <c r="S19" i="37"/>
  <c r="AB19" i="37"/>
  <c r="AC17" i="37"/>
  <c r="W17" i="37"/>
  <c r="U25" i="34"/>
  <c r="AB25" i="34"/>
  <c r="AA25" i="34"/>
  <c r="W25" i="34"/>
  <c r="U23" i="34"/>
  <c r="AB23" i="34"/>
  <c r="AA23" i="34"/>
  <c r="S23" i="34"/>
  <c r="AC23" i="34"/>
  <c r="W23" i="34"/>
  <c r="AA25" i="33"/>
  <c r="S25" i="33"/>
  <c r="U23" i="33"/>
  <c r="W23" i="33"/>
  <c r="S23" i="33"/>
  <c r="AA23" i="33"/>
  <c r="W17" i="33"/>
  <c r="AC17" i="33"/>
  <c r="AA17" i="33"/>
  <c r="S17" i="33"/>
  <c r="U17" i="33"/>
  <c r="AB17" i="33"/>
  <c r="AB39" i="40"/>
  <c r="AC39" i="40"/>
  <c r="W39" i="40"/>
  <c r="AA39" i="40"/>
  <c r="U37" i="40"/>
  <c r="AA37" i="40"/>
  <c r="U29" i="40"/>
  <c r="AC29" i="40"/>
  <c r="W29" i="40"/>
  <c r="AA29" i="40"/>
  <c r="S29" i="40"/>
  <c r="W19" i="40"/>
  <c r="AC19" i="40"/>
  <c r="AA19" i="40"/>
  <c r="S19" i="40"/>
  <c r="AB19" i="40"/>
  <c r="W27" i="40"/>
  <c r="A17" i="51"/>
  <c r="B13" i="63" s="1"/>
  <c r="AT6" i="3"/>
  <c r="AZ16" i="3"/>
  <c r="A3" i="55"/>
  <c r="B56" i="63" s="1"/>
  <c r="E4" i="4"/>
  <c r="B21" i="55" s="1"/>
  <c r="B72" i="63" s="1"/>
  <c r="C4" i="4"/>
  <c r="B20" i="55" s="1"/>
  <c r="B70" i="63" s="1"/>
  <c r="G66" i="36"/>
  <c r="J18" i="36"/>
  <c r="AE8" i="1"/>
  <c r="W18" i="36"/>
  <c r="AC18" i="36"/>
  <c r="AG6" i="1"/>
  <c r="L20" i="6"/>
  <c r="S8" i="1"/>
  <c r="S9" i="1"/>
  <c r="R9" i="1"/>
  <c r="R8" i="1"/>
  <c r="C45" i="9"/>
  <c r="H14" i="66" s="1"/>
  <c r="B7" i="66" s="1"/>
  <c r="N76" i="9"/>
  <c r="C46" i="9"/>
  <c r="K33" i="9" s="1"/>
  <c r="J17" i="46"/>
  <c r="C17" i="46"/>
  <c r="F34" i="46"/>
  <c r="F38" i="46"/>
  <c r="F37" i="46"/>
  <c r="H113" i="46"/>
  <c r="H49"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22" i="46"/>
  <c r="Y11" i="46"/>
  <c r="Y13" i="46" s="1"/>
  <c r="H101" i="46"/>
  <c r="H102" i="46" s="1"/>
  <c r="G22" i="46"/>
  <c r="J22" i="46"/>
  <c r="F101" i="46"/>
  <c r="F106" i="46" s="1"/>
  <c r="D101" i="46"/>
  <c r="D105" i="46" s="1"/>
  <c r="AP7" i="1"/>
  <c r="H70" i="46"/>
  <c r="F107" i="46"/>
  <c r="H73" i="46"/>
  <c r="H48" i="46"/>
  <c r="F35" i="46"/>
  <c r="I17" i="46"/>
  <c r="I101" i="46"/>
  <c r="I105" i="46" s="1"/>
  <c r="M101" i="46"/>
  <c r="N101" i="46"/>
  <c r="N105" i="46" s="1"/>
  <c r="AC11" i="46"/>
  <c r="AC13" i="46" s="1"/>
  <c r="AD11" i="46"/>
  <c r="AJ11" i="46"/>
  <c r="H64"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H60" i="46"/>
  <c r="H74" i="46"/>
  <c r="AB11" i="46"/>
  <c r="AB13" i="46" s="1"/>
  <c r="H72" i="46"/>
  <c r="H77" i="46"/>
  <c r="H55" i="46"/>
  <c r="H52" i="46"/>
  <c r="AD12" i="46"/>
  <c r="AH12" i="46"/>
  <c r="C22" i="59"/>
  <c r="C21" i="59" s="1"/>
  <c r="B22" i="59"/>
  <c r="B21" i="59" s="1"/>
  <c r="B20" i="59" s="1"/>
  <c r="B19" i="59" s="1"/>
  <c r="B18" i="59" s="1"/>
  <c r="D22"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G20" i="46"/>
  <c r="E41" i="46" s="1"/>
  <c r="C41" i="46" s="1"/>
  <c r="S5" i="46"/>
  <c r="S2" i="46"/>
  <c r="S3" i="46"/>
  <c r="S7" i="46"/>
  <c r="S6" i="46"/>
  <c r="S4" i="46"/>
  <c r="B8" i="67"/>
  <c r="F9" i="67"/>
  <c r="E9" i="67"/>
  <c r="E11" i="67"/>
  <c r="B11" i="67"/>
  <c r="F13" i="15"/>
  <c r="N4" i="65"/>
  <c r="B9" i="67"/>
  <c r="E13" i="67"/>
  <c r="F13" i="67"/>
  <c r="M6" i="15"/>
  <c r="L47" i="15"/>
  <c r="E12" i="67"/>
  <c r="N7" i="65"/>
  <c r="M27" i="15"/>
  <c r="F36" i="15"/>
  <c r="F11" i="67"/>
  <c r="F26" i="15"/>
  <c r="F8" i="67"/>
  <c r="F16" i="15"/>
  <c r="N3" i="65"/>
  <c r="F37" i="15"/>
  <c r="B10" i="67"/>
  <c r="E14" i="67"/>
  <c r="B12" i="67"/>
  <c r="E10" i="67"/>
  <c r="J36" i="15"/>
  <c r="F6" i="15"/>
  <c r="M23" i="15"/>
  <c r="M22" i="15"/>
  <c r="F8" i="15"/>
  <c r="N5" i="65"/>
  <c r="F14" i="67"/>
  <c r="M26" i="15"/>
  <c r="B13" i="67"/>
  <c r="B14" i="67"/>
  <c r="E8" i="67"/>
  <c r="I5" i="65"/>
  <c r="M28" i="15"/>
  <c r="F38" i="15"/>
  <c r="M8" i="15"/>
  <c r="M9" i="15"/>
  <c r="M24" i="15"/>
  <c r="L48" i="15"/>
  <c r="N6" i="65"/>
  <c r="J15" i="15"/>
  <c r="F12" i="67"/>
  <c r="F10" i="67"/>
  <c r="J6" i="65"/>
  <c r="B20" i="31" l="1"/>
  <c r="R22" i="31"/>
  <c r="B21" i="31" s="1"/>
  <c r="AC44" i="21"/>
  <c r="W44" i="21"/>
  <c r="AZ541" i="3"/>
  <c r="W46" i="21"/>
  <c r="AC46" i="21"/>
  <c r="E29" i="6"/>
  <c r="L19" i="6" s="1"/>
  <c r="AB25" i="33"/>
  <c r="U25" i="33"/>
  <c r="W11" i="34"/>
  <c r="AC11" i="34"/>
  <c r="U34" i="40"/>
  <c r="AB34" i="40"/>
  <c r="W16" i="40"/>
  <c r="AC16" i="40"/>
  <c r="AC33" i="40"/>
  <c r="W33" i="40"/>
  <c r="U16" i="39"/>
  <c r="AB16" i="39"/>
  <c r="AB27" i="34"/>
  <c r="U27" i="34"/>
  <c r="W15" i="33"/>
  <c r="AC15" i="33"/>
  <c r="AA16" i="35"/>
  <c r="S16" i="35"/>
  <c r="U15" i="37"/>
  <c r="AB15" i="37"/>
  <c r="AB12" i="37"/>
  <c r="U12" i="37"/>
  <c r="AC43" i="33"/>
  <c r="W43" i="33"/>
  <c r="AZ558" i="3"/>
  <c r="AZ493" i="3"/>
  <c r="AZ559" i="3"/>
  <c r="AA46" i="21"/>
  <c r="S46" i="21"/>
  <c r="U44" i="21"/>
  <c r="AB44" i="21"/>
  <c r="S30" i="21"/>
  <c r="AA30" i="21"/>
  <c r="AC10" i="34"/>
  <c r="W10" i="34"/>
  <c r="U36" i="34"/>
  <c r="AB36" i="34"/>
  <c r="S38" i="21"/>
  <c r="AA38" i="21"/>
  <c r="BL572" i="3"/>
  <c r="BA571" i="3"/>
  <c r="AZ571" i="3" s="1"/>
  <c r="BH5" i="3"/>
  <c r="BF5" i="3"/>
  <c r="W38" i="21"/>
  <c r="AC38" i="21"/>
  <c r="C58" i="21"/>
  <c r="D58" i="21" s="1"/>
  <c r="E58" i="21" s="1"/>
  <c r="I7" i="21"/>
  <c r="E7" i="21"/>
  <c r="G7" i="21"/>
  <c r="H28" i="21"/>
  <c r="F28" i="21"/>
  <c r="AB42" i="21"/>
  <c r="U42" i="21"/>
  <c r="B69" i="46"/>
  <c r="B69" i="74"/>
  <c r="B58" i="46"/>
  <c r="B58" i="74"/>
  <c r="AA10" i="34"/>
  <c r="S10" i="34"/>
  <c r="F28" i="34"/>
  <c r="H28" i="34"/>
  <c r="H14" i="33"/>
  <c r="J14" i="33"/>
  <c r="AA27" i="35"/>
  <c r="S27" i="35"/>
  <c r="U8" i="36"/>
  <c r="AB8" i="36"/>
  <c r="AB22" i="36"/>
  <c r="U22" i="36"/>
  <c r="J23" i="36"/>
  <c r="F23" i="36"/>
  <c r="H25" i="37"/>
  <c r="F25" i="37"/>
  <c r="F90" i="39"/>
  <c r="G90" i="39" s="1"/>
  <c r="H17" i="39"/>
  <c r="E98" i="39"/>
  <c r="F98" i="39" s="1"/>
  <c r="G98" i="39" s="1"/>
  <c r="H25" i="39"/>
  <c r="U25" i="39" s="1"/>
  <c r="F25" i="39"/>
  <c r="AA25" i="39" s="1"/>
  <c r="F15" i="40"/>
  <c r="H15" i="40"/>
  <c r="H35" i="40"/>
  <c r="J35" i="40"/>
  <c r="AC35" i="40" s="1"/>
  <c r="F82" i="39"/>
  <c r="G82" i="39" s="1"/>
  <c r="H82" i="39" s="1"/>
  <c r="I82" i="39" s="1"/>
  <c r="J82" i="39" s="1"/>
  <c r="K82" i="39" s="1"/>
  <c r="L82" i="39" s="1"/>
  <c r="M82" i="39" s="1"/>
  <c r="F13" i="39"/>
  <c r="BA567" i="3"/>
  <c r="AZ567" i="3" s="1"/>
  <c r="BL565" i="3"/>
  <c r="AZ565" i="3" s="1"/>
  <c r="BA565" i="3"/>
  <c r="BL563" i="3"/>
  <c r="BA563" i="3"/>
  <c r="BL561" i="3"/>
  <c r="AZ561" i="3" s="1"/>
  <c r="BA557" i="3"/>
  <c r="AZ557" i="3" s="1"/>
  <c r="BL540" i="3"/>
  <c r="AZ540" i="3" s="1"/>
  <c r="BL539" i="3"/>
  <c r="BA537" i="3"/>
  <c r="AZ537" i="3" s="1"/>
  <c r="BL535" i="3"/>
  <c r="BA530" i="3"/>
  <c r="AZ530" i="3" s="1"/>
  <c r="BA528" i="3"/>
  <c r="AZ528" i="3" s="1"/>
  <c r="BL519" i="3"/>
  <c r="BA519" i="3"/>
  <c r="BL517" i="3"/>
  <c r="AZ517" i="3" s="1"/>
  <c r="BA512" i="3"/>
  <c r="AZ512" i="3" s="1"/>
  <c r="BL502" i="3"/>
  <c r="BA502" i="3"/>
  <c r="BL500" i="3"/>
  <c r="BA500" i="3"/>
  <c r="BA499" i="3"/>
  <c r="AZ499" i="3" s="1"/>
  <c r="BL497" i="3"/>
  <c r="BA485" i="3"/>
  <c r="AZ485" i="3" s="1"/>
  <c r="BA484" i="3"/>
  <c r="BE5" i="3"/>
  <c r="F34" i="15"/>
  <c r="F61" i="15" s="1"/>
  <c r="F34" i="71"/>
  <c r="M20" i="71"/>
  <c r="F36" i="44"/>
  <c r="M22" i="44"/>
  <c r="AZ497" i="3"/>
  <c r="AZ535" i="3"/>
  <c r="AZ539" i="3"/>
  <c r="S37" i="39"/>
  <c r="AA37" i="39"/>
  <c r="U44" i="39"/>
  <c r="AB44" i="39"/>
  <c r="AC14" i="35"/>
  <c r="W14" i="35"/>
  <c r="AC33" i="34"/>
  <c r="W33" i="34"/>
  <c r="W10" i="37"/>
  <c r="AC10" i="37"/>
  <c r="AZ20" i="3"/>
  <c r="AZ572" i="3"/>
  <c r="AA14" i="33"/>
  <c r="S14" i="33"/>
  <c r="W13" i="36"/>
  <c r="AC13" i="36"/>
  <c r="AB37" i="33"/>
  <c r="U37" i="33"/>
  <c r="W28" i="34"/>
  <c r="AC28" i="34"/>
  <c r="S33" i="34"/>
  <c r="AA33" i="34"/>
  <c r="U10" i="21"/>
  <c r="AB10" i="21"/>
  <c r="AB43" i="21"/>
  <c r="U43" i="21"/>
  <c r="AA34" i="21"/>
  <c r="S34" i="21"/>
  <c r="AC5" i="3"/>
  <c r="AC39" i="21"/>
  <c r="W39" i="21"/>
  <c r="F12" i="21"/>
  <c r="H12" i="21"/>
  <c r="F14" i="21"/>
  <c r="H14" i="21"/>
  <c r="H30" i="21"/>
  <c r="U30" i="21" s="1"/>
  <c r="J30" i="21"/>
  <c r="F85" i="21"/>
  <c r="G85" i="21" s="1"/>
  <c r="F23" i="21"/>
  <c r="S23" i="21" s="1"/>
  <c r="B76" i="46"/>
  <c r="B66" i="74"/>
  <c r="B76" i="74"/>
  <c r="B55" i="74"/>
  <c r="B72" i="46"/>
  <c r="B62" i="74"/>
  <c r="B51" i="74"/>
  <c r="B72" i="74"/>
  <c r="B81" i="46"/>
  <c r="B81" i="74"/>
  <c r="F9" i="21"/>
  <c r="H9" i="21"/>
  <c r="AB9" i="21" s="1"/>
  <c r="S12" i="33"/>
  <c r="AA12" i="33"/>
  <c r="H27" i="33"/>
  <c r="J27" i="33"/>
  <c r="F27" i="33"/>
  <c r="AC9" i="34"/>
  <c r="W9" i="34"/>
  <c r="S30" i="33"/>
  <c r="AA30" i="33"/>
  <c r="H36" i="35"/>
  <c r="F36" i="35"/>
  <c r="S36" i="35" s="1"/>
  <c r="F47" i="39"/>
  <c r="AA47" i="39" s="1"/>
  <c r="J47" i="39"/>
  <c r="W47" i="39" s="1"/>
  <c r="E102" i="39"/>
  <c r="F102" i="39" s="1"/>
  <c r="G102" i="39" s="1"/>
  <c r="J29" i="39"/>
  <c r="AC29" i="39" s="1"/>
  <c r="AC41" i="33"/>
  <c r="W41" i="33"/>
  <c r="BL568" i="3"/>
  <c r="AZ568" i="3" s="1"/>
  <c r="BA566" i="3"/>
  <c r="AZ566" i="3" s="1"/>
  <c r="BA560" i="3"/>
  <c r="AZ560" i="3" s="1"/>
  <c r="BA556" i="3"/>
  <c r="BL538" i="3"/>
  <c r="AZ538" i="3" s="1"/>
  <c r="BA536" i="3"/>
  <c r="AZ536" i="3" s="1"/>
  <c r="BA529" i="3"/>
  <c r="AZ529" i="3" s="1"/>
  <c r="BL518" i="3"/>
  <c r="AZ518" i="3" s="1"/>
  <c r="BA515" i="3"/>
  <c r="AZ515" i="3" s="1"/>
  <c r="BA513" i="3"/>
  <c r="AZ513" i="3" s="1"/>
  <c r="BA511" i="3"/>
  <c r="AZ511" i="3" s="1"/>
  <c r="BL501" i="3"/>
  <c r="BA501" i="3"/>
  <c r="AZ501" i="3" s="1"/>
  <c r="BL498" i="3"/>
  <c r="AZ498" i="3" s="1"/>
  <c r="BL496" i="3"/>
  <c r="AZ496" i="3" s="1"/>
  <c r="BL486" i="3"/>
  <c r="AZ486" i="3" s="1"/>
  <c r="BL483" i="3"/>
  <c r="AZ483" i="3" s="1"/>
  <c r="BA482" i="3"/>
  <c r="BA19" i="3"/>
  <c r="F105" i="46"/>
  <c r="F104" i="46"/>
  <c r="W19" i="37"/>
  <c r="B66" i="46"/>
  <c r="B51" i="46"/>
  <c r="C19" i="40"/>
  <c r="C27" i="39"/>
  <c r="S40" i="40"/>
  <c r="S34" i="40"/>
  <c r="W25" i="21"/>
  <c r="AB25" i="21"/>
  <c r="S9" i="33"/>
  <c r="AB12" i="33"/>
  <c r="S26" i="37"/>
  <c r="S9" i="36"/>
  <c r="W29" i="36"/>
  <c r="AB15" i="39"/>
  <c r="AC38" i="39"/>
  <c r="U33" i="40"/>
  <c r="J23" i="21"/>
  <c r="W23" i="21" s="1"/>
  <c r="AC34" i="21"/>
  <c r="AB10" i="33"/>
  <c r="S10" i="33"/>
  <c r="AB15" i="33"/>
  <c r="AA20" i="35"/>
  <c r="S17" i="34"/>
  <c r="U11" i="33"/>
  <c r="AB11" i="33"/>
  <c r="AA19" i="39"/>
  <c r="AA33" i="39"/>
  <c r="AB46" i="39"/>
  <c r="S41" i="40"/>
  <c r="AC37" i="34"/>
  <c r="W37" i="34"/>
  <c r="U42" i="40"/>
  <c r="W14" i="39"/>
  <c r="W13" i="40"/>
  <c r="AC13" i="40"/>
  <c r="M18" i="15"/>
  <c r="F32" i="71"/>
  <c r="F59" i="71" s="1"/>
  <c r="F28" i="71"/>
  <c r="M18" i="71"/>
  <c r="F35" i="40"/>
  <c r="H47" i="39"/>
  <c r="J25" i="39"/>
  <c r="F15" i="39"/>
  <c r="J41" i="40"/>
  <c r="J15" i="40"/>
  <c r="AA16" i="39"/>
  <c r="S16" i="39"/>
  <c r="S34" i="33"/>
  <c r="AA34" i="33"/>
  <c r="U38" i="34"/>
  <c r="AB38" i="34"/>
  <c r="AZ525" i="3"/>
  <c r="W30" i="36"/>
  <c r="H29" i="39"/>
  <c r="U29" i="39" s="1"/>
  <c r="F17" i="39"/>
  <c r="AA17" i="39" s="1"/>
  <c r="W31" i="37"/>
  <c r="AA30" i="37"/>
  <c r="AC25" i="37"/>
  <c r="AA35" i="37"/>
  <c r="AB29" i="35"/>
  <c r="AB32" i="37"/>
  <c r="U32" i="37"/>
  <c r="AC32" i="33"/>
  <c r="W32" i="33"/>
  <c r="AB19" i="33"/>
  <c r="U19" i="33"/>
  <c r="S17" i="21"/>
  <c r="AA17" i="21"/>
  <c r="S30" i="36"/>
  <c r="S24" i="36"/>
  <c r="U28" i="33"/>
  <c r="W30" i="33"/>
  <c r="AC11" i="36"/>
  <c r="J13" i="39"/>
  <c r="AA43" i="21"/>
  <c r="AZ365" i="3"/>
  <c r="W9" i="33"/>
  <c r="AC12" i="37"/>
  <c r="W12" i="37"/>
  <c r="W9" i="37"/>
  <c r="AC9" i="37"/>
  <c r="AB8" i="34"/>
  <c r="AC33" i="36"/>
  <c r="AB43" i="33"/>
  <c r="BL562" i="3"/>
  <c r="AZ562" i="3" s="1"/>
  <c r="AZ524" i="3"/>
  <c r="U46" i="21"/>
  <c r="H30" i="33"/>
  <c r="AA40" i="37"/>
  <c r="S40" i="37"/>
  <c r="W29" i="37"/>
  <c r="AC29" i="37"/>
  <c r="AB32" i="36"/>
  <c r="U32" i="36"/>
  <c r="W45" i="33"/>
  <c r="AC45" i="33"/>
  <c r="U26" i="33"/>
  <c r="AB26" i="33"/>
  <c r="F44" i="21"/>
  <c r="J28" i="21"/>
  <c r="J14" i="21"/>
  <c r="W37" i="33"/>
  <c r="AC37" i="33"/>
  <c r="AC38" i="34"/>
  <c r="S37" i="33"/>
  <c r="AB40" i="34"/>
  <c r="AC43" i="34"/>
  <c r="U10" i="35"/>
  <c r="AB10" i="35"/>
  <c r="S34" i="34"/>
  <c r="AC27" i="35"/>
  <c r="W41" i="21"/>
  <c r="J12" i="21"/>
  <c r="J12" i="33"/>
  <c r="AC39" i="33"/>
  <c r="W39" i="33"/>
  <c r="AC40" i="33"/>
  <c r="W40" i="33"/>
  <c r="AC8" i="34"/>
  <c r="W8" i="34"/>
  <c r="J27" i="34"/>
  <c r="F27" i="34"/>
  <c r="W9" i="35"/>
  <c r="AC9" i="35"/>
  <c r="AA31" i="35"/>
  <c r="J36" i="35"/>
  <c r="F31" i="33"/>
  <c r="J31" i="33"/>
  <c r="H31" i="33"/>
  <c r="J46" i="33"/>
  <c r="F46" i="33"/>
  <c r="H46" i="33"/>
  <c r="H13" i="34"/>
  <c r="J13" i="34"/>
  <c r="F13" i="34"/>
  <c r="J29" i="34"/>
  <c r="F29" i="34"/>
  <c r="H29" i="34"/>
  <c r="J31" i="34"/>
  <c r="H31" i="34"/>
  <c r="F31" i="34"/>
  <c r="H45" i="34"/>
  <c r="J45" i="34"/>
  <c r="F45" i="34"/>
  <c r="H47" i="34"/>
  <c r="F47" i="34"/>
  <c r="J47" i="34"/>
  <c r="F13" i="35"/>
  <c r="J13" i="35"/>
  <c r="H13" i="35"/>
  <c r="J25" i="35"/>
  <c r="F25" i="35"/>
  <c r="H25" i="35"/>
  <c r="J35" i="35"/>
  <c r="F35" i="35"/>
  <c r="H35" i="35"/>
  <c r="U27" i="35"/>
  <c r="AB27" i="35"/>
  <c r="H23" i="36"/>
  <c r="J24" i="36"/>
  <c r="H24" i="36"/>
  <c r="F32" i="36"/>
  <c r="J32" i="36"/>
  <c r="H13" i="37"/>
  <c r="F13" i="37"/>
  <c r="J13" i="37"/>
  <c r="F28" i="37"/>
  <c r="J28" i="37"/>
  <c r="H28" i="37"/>
  <c r="H40" i="37"/>
  <c r="J40" i="37"/>
  <c r="J39" i="37"/>
  <c r="F39" i="37"/>
  <c r="H39" i="37"/>
  <c r="U41" i="21"/>
  <c r="AB41" i="21"/>
  <c r="BL553" i="3"/>
  <c r="BA553" i="3"/>
  <c r="AZ553" i="3" s="1"/>
  <c r="BL552" i="3"/>
  <c r="AZ552" i="3" s="1"/>
  <c r="BL551" i="3"/>
  <c r="BA551" i="3"/>
  <c r="BL550" i="3"/>
  <c r="BA550" i="3"/>
  <c r="BL549" i="3"/>
  <c r="AZ549" i="3" s="1"/>
  <c r="BL548" i="3"/>
  <c r="AZ548" i="3" s="1"/>
  <c r="BL547" i="3"/>
  <c r="AZ547" i="3" s="1"/>
  <c r="BA544" i="3"/>
  <c r="AZ544" i="3" s="1"/>
  <c r="BL543" i="3"/>
  <c r="AZ543" i="3" s="1"/>
  <c r="BA543" i="3"/>
  <c r="G535" i="3"/>
  <c r="BL533" i="3"/>
  <c r="AZ533" i="3" s="1"/>
  <c r="BA531" i="3"/>
  <c r="AZ531" i="3" s="1"/>
  <c r="G528" i="3"/>
  <c r="BA523" i="3"/>
  <c r="AZ523" i="3" s="1"/>
  <c r="BA522" i="3"/>
  <c r="AZ522" i="3" s="1"/>
  <c r="BL521" i="3"/>
  <c r="AZ521" i="3" s="1"/>
  <c r="BL520" i="3"/>
  <c r="BA520" i="3"/>
  <c r="G511" i="3"/>
  <c r="BL510" i="3"/>
  <c r="AZ510" i="3" s="1"/>
  <c r="BL509" i="3"/>
  <c r="BA509" i="3"/>
  <c r="BL508" i="3"/>
  <c r="AZ508" i="3" s="1"/>
  <c r="BA507" i="3"/>
  <c r="AZ507" i="3" s="1"/>
  <c r="BL506" i="3"/>
  <c r="AZ506" i="3" s="1"/>
  <c r="G506" i="3"/>
  <c r="BL505" i="3"/>
  <c r="AZ505" i="3" s="1"/>
  <c r="BA504" i="3"/>
  <c r="AZ504" i="3" s="1"/>
  <c r="G496" i="3"/>
  <c r="BL495" i="3"/>
  <c r="BA495" i="3"/>
  <c r="BA494" i="3"/>
  <c r="AZ494" i="3" s="1"/>
  <c r="G494" i="3"/>
  <c r="BA492" i="3"/>
  <c r="BL490" i="3"/>
  <c r="AZ490" i="3" s="1"/>
  <c r="BA489" i="3"/>
  <c r="AZ489" i="3" s="1"/>
  <c r="BB5" i="3"/>
  <c r="E5" i="6" s="1"/>
  <c r="D12" i="11" s="1"/>
  <c r="C12" i="11" s="1"/>
  <c r="AZ352" i="3"/>
  <c r="AZ344" i="3"/>
  <c r="AZ304" i="3"/>
  <c r="AZ339" i="3"/>
  <c r="AZ331" i="3"/>
  <c r="AZ323" i="3"/>
  <c r="AZ354" i="3"/>
  <c r="AZ343" i="3"/>
  <c r="AZ327" i="3"/>
  <c r="BL482" i="3"/>
  <c r="BL492" i="3"/>
  <c r="AZ492" i="3" s="1"/>
  <c r="BL516" i="3"/>
  <c r="AZ516" i="3" s="1"/>
  <c r="BL526" i="3"/>
  <c r="AZ526" i="3" s="1"/>
  <c r="BL534" i="3"/>
  <c r="AZ534" i="3" s="1"/>
  <c r="BL546" i="3"/>
  <c r="AZ546" i="3" s="1"/>
  <c r="BL564" i="3"/>
  <c r="AZ564" i="3" s="1"/>
  <c r="G572" i="3"/>
  <c r="G570" i="3"/>
  <c r="BA570" i="3"/>
  <c r="AZ570" i="3" s="1"/>
  <c r="BG5" i="3"/>
  <c r="B47" i="46"/>
  <c r="B47" i="74"/>
  <c r="B70" i="46"/>
  <c r="B70" i="74"/>
  <c r="B59" i="74"/>
  <c r="B48" i="74"/>
  <c r="B73" i="46"/>
  <c r="B73" i="74"/>
  <c r="B64" i="74"/>
  <c r="B53" i="74"/>
  <c r="B80" i="46"/>
  <c r="B80" i="74"/>
  <c r="G559" i="3"/>
  <c r="G551" i="3"/>
  <c r="G547" i="3"/>
  <c r="G536" i="3"/>
  <c r="G532" i="3"/>
  <c r="G524" i="3"/>
  <c r="G512" i="3"/>
  <c r="G505" i="3"/>
  <c r="G497" i="3"/>
  <c r="G489" i="3"/>
  <c r="G481" i="3"/>
  <c r="AZ405" i="3"/>
  <c r="AZ384" i="3"/>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G452" i="3"/>
  <c r="G453" i="3"/>
  <c r="BL453" i="3"/>
  <c r="AZ453" i="3" s="1"/>
  <c r="BL455" i="3"/>
  <c r="AZ455" i="3" s="1"/>
  <c r="BA457" i="3"/>
  <c r="AZ457" i="3" s="1"/>
  <c r="BA458" i="3"/>
  <c r="AZ458" i="3" s="1"/>
  <c r="BA459" i="3"/>
  <c r="AZ459" i="3" s="1"/>
  <c r="BL461" i="3"/>
  <c r="AZ461"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AZ128" i="3"/>
  <c r="AZ144" i="3"/>
  <c r="BA113" i="3"/>
  <c r="AZ113" i="3" s="1"/>
  <c r="BL114" i="3"/>
  <c r="AZ114" i="3" s="1"/>
  <c r="BA116" i="3"/>
  <c r="AZ116" i="3" s="1"/>
  <c r="G119" i="3"/>
  <c r="BL121" i="3"/>
  <c r="AZ121" i="3" s="1"/>
  <c r="BA123" i="3"/>
  <c r="AZ123" i="3" s="1"/>
  <c r="G125" i="3"/>
  <c r="BL125" i="3"/>
  <c r="AZ125" i="3" s="1"/>
  <c r="BA127" i="3"/>
  <c r="AZ127" i="3" s="1"/>
  <c r="BL128" i="3"/>
  <c r="BA129" i="3"/>
  <c r="AZ129" i="3" s="1"/>
  <c r="BL130" i="3"/>
  <c r="AZ130" i="3" s="1"/>
  <c r="BA132" i="3"/>
  <c r="AZ132" i="3" s="1"/>
  <c r="G135" i="3"/>
  <c r="BL137" i="3"/>
  <c r="AZ137" i="3" s="1"/>
  <c r="BA139" i="3"/>
  <c r="AZ139" i="3" s="1"/>
  <c r="G141" i="3"/>
  <c r="BL141" i="3"/>
  <c r="AZ141" i="3" s="1"/>
  <c r="BA143" i="3"/>
  <c r="AZ143" i="3" s="1"/>
  <c r="BL144" i="3"/>
  <c r="BA145" i="3"/>
  <c r="AZ145" i="3" s="1"/>
  <c r="BL146" i="3"/>
  <c r="AZ146" i="3" s="1"/>
  <c r="BA148" i="3"/>
  <c r="AZ148" i="3" s="1"/>
  <c r="G151" i="3"/>
  <c r="BL152" i="3"/>
  <c r="AZ152" i="3" s="1"/>
  <c r="BA154" i="3"/>
  <c r="AZ154" i="3" s="1"/>
  <c r="BL155" i="3"/>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C42" i="1"/>
  <c r="C7" i="76"/>
  <c r="G19" i="74"/>
  <c r="J51" i="71"/>
  <c r="D51" i="59"/>
  <c r="C52" i="59"/>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A78" i="3"/>
  <c r="AZ78" i="3" s="1"/>
  <c r="BA79" i="3"/>
  <c r="AZ79"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D31" i="59"/>
  <c r="C32" i="59"/>
  <c r="D39" i="59"/>
  <c r="C40" i="59"/>
  <c r="D47" i="59"/>
  <c r="C48" i="59"/>
  <c r="D48" i="59" s="1"/>
  <c r="BL109" i="3"/>
  <c r="AZ109" i="3" s="1"/>
  <c r="G112" i="3"/>
  <c r="B84" i="46"/>
  <c r="B84" i="74"/>
  <c r="K1" i="43"/>
  <c r="G1" i="71"/>
  <c r="B74" i="46"/>
  <c r="C31" i="39"/>
  <c r="B85" i="46"/>
  <c r="L16" i="4"/>
  <c r="AB39" i="59"/>
  <c r="B56" i="59"/>
  <c r="B57" i="59" s="1"/>
  <c r="S57" i="59" s="1"/>
  <c r="AE12" i="46"/>
  <c r="AE13" i="46" s="1"/>
  <c r="U25" i="59"/>
  <c r="K76" i="9"/>
  <c r="J51" i="15"/>
  <c r="B74" i="74"/>
  <c r="B54" i="74"/>
  <c r="B65" i="74"/>
  <c r="AB3" i="59"/>
  <c r="X28" i="59"/>
  <c r="X3" i="59"/>
  <c r="AA30" i="59"/>
  <c r="Y34" i="59"/>
  <c r="Z34" i="59" s="1"/>
  <c r="D5" i="74"/>
  <c r="C5" i="74"/>
  <c r="H27" i="39"/>
  <c r="AB27" i="39" s="1"/>
  <c r="AC19" i="39"/>
  <c r="W42" i="21"/>
  <c r="S42" i="21"/>
  <c r="AC36" i="21"/>
  <c r="AA36" i="21"/>
  <c r="AB36" i="21"/>
  <c r="F113" i="21"/>
  <c r="W32" i="21"/>
  <c r="AC23" i="21"/>
  <c r="AA23" i="21"/>
  <c r="AB23" i="21"/>
  <c r="U19" i="21"/>
  <c r="AC19" i="21"/>
  <c r="F15" i="21"/>
  <c r="J15" i="21"/>
  <c r="W15" i="21" s="1"/>
  <c r="F77" i="21"/>
  <c r="G77" i="21" s="1"/>
  <c r="H15" i="21"/>
  <c r="U17" i="21"/>
  <c r="W17" i="21"/>
  <c r="F69" i="21"/>
  <c r="G69" i="21" s="1"/>
  <c r="H69" i="21" s="1"/>
  <c r="I69" i="21" s="1"/>
  <c r="J69" i="21" s="1"/>
  <c r="K69" i="21" s="1"/>
  <c r="L69" i="21" s="1"/>
  <c r="M69" i="21" s="1"/>
  <c r="F11" i="21"/>
  <c r="J11" i="21"/>
  <c r="H11" i="21"/>
  <c r="U11" i="21" s="1"/>
  <c r="S8" i="21"/>
  <c r="F96" i="39"/>
  <c r="G96" i="39" s="1"/>
  <c r="J23" i="39"/>
  <c r="AC23" i="39" s="1"/>
  <c r="H23" i="39"/>
  <c r="AB23" i="39" s="1"/>
  <c r="C18" i="9"/>
  <c r="AA45" i="39"/>
  <c r="S45" i="39"/>
  <c r="AB45" i="39"/>
  <c r="J45" i="39"/>
  <c r="AC45" i="39" s="1"/>
  <c r="H47" i="46"/>
  <c r="H54" i="46"/>
  <c r="H76" i="46"/>
  <c r="H69" i="46"/>
  <c r="H75" i="46"/>
  <c r="H65" i="46"/>
  <c r="H59" i="46"/>
  <c r="H66" i="46"/>
  <c r="H63" i="46"/>
  <c r="H50" i="46"/>
  <c r="H51" i="46"/>
  <c r="H58" i="46"/>
  <c r="H10" i="48"/>
  <c r="H11" i="48"/>
  <c r="H5" i="48"/>
  <c r="H6" i="48"/>
  <c r="M5" i="46"/>
  <c r="M8" i="46"/>
  <c r="M4" i="46"/>
  <c r="N11" i="46"/>
  <c r="M9" i="46"/>
  <c r="N1" i="46"/>
  <c r="N8" i="46"/>
  <c r="N10" i="46"/>
  <c r="N3" i="46"/>
  <c r="M7" i="46"/>
  <c r="N7" i="46"/>
  <c r="N5" i="46"/>
  <c r="M10" i="46"/>
  <c r="M1" i="46"/>
  <c r="H8" i="48"/>
  <c r="H16" i="48"/>
  <c r="H7" i="48"/>
  <c r="H12" i="48"/>
  <c r="W43" i="39"/>
  <c r="AB43" i="39"/>
  <c r="W41" i="39"/>
  <c r="U41" i="39"/>
  <c r="S41" i="39"/>
  <c r="W29" i="39"/>
  <c r="S29" i="39"/>
  <c r="U27" i="39"/>
  <c r="S27" i="39"/>
  <c r="AB25" i="39"/>
  <c r="AB29" i="39"/>
  <c r="W27" i="39"/>
  <c r="S25" i="39"/>
  <c r="W23" i="39"/>
  <c r="U23" i="39"/>
  <c r="S23" i="39"/>
  <c r="AC21" i="39"/>
  <c r="AB19" i="39"/>
  <c r="S17" i="39"/>
  <c r="AC17" i="39"/>
  <c r="U13" i="39"/>
  <c r="P75" i="15"/>
  <c r="K6" i="1"/>
  <c r="B6" i="1"/>
  <c r="E6" i="1" s="1"/>
  <c r="G1" i="44"/>
  <c r="BL13" i="3"/>
  <c r="AZ13" i="3" s="1"/>
  <c r="F30" i="6"/>
  <c r="C51" i="10"/>
  <c r="C20" i="59"/>
  <c r="T21" i="59"/>
  <c r="D21" i="59"/>
  <c r="F20" i="59"/>
  <c r="F19" i="59" s="1"/>
  <c r="F18" i="59" s="1"/>
  <c r="F17" i="59" s="1"/>
  <c r="V21" i="59"/>
  <c r="O41" i="9"/>
  <c r="R8" i="54" s="1"/>
  <c r="B54" i="63" s="1"/>
  <c r="W23" i="37"/>
  <c r="AC23" i="37"/>
  <c r="AZ542" i="3"/>
  <c r="AZ502" i="3"/>
  <c r="AC24" i="35"/>
  <c r="W24" i="35"/>
  <c r="AZ392" i="3"/>
  <c r="AZ397" i="3"/>
  <c r="AZ408" i="3"/>
  <c r="AZ413" i="3"/>
  <c r="AZ424" i="3"/>
  <c r="AZ437" i="3"/>
  <c r="AD13" i="46"/>
  <c r="S21" i="59"/>
  <c r="AH13" i="46"/>
  <c r="AJ13" i="46"/>
  <c r="I14" i="66"/>
  <c r="B8" i="66" s="1"/>
  <c r="O40" i="9"/>
  <c r="AB23" i="40"/>
  <c r="W15" i="39"/>
  <c r="W34" i="40"/>
  <c r="U41" i="40"/>
  <c r="S47" i="39"/>
  <c r="AC14" i="40"/>
  <c r="W40" i="40"/>
  <c r="AA36" i="35"/>
  <c r="S39" i="33"/>
  <c r="S23" i="37"/>
  <c r="AA23" i="37"/>
  <c r="AZ484" i="3"/>
  <c r="AZ550" i="3"/>
  <c r="AZ556" i="3"/>
  <c r="AB30" i="33"/>
  <c r="U30" i="33"/>
  <c r="S9" i="21"/>
  <c r="AA9" i="21"/>
  <c r="U27" i="33"/>
  <c r="AB27" i="33"/>
  <c r="AC39" i="37"/>
  <c r="W39" i="37"/>
  <c r="AZ447" i="3"/>
  <c r="AC28" i="33"/>
  <c r="AB30" i="21"/>
  <c r="AC34" i="36"/>
  <c r="S38" i="33"/>
  <c r="U9" i="21"/>
  <c r="C23" i="39"/>
  <c r="W33" i="33"/>
  <c r="U33" i="33"/>
  <c r="W39" i="34"/>
  <c r="J9" i="21"/>
  <c r="BT5" i="3"/>
  <c r="BI5" i="3"/>
  <c r="F34" i="35"/>
  <c r="H34" i="35"/>
  <c r="A30" i="64"/>
  <c r="A30" i="51"/>
  <c r="B22" i="63" s="1"/>
  <c r="A2" i="55"/>
  <c r="B55" i="63" s="1"/>
  <c r="AZ206" i="3"/>
  <c r="AZ210" i="3"/>
  <c r="AZ222" i="3"/>
  <c r="AZ226" i="3"/>
  <c r="AZ242" i="3"/>
  <c r="AZ155" i="3"/>
  <c r="H5" i="3"/>
  <c r="AZ464" i="3"/>
  <c r="AZ476" i="3"/>
  <c r="AZ480" i="3"/>
  <c r="AZ368" i="3"/>
  <c r="AZ234" i="3"/>
  <c r="AZ246" i="3"/>
  <c r="AZ250" i="3"/>
  <c r="AZ262" i="3"/>
  <c r="AZ266" i="3"/>
  <c r="AZ277" i="3"/>
  <c r="AZ280" i="3"/>
  <c r="AZ293" i="3"/>
  <c r="AZ117" i="3"/>
  <c r="AZ120" i="3"/>
  <c r="AZ133" i="3"/>
  <c r="AZ136" i="3"/>
  <c r="AZ149" i="3"/>
  <c r="AZ25" i="3"/>
  <c r="AZ30" i="3"/>
  <c r="AZ41" i="3"/>
  <c r="AZ46" i="3"/>
  <c r="AZ57" i="3"/>
  <c r="AZ62" i="3"/>
  <c r="AZ65" i="3"/>
  <c r="AZ68" i="3"/>
  <c r="AZ75" i="3"/>
  <c r="AZ89" i="3"/>
  <c r="AZ100" i="3"/>
  <c r="AZ105" i="3"/>
  <c r="D43" i="59"/>
  <c r="C44" i="59"/>
  <c r="AZ80" i="3"/>
  <c r="O67" i="59"/>
  <c r="O66" i="59"/>
  <c r="D67"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8" i="59"/>
  <c r="Z8" i="59" s="1"/>
  <c r="Y5" i="59"/>
  <c r="Z5" i="59" s="1"/>
  <c r="Y10" i="59"/>
  <c r="Z10" i="59" s="1"/>
  <c r="Y11" i="59"/>
  <c r="Z11" i="59" s="1"/>
  <c r="Q67" i="59"/>
  <c r="Q66" i="59"/>
  <c r="D29" i="59"/>
  <c r="T29" i="59"/>
  <c r="C28" i="59"/>
  <c r="B37" i="50"/>
  <c r="B2" i="63" s="1"/>
  <c r="AB9" i="59"/>
  <c r="AA9" i="59"/>
  <c r="X9" i="59"/>
  <c r="Y9" i="59"/>
  <c r="Z9" i="59" s="1"/>
  <c r="S21" i="21"/>
  <c r="S21" i="37"/>
  <c r="D68" i="59"/>
  <c r="N16" i="4"/>
  <c r="X6" i="59"/>
  <c r="X7" i="59"/>
  <c r="X5" i="59"/>
  <c r="X8" i="59"/>
  <c r="X10" i="59"/>
  <c r="AA7" i="59"/>
  <c r="AA6" i="59"/>
  <c r="AA5" i="59"/>
  <c r="AA8" i="59"/>
  <c r="AA10" i="59"/>
  <c r="AB8" i="59"/>
  <c r="AB6" i="59"/>
  <c r="AB7" i="59"/>
  <c r="AB5" i="59"/>
  <c r="AB10" i="59"/>
  <c r="B28" i="59"/>
  <c r="B27" i="59" s="1"/>
  <c r="S29" i="59"/>
  <c r="E28" i="59"/>
  <c r="E27" i="59" s="1"/>
  <c r="U29" i="59"/>
  <c r="A28" i="64"/>
  <c r="Y25" i="59"/>
  <c r="Z25" i="59" s="1"/>
  <c r="AB25" i="59"/>
  <c r="Y24" i="59"/>
  <c r="Z24" i="59" s="1"/>
  <c r="AB24" i="59"/>
  <c r="X19" i="59"/>
  <c r="Y19" i="59"/>
  <c r="Z19" i="59" s="1"/>
  <c r="AB19" i="59"/>
  <c r="X14" i="59"/>
  <c r="AA14" i="59"/>
  <c r="F28" i="59"/>
  <c r="F27" i="59" s="1"/>
  <c r="X25" i="59"/>
  <c r="X24" i="59"/>
  <c r="X22" i="59"/>
  <c r="AA24" i="59"/>
  <c r="AA22" i="59"/>
  <c r="AA19" i="59"/>
  <c r="X18" i="59"/>
  <c r="Y18" i="59"/>
  <c r="Z18" i="59" s="1"/>
  <c r="AA18" i="59"/>
  <c r="Y15" i="59"/>
  <c r="Z15" i="59" s="1"/>
  <c r="AB18" i="59"/>
  <c r="AB16" i="59"/>
  <c r="AB14" i="59"/>
  <c r="AB11" i="59"/>
  <c r="AB15" i="59"/>
  <c r="AA12" i="59"/>
  <c r="X13" i="59"/>
  <c r="X12" i="59"/>
  <c r="X15" i="59"/>
  <c r="Y12" i="59"/>
  <c r="Z12" i="59" s="1"/>
  <c r="Y14" i="59"/>
  <c r="Z14" i="59" s="1"/>
  <c r="AA16" i="59"/>
  <c r="X17" i="59"/>
  <c r="AB13" i="59"/>
  <c r="AB12" i="59"/>
  <c r="AA13" i="59"/>
  <c r="AA11" i="59"/>
  <c r="AA15" i="59"/>
  <c r="X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G28" i="6"/>
  <c r="G30" i="6" s="1"/>
  <c r="G31" i="6" s="1"/>
  <c r="G27" i="12"/>
  <c r="M107" i="46"/>
  <c r="M106" i="46"/>
  <c r="H106" i="46"/>
  <c r="H103" i="46"/>
  <c r="G13" i="3"/>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C28" i="15" s="1"/>
  <c r="F30" i="44"/>
  <c r="C30" i="44" s="1"/>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D21" i="12"/>
  <c r="C21" i="12"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K77" i="9"/>
  <c r="K79" i="9" s="1"/>
  <c r="K81" i="9" s="1"/>
  <c r="E12" i="52"/>
  <c r="F31" i="15"/>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F65" i="15"/>
  <c r="F67" i="15"/>
  <c r="F50" i="15"/>
  <c r="C27" i="15"/>
  <c r="F64" i="15"/>
  <c r="L59" i="15"/>
  <c r="L58" i="15"/>
  <c r="J53" i="15"/>
  <c r="J57" i="15"/>
  <c r="J55" i="15" s="1"/>
  <c r="J58" i="15" s="1"/>
  <c r="Q51" i="15" s="1"/>
  <c r="I54" i="15"/>
  <c r="L56" i="15"/>
  <c r="Q72" i="15"/>
  <c r="F63" i="15"/>
  <c r="C4" i="65"/>
  <c r="B39" i="1" s="1"/>
  <c r="I7" i="65"/>
  <c r="J5" i="65"/>
  <c r="M26" i="44"/>
  <c r="M30" i="44"/>
  <c r="F28" i="44"/>
  <c r="M11" i="44"/>
  <c r="E2" i="65"/>
  <c r="J4" i="65"/>
  <c r="F39" i="44"/>
  <c r="F10" i="44"/>
  <c r="I4" i="65"/>
  <c r="F43" i="44"/>
  <c r="L49" i="44"/>
  <c r="M28" i="44"/>
  <c r="J3" i="65"/>
  <c r="M10" i="44"/>
  <c r="F38" i="44"/>
  <c r="J17" i="44"/>
  <c r="M29" i="44"/>
  <c r="F8" i="44"/>
  <c r="F45" i="44"/>
  <c r="M31" i="44"/>
  <c r="F11" i="44"/>
  <c r="F40" i="44"/>
  <c r="F15" i="44"/>
  <c r="F18" i="44"/>
  <c r="F46" i="44"/>
  <c r="M8" i="44"/>
  <c r="M24" i="44"/>
  <c r="I6" i="65"/>
  <c r="I3" i="65"/>
  <c r="F7" i="15"/>
  <c r="M29" i="15"/>
  <c r="F43" i="15"/>
  <c r="J7" i="65"/>
  <c r="F9" i="44"/>
  <c r="M25" i="44"/>
  <c r="L48" i="44"/>
  <c r="F70" i="15" l="1"/>
  <c r="F49" i="15"/>
  <c r="C48" i="15" s="1"/>
  <c r="M7" i="15"/>
  <c r="M17" i="15" s="1"/>
  <c r="C6" i="15"/>
  <c r="C32" i="15" s="1"/>
  <c r="M6" i="1"/>
  <c r="D40" i="59"/>
  <c r="C41" i="59"/>
  <c r="D32" i="59"/>
  <c r="C33" i="59"/>
  <c r="P25" i="74"/>
  <c r="P23" i="74"/>
  <c r="O19" i="74"/>
  <c r="P21" i="74"/>
  <c r="P22" i="74"/>
  <c r="P24" i="74"/>
  <c r="C19" i="74"/>
  <c r="T8" i="74" s="1"/>
  <c r="V8" i="74" s="1"/>
  <c r="U39" i="37"/>
  <c r="AB39" i="37"/>
  <c r="AB40" i="37"/>
  <c r="U40" i="37"/>
  <c r="W28" i="37"/>
  <c r="AC28" i="37"/>
  <c r="W13" i="37"/>
  <c r="AC13" i="37"/>
  <c r="U13" i="37"/>
  <c r="AB13" i="37"/>
  <c r="S32" i="36"/>
  <c r="AA32" i="36"/>
  <c r="W24" i="36"/>
  <c r="AC24" i="36"/>
  <c r="U35" i="35"/>
  <c r="AB35" i="35"/>
  <c r="AC35" i="35"/>
  <c r="W35" i="35"/>
  <c r="S25" i="35"/>
  <c r="AA25" i="35"/>
  <c r="AB13" i="35"/>
  <c r="U13" i="35"/>
  <c r="S13" i="35"/>
  <c r="AA13" i="35"/>
  <c r="AA47" i="34"/>
  <c r="S47" i="34"/>
  <c r="S45" i="34"/>
  <c r="AA45" i="34"/>
  <c r="U45" i="34"/>
  <c r="AB45" i="34"/>
  <c r="AB31" i="34"/>
  <c r="U31" i="34"/>
  <c r="U29" i="34"/>
  <c r="AB29" i="34"/>
  <c r="W29" i="34"/>
  <c r="AC29" i="34"/>
  <c r="W13" i="34"/>
  <c r="AC13" i="34"/>
  <c r="AB46" i="33"/>
  <c r="U46" i="33"/>
  <c r="AC46" i="33"/>
  <c r="W46" i="33"/>
  <c r="AC31" i="33"/>
  <c r="W31" i="33"/>
  <c r="AC36" i="35"/>
  <c r="W36" i="35"/>
  <c r="S27" i="34"/>
  <c r="AA27" i="34"/>
  <c r="W12" i="33"/>
  <c r="AC12" i="33"/>
  <c r="AC28" i="21"/>
  <c r="W28" i="21"/>
  <c r="AC41" i="40"/>
  <c r="W41" i="40"/>
  <c r="AC25" i="39"/>
  <c r="W25" i="39"/>
  <c r="AA35" i="40"/>
  <c r="S35" i="40"/>
  <c r="C28" i="71"/>
  <c r="AZ19" i="3"/>
  <c r="BA5" i="3"/>
  <c r="E27" i="6" s="1"/>
  <c r="AB36" i="35"/>
  <c r="U36" i="35"/>
  <c r="W27" i="33"/>
  <c r="AC27" i="33"/>
  <c r="AC30" i="21"/>
  <c r="W30" i="21"/>
  <c r="U14" i="21"/>
  <c r="AB14" i="21"/>
  <c r="AB12" i="21"/>
  <c r="U12" i="21"/>
  <c r="F61" i="71"/>
  <c r="AA13" i="39"/>
  <c r="S13" i="39"/>
  <c r="AB15" i="40"/>
  <c r="U15" i="40"/>
  <c r="U25" i="37"/>
  <c r="AB25" i="37"/>
  <c r="AC23" i="36"/>
  <c r="W23" i="36"/>
  <c r="U14" i="33"/>
  <c r="AB14" i="33"/>
  <c r="S28" i="34"/>
  <c r="AA28" i="34"/>
  <c r="U28" i="21"/>
  <c r="AB28" i="21"/>
  <c r="E8" i="6"/>
  <c r="C36" i="74"/>
  <c r="C39" i="74"/>
  <c r="C37" i="74"/>
  <c r="C35" i="74"/>
  <c r="C33" i="74"/>
  <c r="C38" i="74"/>
  <c r="C34" i="74"/>
  <c r="C53" i="59"/>
  <c r="D52" i="59"/>
  <c r="C58" i="76"/>
  <c r="D58" i="76" s="1"/>
  <c r="E58" i="76" s="1"/>
  <c r="F58" i="76" s="1"/>
  <c r="G58" i="76" s="1"/>
  <c r="H58" i="76" s="1"/>
  <c r="I58" i="76" s="1"/>
  <c r="J58" i="76" s="1"/>
  <c r="K58" i="76" s="1"/>
  <c r="L58" i="76" s="1"/>
  <c r="M58" i="76" s="1"/>
  <c r="N58" i="76" s="1"/>
  <c r="O58" i="76" s="1"/>
  <c r="I7" i="76"/>
  <c r="E7" i="76"/>
  <c r="F7" i="76" s="1"/>
  <c r="G7" i="76"/>
  <c r="H7" i="76" s="1"/>
  <c r="AZ495" i="3"/>
  <c r="AZ509" i="3"/>
  <c r="AZ520" i="3"/>
  <c r="AZ551" i="3"/>
  <c r="S39" i="37"/>
  <c r="AA39" i="37"/>
  <c r="AC40" i="37"/>
  <c r="W40" i="37"/>
  <c r="U28" i="37"/>
  <c r="AB28" i="37"/>
  <c r="AA28" i="37"/>
  <c r="S28" i="37"/>
  <c r="S13" i="37"/>
  <c r="AA13" i="37"/>
  <c r="AC32" i="36"/>
  <c r="W32" i="36"/>
  <c r="AB24" i="36"/>
  <c r="U24" i="36"/>
  <c r="AB23" i="36"/>
  <c r="U23" i="36"/>
  <c r="AA35" i="35"/>
  <c r="S35" i="35"/>
  <c r="U25" i="35"/>
  <c r="AB25" i="35"/>
  <c r="W25" i="35"/>
  <c r="AC25" i="35"/>
  <c r="W13" i="35"/>
  <c r="AC13" i="35"/>
  <c r="AC47" i="34"/>
  <c r="W47" i="34"/>
  <c r="U47" i="34"/>
  <c r="AB47" i="34"/>
  <c r="AC45" i="34"/>
  <c r="W45" i="34"/>
  <c r="S31" i="34"/>
  <c r="AA31" i="34"/>
  <c r="AC31" i="34"/>
  <c r="W31" i="34"/>
  <c r="S29" i="34"/>
  <c r="AA29" i="34"/>
  <c r="S13" i="34"/>
  <c r="AA13" i="34"/>
  <c r="AB13" i="34"/>
  <c r="U13" i="34"/>
  <c r="S46" i="33"/>
  <c r="AA46" i="33"/>
  <c r="AB31" i="33"/>
  <c r="U31" i="33"/>
  <c r="AA31" i="33"/>
  <c r="S31" i="33"/>
  <c r="W27" i="34"/>
  <c r="AC27" i="34"/>
  <c r="AC12" i="21"/>
  <c r="W12" i="21"/>
  <c r="W14" i="21"/>
  <c r="AC14" i="21"/>
  <c r="AA44" i="21"/>
  <c r="S44" i="21"/>
  <c r="AC13" i="39"/>
  <c r="W13" i="39"/>
  <c r="AC15" i="40"/>
  <c r="W15" i="40"/>
  <c r="AA15" i="39"/>
  <c r="S15" i="39"/>
  <c r="AB47" i="39"/>
  <c r="U47" i="39"/>
  <c r="AZ482" i="3"/>
  <c r="AZ5" i="3" s="1"/>
  <c r="E3" i="6" s="1"/>
  <c r="AA27" i="33"/>
  <c r="S27" i="33"/>
  <c r="S14" i="21"/>
  <c r="AA14" i="21"/>
  <c r="S12" i="21"/>
  <c r="AA12" i="21"/>
  <c r="AZ500" i="3"/>
  <c r="AZ519" i="3"/>
  <c r="AZ563" i="3"/>
  <c r="AB35" i="40"/>
  <c r="U35" i="40"/>
  <c r="AA15" i="40"/>
  <c r="S15" i="40"/>
  <c r="U17" i="39"/>
  <c r="AB17" i="39"/>
  <c r="AA25" i="37"/>
  <c r="S25" i="37"/>
  <c r="AA23" i="36"/>
  <c r="S23" i="36"/>
  <c r="AC14" i="33"/>
  <c r="W14" i="33"/>
  <c r="U28" i="34"/>
  <c r="AB28" i="34"/>
  <c r="AA28" i="21"/>
  <c r="S28" i="21"/>
  <c r="G113" i="21"/>
  <c r="F37" i="21"/>
  <c r="H37" i="21"/>
  <c r="AB15" i="21"/>
  <c r="U15" i="21"/>
  <c r="AC15" i="21"/>
  <c r="S15" i="21"/>
  <c r="AA15" i="21"/>
  <c r="S11" i="21"/>
  <c r="AA11" i="21"/>
  <c r="AB11" i="21"/>
  <c r="W11" i="21"/>
  <c r="AC11" i="21"/>
  <c r="D18" i="9"/>
  <c r="M44" i="9" s="1"/>
  <c r="M43" i="9"/>
  <c r="W45" i="39"/>
  <c r="F11" i="71"/>
  <c r="M11" i="71"/>
  <c r="J10" i="71" s="1"/>
  <c r="D113" i="46"/>
  <c r="Q16" i="1"/>
  <c r="AP16" i="1"/>
  <c r="F22" i="11" s="1"/>
  <c r="H16" i="1"/>
  <c r="M9" i="44"/>
  <c r="J8" i="44" s="1"/>
  <c r="J20" i="44" s="1"/>
  <c r="L57" i="44"/>
  <c r="J60" i="44"/>
  <c r="J54" i="44"/>
  <c r="F1" i="44" s="1"/>
  <c r="J58" i="44"/>
  <c r="J56" i="44" s="1"/>
  <c r="J59" i="44" s="1"/>
  <c r="Q52" i="44" s="1"/>
  <c r="J61" i="44"/>
  <c r="Q50" i="44" s="1"/>
  <c r="I55" i="44"/>
  <c r="C8" i="44"/>
  <c r="C34" i="44" s="1"/>
  <c r="Q73" i="44"/>
  <c r="L60" i="44"/>
  <c r="Q76" i="44" s="1"/>
  <c r="L59" i="44"/>
  <c r="Q75" i="44" s="1"/>
  <c r="C29" i="44"/>
  <c r="E16" i="6"/>
  <c r="E28" i="6"/>
  <c r="BL5" i="3"/>
  <c r="A9" i="64"/>
  <c r="A9" i="51"/>
  <c r="B9" i="63" s="1"/>
  <c r="J1" i="65"/>
  <c r="K34" i="9"/>
  <c r="F16" i="59"/>
  <c r="F15" i="59" s="1"/>
  <c r="F14" i="59" s="1"/>
  <c r="F13" i="59" s="1"/>
  <c r="V17" i="59"/>
  <c r="E16" i="59"/>
  <c r="E15" i="59" s="1"/>
  <c r="E14" i="59" s="1"/>
  <c r="E13" i="59" s="1"/>
  <c r="U17" i="59"/>
  <c r="C36" i="59"/>
  <c r="D35" i="59"/>
  <c r="D44" i="59"/>
  <c r="C45" i="59"/>
  <c r="AA34" i="35"/>
  <c r="S34" i="35"/>
  <c r="B16" i="59"/>
  <c r="B15" i="59" s="1"/>
  <c r="B14" i="59" s="1"/>
  <c r="B13" i="59" s="1"/>
  <c r="S17" i="59"/>
  <c r="J7" i="33"/>
  <c r="K22" i="6"/>
  <c r="M22" i="6" s="1"/>
  <c r="I22" i="6" s="1"/>
  <c r="S22" i="6" s="1"/>
  <c r="K21" i="6"/>
  <c r="M21" i="6" s="1"/>
  <c r="I21" i="6" s="1"/>
  <c r="S21" i="6" s="1"/>
  <c r="K24" i="6"/>
  <c r="M24" i="6" s="1"/>
  <c r="I24" i="6" s="1"/>
  <c r="S24" i="6" s="1"/>
  <c r="C27" i="59"/>
  <c r="D27" i="59" s="1"/>
  <c r="D28" i="59"/>
  <c r="AB34" i="35"/>
  <c r="U34" i="35"/>
  <c r="AC9" i="21"/>
  <c r="W9" i="21"/>
  <c r="K31" i="9"/>
  <c r="K32" i="9" s="1"/>
  <c r="R7" i="54"/>
  <c r="B52" i="63" s="1"/>
  <c r="C19" i="59"/>
  <c r="D20"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M19" i="44"/>
  <c r="C19" i="46"/>
  <c r="C34" i="46" s="1"/>
  <c r="Q62" i="15"/>
  <c r="Q75" i="15"/>
  <c r="M13" i="44"/>
  <c r="J12" i="44" s="1"/>
  <c r="F11" i="15"/>
  <c r="M11" i="15"/>
  <c r="J10" i="15" s="1"/>
  <c r="F13" i="44"/>
  <c r="C12" i="44" s="1"/>
  <c r="M28" i="46"/>
  <c r="P28" i="46"/>
  <c r="O28" i="46"/>
  <c r="N28" i="46"/>
  <c r="F1" i="15"/>
  <c r="Q53" i="15"/>
  <c r="Q61" i="15"/>
  <c r="Q74" i="15"/>
  <c r="J6" i="15"/>
  <c r="C16" i="15"/>
  <c r="F6" i="71"/>
  <c r="M8" i="71"/>
  <c r="M6" i="71"/>
  <c r="F37" i="71"/>
  <c r="F7" i="71"/>
  <c r="F8" i="71"/>
  <c r="F40" i="71"/>
  <c r="F38" i="71"/>
  <c r="M22" i="71"/>
  <c r="J15" i="71"/>
  <c r="M26" i="71"/>
  <c r="L48" i="71"/>
  <c r="F16" i="71"/>
  <c r="M28" i="71"/>
  <c r="L47" i="71"/>
  <c r="J36" i="71"/>
  <c r="M9" i="71"/>
  <c r="M29" i="71"/>
  <c r="F9" i="71"/>
  <c r="M24" i="71"/>
  <c r="F26" i="71"/>
  <c r="F43" i="71"/>
  <c r="M27" i="71"/>
  <c r="F13" i="71"/>
  <c r="F36" i="71"/>
  <c r="M23" i="71"/>
  <c r="F42" i="71"/>
  <c r="C18" i="44"/>
  <c r="E3" i="65"/>
  <c r="AE6" i="1"/>
  <c r="F63" i="71" l="1"/>
  <c r="F70" i="71"/>
  <c r="C27" i="71"/>
  <c r="Q72" i="71"/>
  <c r="L58" i="71"/>
  <c r="L59" i="71"/>
  <c r="L60" i="71"/>
  <c r="L56" i="71"/>
  <c r="J53" i="71"/>
  <c r="J59" i="71"/>
  <c r="J57" i="71"/>
  <c r="J55" i="71" s="1"/>
  <c r="J58" i="71" s="1"/>
  <c r="Q51" i="71" s="1"/>
  <c r="J60" i="71"/>
  <c r="Q49" i="71" s="1"/>
  <c r="I54" i="71"/>
  <c r="F65" i="71"/>
  <c r="F67" i="71"/>
  <c r="F50" i="71"/>
  <c r="M7" i="71"/>
  <c r="J6" i="71" s="1"/>
  <c r="F49" i="71"/>
  <c r="F64" i="71"/>
  <c r="C6" i="71"/>
  <c r="C9" i="70"/>
  <c r="C19" i="70" s="1"/>
  <c r="B3" i="74" s="1"/>
  <c r="D16" i="43"/>
  <c r="C16" i="43" s="1"/>
  <c r="D45" i="9"/>
  <c r="D46" i="9"/>
  <c r="E6" i="6"/>
  <c r="D22" i="12" s="1"/>
  <c r="C22" i="12" s="1"/>
  <c r="C21" i="4"/>
  <c r="O5" i="54" s="1"/>
  <c r="B45" i="63" s="1"/>
  <c r="L38" i="9"/>
  <c r="B14" i="66" s="1"/>
  <c r="B1" i="66" s="1"/>
  <c r="D16" i="12"/>
  <c r="D19" i="12" s="1"/>
  <c r="C19" i="12" s="1"/>
  <c r="C33" i="21"/>
  <c r="C33" i="76"/>
  <c r="AA7" i="76"/>
  <c r="S7" i="76"/>
  <c r="T53" i="59"/>
  <c r="D53" i="59"/>
  <c r="G38" i="74"/>
  <c r="I38" i="74" s="1"/>
  <c r="E38" i="74"/>
  <c r="G35" i="74"/>
  <c r="I35" i="74" s="1"/>
  <c r="E35" i="74"/>
  <c r="G39" i="74"/>
  <c r="I39" i="74" s="1"/>
  <c r="E39" i="74"/>
  <c r="C29" i="74"/>
  <c r="T10" i="74"/>
  <c r="V10" i="74" s="1"/>
  <c r="T16" i="74"/>
  <c r="V16" i="74" s="1"/>
  <c r="T6" i="74"/>
  <c r="V6" i="74" s="1"/>
  <c r="T13" i="74"/>
  <c r="V13" i="74" s="1"/>
  <c r="T7" i="74"/>
  <c r="V7" i="74" s="1"/>
  <c r="T5" i="74"/>
  <c r="V5" i="74" s="1"/>
  <c r="T14" i="74"/>
  <c r="V14" i="74" s="1"/>
  <c r="U7" i="76"/>
  <c r="AB7" i="76"/>
  <c r="J7" i="76"/>
  <c r="G34" i="74"/>
  <c r="I34" i="74" s="1"/>
  <c r="E34" i="74"/>
  <c r="G33" i="74"/>
  <c r="I33" i="74" s="1"/>
  <c r="E33" i="74"/>
  <c r="G37" i="74"/>
  <c r="I37" i="74" s="1"/>
  <c r="E37" i="74"/>
  <c r="G36" i="74"/>
  <c r="I36" i="74" s="1"/>
  <c r="E36" i="74"/>
  <c r="E53" i="40"/>
  <c r="F27" i="6"/>
  <c r="F31" i="6" s="1"/>
  <c r="E58" i="39"/>
  <c r="T33" i="59"/>
  <c r="D33" i="59"/>
  <c r="T41" i="59"/>
  <c r="D41" i="59"/>
  <c r="T2" i="74"/>
  <c r="V2" i="74" s="1"/>
  <c r="T12" i="74"/>
  <c r="V12" i="74" s="1"/>
  <c r="T4" i="74"/>
  <c r="V4" i="74" s="1"/>
  <c r="T3" i="74"/>
  <c r="V3" i="74" s="1"/>
  <c r="T9" i="74"/>
  <c r="V9" i="74" s="1"/>
  <c r="T15" i="74"/>
  <c r="V15" i="74" s="1"/>
  <c r="T11" i="74"/>
  <c r="V11" i="74" s="1"/>
  <c r="O6" i="1"/>
  <c r="P6" i="1" s="1"/>
  <c r="C15" i="12" s="1"/>
  <c r="C15" i="43"/>
  <c r="S37" i="21"/>
  <c r="AA37" i="21"/>
  <c r="U37" i="21"/>
  <c r="AB37" i="21"/>
  <c r="H113" i="21"/>
  <c r="J37" i="21"/>
  <c r="C24" i="71"/>
  <c r="C52" i="71"/>
  <c r="C10" i="71"/>
  <c r="C5" i="71" s="1"/>
  <c r="Q63" i="44"/>
  <c r="Q54" i="44"/>
  <c r="C20" i="12"/>
  <c r="C11" i="11"/>
  <c r="C10" i="11" s="1"/>
  <c r="C18" i="11" s="1"/>
  <c r="J7" i="44"/>
  <c r="J28" i="44" s="1"/>
  <c r="J31" i="44" s="1"/>
  <c r="Q62" i="44"/>
  <c r="C7" i="44"/>
  <c r="C40" i="44" s="1"/>
  <c r="L47" i="44"/>
  <c r="D13" i="11"/>
  <c r="C13" i="11" s="1"/>
  <c r="K19" i="6"/>
  <c r="K26" i="6"/>
  <c r="M26" i="6" s="1"/>
  <c r="I26" i="6" s="1"/>
  <c r="S26" i="6" s="1"/>
  <c r="K20" i="6"/>
  <c r="K23" i="6"/>
  <c r="M23" i="6" s="1"/>
  <c r="I23" i="6" s="1"/>
  <c r="S23" i="6" s="1"/>
  <c r="K25" i="6"/>
  <c r="M25" i="6" s="1"/>
  <c r="I25" i="6" s="1"/>
  <c r="S25" i="6" s="1"/>
  <c r="F17" i="11"/>
  <c r="C17" i="11" s="1"/>
  <c r="C19" i="11" s="1"/>
  <c r="C20" i="11" s="1"/>
  <c r="C21" i="11" s="1"/>
  <c r="C22" i="11" s="1"/>
  <c r="C23" i="11" s="1"/>
  <c r="B2" i="11" s="1"/>
  <c r="T45" i="59"/>
  <c r="D45" i="59"/>
  <c r="C8" i="66"/>
  <c r="C7" i="66"/>
  <c r="C18" i="59"/>
  <c r="D19" i="59"/>
  <c r="D36" i="59"/>
  <c r="C37" i="59"/>
  <c r="F12" i="59"/>
  <c r="F11" i="59" s="1"/>
  <c r="V1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3" i="35"/>
  <c r="H43" i="35" s="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C16" i="71"/>
  <c r="C16" i="12" l="1"/>
  <c r="J18" i="71"/>
  <c r="J5" i="71"/>
  <c r="J33" i="21"/>
  <c r="F33" i="21"/>
  <c r="H33" i="21"/>
  <c r="C48" i="71"/>
  <c r="C60" i="71" s="1"/>
  <c r="Q74" i="71"/>
  <c r="Q61" i="71"/>
  <c r="AC7" i="76"/>
  <c r="W7" i="76"/>
  <c r="E29" i="74"/>
  <c r="C26" i="74" s="1"/>
  <c r="C30" i="74"/>
  <c r="E30" i="74" s="1"/>
  <c r="C27" i="74" s="1"/>
  <c r="H33" i="76"/>
  <c r="F33" i="76"/>
  <c r="J33" i="76"/>
  <c r="C33" i="71"/>
  <c r="C32" i="71"/>
  <c r="Q53" i="71"/>
  <c r="F1" i="71"/>
  <c r="Q67" i="71"/>
  <c r="Q58" i="71"/>
  <c r="Q62" i="71"/>
  <c r="Q75" i="71"/>
  <c r="F68" i="15"/>
  <c r="W37" i="21"/>
  <c r="AC37" i="21"/>
  <c r="C38" i="71"/>
  <c r="J26" i="44"/>
  <c r="M20" i="6"/>
  <c r="I20" i="6" s="1"/>
  <c r="S20" i="6" s="1"/>
  <c r="S7" i="1"/>
  <c r="S6" i="1"/>
  <c r="K27" i="6"/>
  <c r="M19" i="6"/>
  <c r="T37" i="59"/>
  <c r="D37" i="59"/>
  <c r="D18" i="59"/>
  <c r="C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21" i="70" s="1"/>
  <c r="B4" i="74"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AE7" i="1"/>
  <c r="F41" i="71" s="1"/>
  <c r="C17" i="15"/>
  <c r="F7" i="67"/>
  <c r="C17" i="71"/>
  <c r="C19" i="44"/>
  <c r="F68" i="71" l="1"/>
  <c r="S33" i="76"/>
  <c r="AA33" i="76"/>
  <c r="R48" i="76" s="1"/>
  <c r="AA33" i="21"/>
  <c r="R48" i="21" s="1"/>
  <c r="E48" i="21" s="1"/>
  <c r="S33" i="21"/>
  <c r="J26" i="71"/>
  <c r="J29" i="71" s="1"/>
  <c r="J24" i="71"/>
  <c r="W33" i="76"/>
  <c r="AC33" i="76"/>
  <c r="V48" i="76" s="1"/>
  <c r="I48" i="76" s="1"/>
  <c r="AB33" i="76"/>
  <c r="T48" i="76" s="1"/>
  <c r="G48" i="76" s="1"/>
  <c r="U33" i="76"/>
  <c r="U33" i="21"/>
  <c r="AB33" i="21"/>
  <c r="T48" i="21" s="1"/>
  <c r="G48" i="21" s="1"/>
  <c r="G52" i="21" s="1"/>
  <c r="H52" i="21" s="1"/>
  <c r="W33" i="21"/>
  <c r="AC33" i="21"/>
  <c r="V48" i="21" s="1"/>
  <c r="C47" i="71"/>
  <c r="M27" i="6"/>
  <c r="I19" i="6"/>
  <c r="S16" i="1"/>
  <c r="E6" i="3"/>
  <c r="C16" i="59"/>
  <c r="T17" i="59"/>
  <c r="D17"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I48" i="21" l="1"/>
  <c r="R49" i="21"/>
  <c r="G53" i="21"/>
  <c r="H53" i="21" s="1"/>
  <c r="C65" i="71"/>
  <c r="C59" i="71"/>
  <c r="G52" i="76"/>
  <c r="H52" i="76" s="1"/>
  <c r="G53" i="76"/>
  <c r="H53" i="76" s="1"/>
  <c r="E48" i="76"/>
  <c r="R49" i="76"/>
  <c r="I52" i="76"/>
  <c r="J52" i="76" s="1"/>
  <c r="I53" i="76"/>
  <c r="J53" i="76" s="1"/>
  <c r="E53" i="21"/>
  <c r="F53" i="21" s="1"/>
  <c r="E52" i="21"/>
  <c r="F52" i="21" s="1"/>
  <c r="C48" i="21"/>
  <c r="C49" i="21"/>
  <c r="B3" i="21" s="1"/>
  <c r="R24" i="6"/>
  <c r="R26" i="6"/>
  <c r="S19" i="6"/>
  <c r="S27" i="6" s="1"/>
  <c r="I27" i="6"/>
  <c r="H19" i="6"/>
  <c r="R19" i="6" s="1"/>
  <c r="T6" i="1"/>
  <c r="T7" i="1"/>
  <c r="T9" i="1"/>
  <c r="T10" i="1"/>
  <c r="T13" i="1"/>
  <c r="T11" i="1"/>
  <c r="T8" i="1"/>
  <c r="T12" i="1"/>
  <c r="C15" i="59"/>
  <c r="D16" i="59"/>
  <c r="F7" i="59"/>
  <c r="B8" i="59"/>
  <c r="E8" i="59"/>
  <c r="R25" i="6"/>
  <c r="R21" i="6"/>
  <c r="D27" i="6"/>
  <c r="D31" i="6" s="1"/>
  <c r="A20" i="64"/>
  <c r="A6" i="64"/>
  <c r="A20" i="51"/>
  <c r="B15" i="63" s="1"/>
  <c r="N5" i="54"/>
  <c r="B43" i="63" s="1"/>
  <c r="A6" i="51"/>
  <c r="B7" i="63" s="1"/>
  <c r="D8" i="66"/>
  <c r="D7" i="66"/>
  <c r="D16" i="6"/>
  <c r="R23" i="6"/>
  <c r="R20" i="6"/>
  <c r="R7" i="1" s="1"/>
  <c r="R27" i="6"/>
  <c r="R6" i="1"/>
  <c r="C17" i="43"/>
  <c r="C14" i="43"/>
  <c r="C14" i="12"/>
  <c r="C17" i="12"/>
  <c r="I64" i="40"/>
  <c r="H66" i="40"/>
  <c r="H71" i="39"/>
  <c r="I69" i="39"/>
  <c r="N46" i="36"/>
  <c r="E3" i="67"/>
  <c r="B2" i="67"/>
  <c r="D4" i="46"/>
  <c r="B3" i="46"/>
  <c r="B4" i="46"/>
  <c r="C14" i="71"/>
  <c r="C14" i="15"/>
  <c r="F35" i="15"/>
  <c r="M21" i="15"/>
  <c r="M23" i="44"/>
  <c r="F35" i="71"/>
  <c r="M21" i="71"/>
  <c r="C16" i="44"/>
  <c r="F37" i="44"/>
  <c r="J20" i="71" l="1"/>
  <c r="F62" i="71"/>
  <c r="C61" i="71" s="1"/>
  <c r="C34" i="71"/>
  <c r="C31" i="71" s="1"/>
  <c r="E52" i="76"/>
  <c r="F52" i="76" s="1"/>
  <c r="E53" i="76"/>
  <c r="F53" i="76" s="1"/>
  <c r="C48" i="76"/>
  <c r="C49" i="76"/>
  <c r="C58" i="71"/>
  <c r="I52" i="21"/>
  <c r="J52" i="21" s="1"/>
  <c r="I53" i="21"/>
  <c r="J53" i="21" s="1"/>
  <c r="C15" i="71"/>
  <c r="C18" i="71"/>
  <c r="B2" i="21"/>
  <c r="L57" i="71"/>
  <c r="C18" i="15"/>
  <c r="C15" i="15"/>
  <c r="C20" i="44"/>
  <c r="C17" i="44"/>
  <c r="H27" i="6"/>
  <c r="T16" i="1"/>
  <c r="C14" i="59"/>
  <c r="D15" i="59"/>
  <c r="E7" i="59"/>
  <c r="B7" i="59"/>
  <c r="F6" i="59"/>
  <c r="I6" i="6"/>
  <c r="I5" i="6"/>
  <c r="J22" i="44"/>
  <c r="J20" i="15"/>
  <c r="F62" i="15"/>
  <c r="C61" i="15" s="1"/>
  <c r="C34" i="15"/>
  <c r="C36" i="44"/>
  <c r="R16" i="1"/>
  <c r="C18" i="43"/>
  <c r="C18" i="12"/>
  <c r="C23" i="12" s="1"/>
  <c r="O46" i="36"/>
  <c r="J7" i="36" s="1"/>
  <c r="F7" i="36"/>
  <c r="H7" i="36"/>
  <c r="J64" i="40"/>
  <c r="I66" i="40"/>
  <c r="J69" i="39"/>
  <c r="I71" i="39"/>
  <c r="B3" i="67"/>
  <c r="B4" i="67"/>
  <c r="B3" i="76" l="1"/>
  <c r="M48" i="76"/>
  <c r="C19" i="71"/>
  <c r="C20" i="71" s="1"/>
  <c r="C21" i="44"/>
  <c r="C22" i="44" s="1"/>
  <c r="C28" i="44" s="1"/>
  <c r="C19" i="15"/>
  <c r="C20" i="15" s="1"/>
  <c r="C26" i="15" s="1"/>
  <c r="C13" i="59"/>
  <c r="D14" i="59"/>
  <c r="F5" i="59"/>
  <c r="V5" i="59" s="1"/>
  <c r="B6" i="59"/>
  <c r="E6" i="59"/>
  <c r="C19" i="43"/>
  <c r="K69" i="39"/>
  <c r="J71" i="39"/>
  <c r="U7" i="36"/>
  <c r="AB7" i="36"/>
  <c r="T36" i="36" s="1"/>
  <c r="G36" i="36" s="1"/>
  <c r="AC7" i="36"/>
  <c r="V36" i="36" s="1"/>
  <c r="I36" i="36" s="1"/>
  <c r="W7" i="36"/>
  <c r="J66" i="40"/>
  <c r="K64" i="40"/>
  <c r="S7" i="36"/>
  <c r="AA7" i="36"/>
  <c r="R36" i="36" s="1"/>
  <c r="B2" i="76" l="1"/>
  <c r="C10" i="12" s="1"/>
  <c r="C8" i="12"/>
  <c r="C26" i="71"/>
  <c r="C23" i="71"/>
  <c r="C12" i="59"/>
  <c r="D13" i="59"/>
  <c r="T13" i="59"/>
  <c r="E5" i="59"/>
  <c r="U5" i="59" s="1"/>
  <c r="B5" i="59"/>
  <c r="C21" i="43"/>
  <c r="R37" i="36"/>
  <c r="E36" i="36"/>
  <c r="K66" i="40"/>
  <c r="L64" i="40"/>
  <c r="G41" i="36"/>
  <c r="H41" i="36" s="1"/>
  <c r="G40" i="36"/>
  <c r="H40" i="36" s="1"/>
  <c r="I40" i="36"/>
  <c r="J40" i="36" s="1"/>
  <c r="I41" i="36"/>
  <c r="J41" i="36" s="1"/>
  <c r="L69" i="39"/>
  <c r="K71" i="39"/>
  <c r="C29" i="71" l="1"/>
  <c r="J14" i="71" s="1"/>
  <c r="J19" i="71"/>
  <c r="J17" i="71" s="1"/>
  <c r="Q50" i="71"/>
  <c r="C36" i="71"/>
  <c r="J22" i="71"/>
  <c r="J13" i="71"/>
  <c r="J23" i="71" s="1"/>
  <c r="C11" i="59"/>
  <c r="D12" i="59"/>
  <c r="S5" i="59"/>
  <c r="L71" i="39"/>
  <c r="M69" i="39"/>
  <c r="M64" i="40"/>
  <c r="L66" i="40"/>
  <c r="E40" i="36"/>
  <c r="F40" i="36" s="1"/>
  <c r="E41" i="36"/>
  <c r="F41" i="36" s="1"/>
  <c r="C37" i="36"/>
  <c r="B3" i="36" s="1"/>
  <c r="B2" i="36" s="1"/>
  <c r="C36" i="36"/>
  <c r="C56" i="71" l="1"/>
  <c r="C63" i="71" s="1"/>
  <c r="C13" i="71"/>
  <c r="J35" i="71" s="1"/>
  <c r="J16" i="71"/>
  <c r="J25" i="71" s="1"/>
  <c r="C10" i="59"/>
  <c r="D11" i="59"/>
  <c r="N64" i="40"/>
  <c r="N66" i="40" s="1"/>
  <c r="M66" i="40"/>
  <c r="N69" i="39"/>
  <c r="N71" i="39" s="1"/>
  <c r="M71" i="39"/>
  <c r="Q71" i="71" l="1"/>
  <c r="C55" i="71"/>
  <c r="C64" i="71" s="1"/>
  <c r="C57" i="71" s="1"/>
  <c r="C66" i="71" s="1"/>
  <c r="C67" i="71" s="1"/>
  <c r="C70" i="71" s="1"/>
  <c r="C37" i="71"/>
  <c r="C30" i="71" s="1"/>
  <c r="C39" i="71" s="1"/>
  <c r="C9" i="59"/>
  <c r="D10" i="59"/>
  <c r="J9" i="40"/>
  <c r="H9" i="40"/>
  <c r="F9" i="40"/>
  <c r="J9" i="39"/>
  <c r="H9" i="39"/>
  <c r="F9" i="39"/>
  <c r="L51" i="71"/>
  <c r="Q68" i="71" l="1"/>
  <c r="Q70" i="71"/>
  <c r="Q69" i="71" s="1"/>
  <c r="C40" i="71"/>
  <c r="J39" i="71"/>
  <c r="J40" i="71"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Q48" i="71" l="1"/>
  <c r="Q54" i="71" s="1"/>
  <c r="Q57" i="71"/>
  <c r="Q63" i="71" s="1"/>
  <c r="J42" i="71"/>
  <c r="J43" i="71" s="1"/>
  <c r="Q66" i="71"/>
  <c r="Q76" i="71" s="1"/>
  <c r="B2" i="71"/>
  <c r="C43" i="71"/>
  <c r="C46" i="71"/>
  <c r="C7" i="59"/>
  <c r="D8" i="59"/>
  <c r="R45" i="40"/>
  <c r="E44" i="40"/>
  <c r="G53" i="39"/>
  <c r="H53" i="39" s="1"/>
  <c r="G54" i="39"/>
  <c r="H54" i="39" s="1"/>
  <c r="G48" i="40"/>
  <c r="H48" i="40" s="1"/>
  <c r="G49" i="40"/>
  <c r="H49" i="40" s="1"/>
  <c r="I53" i="39"/>
  <c r="J53" i="39" s="1"/>
  <c r="R50" i="39"/>
  <c r="E49" i="39"/>
  <c r="I54" i="39" s="1"/>
  <c r="J54" i="39" s="1"/>
  <c r="B3" i="71" l="1"/>
  <c r="D8" i="12" s="1"/>
  <c r="D10" i="12"/>
  <c r="C6" i="59"/>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M20" i="74" l="1"/>
  <c r="F67" i="39"/>
  <c r="B2" i="39" s="1"/>
  <c r="D5" i="59"/>
  <c r="T5" i="59"/>
  <c r="M20" i="46"/>
  <c r="B5" i="40"/>
  <c r="B4" i="40"/>
  <c r="B3" i="40"/>
  <c r="C19" i="9"/>
  <c r="L43" i="9" l="1"/>
  <c r="D18" i="70"/>
  <c r="B3" i="39"/>
  <c r="B5" i="39"/>
  <c r="B4" i="39"/>
  <c r="F20" i="43"/>
  <c r="D20" i="43" s="1"/>
  <c r="F26" i="12"/>
  <c r="F26" i="44"/>
  <c r="F24" i="15"/>
  <c r="C21" i="9"/>
  <c r="C20" i="9"/>
  <c r="D19" i="70" l="1"/>
  <c r="C34" i="70" s="1"/>
  <c r="E18" i="70"/>
  <c r="C33" i="70"/>
  <c r="C20" i="43"/>
  <c r="C24" i="15"/>
  <c r="C23" i="15"/>
  <c r="C27" i="12"/>
  <c r="D26" i="12" s="1"/>
  <c r="C32" i="12" s="1"/>
  <c r="D30" i="12" s="1"/>
  <c r="C26" i="44"/>
  <c r="C25" i="44"/>
  <c r="E19" i="70" l="1"/>
  <c r="G19" i="70"/>
  <c r="E26" i="70"/>
  <c r="C23" i="43"/>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C43" i="15"/>
  <c r="Q48" i="15"/>
  <c r="Q54" i="15" s="1"/>
  <c r="Q58" i="15"/>
  <c r="Q63" i="15" s="1"/>
  <c r="L52" i="44"/>
  <c r="L58" i="44" s="1"/>
  <c r="L61" i="44" s="1"/>
  <c r="B3" i="44"/>
  <c r="B5" i="44"/>
  <c r="B4" i="44"/>
  <c r="C6" i="12" l="1"/>
  <c r="C29" i="12" s="1"/>
  <c r="M3" i="21"/>
  <c r="M4" i="21" s="1"/>
  <c r="C24" i="12"/>
  <c r="B3" i="15"/>
  <c r="Q69" i="44"/>
  <c r="Q59" i="44"/>
  <c r="Q64" i="44" s="1"/>
  <c r="Q68" i="44"/>
  <c r="Q77" i="44" s="1"/>
  <c r="C35" i="12" l="1"/>
  <c r="C33" i="12" s="1"/>
  <c r="C28" i="12"/>
  <c r="C26" i="12" s="1"/>
  <c r="C31" i="12" s="1"/>
  <c r="C30" i="12" s="1"/>
  <c r="C36" i="12" l="1"/>
  <c r="B2" i="12" s="1"/>
  <c r="D19" i="9"/>
  <c r="L44" i="9" l="1"/>
  <c r="G19" i="9"/>
  <c r="D22" i="9"/>
  <c r="D8" i="70"/>
  <c r="D9" i="70" s="1"/>
  <c r="D34" i="70" s="1"/>
  <c r="B5" i="12"/>
  <c r="B4" i="12"/>
  <c r="B3" i="12"/>
  <c r="D20" i="9"/>
  <c r="D21" i="9"/>
  <c r="D33" i="70" l="1"/>
  <c r="E33" i="70" s="1"/>
  <c r="E8" i="70"/>
  <c r="E9" i="70" s="1"/>
  <c r="G20" i="9"/>
  <c r="G21" i="9"/>
  <c r="G22" i="9"/>
  <c r="N43" i="9"/>
  <c r="C32" i="9"/>
  <c r="G33" i="70" l="1"/>
  <c r="E36" i="70"/>
  <c r="E34" i="70"/>
  <c r="C42" i="9"/>
  <c r="C35" i="9"/>
  <c r="F42" i="9" s="1"/>
  <c r="O38" i="9"/>
  <c r="C33" i="9"/>
  <c r="O43" i="9"/>
  <c r="C34" i="9"/>
  <c r="D42" i="9" l="1"/>
  <c r="Q5" i="54" s="1"/>
  <c r="B47" i="63" s="1"/>
  <c r="N38" i="9"/>
  <c r="K28" i="9" s="1"/>
  <c r="M38" i="9"/>
  <c r="K27" i="9" s="1"/>
  <c r="E42" i="9"/>
  <c r="P5" i="54" s="1"/>
  <c r="B46" i="63" s="1"/>
  <c r="K26" i="9"/>
  <c r="K25" i="9"/>
  <c r="C44" i="9"/>
  <c r="D63" i="9"/>
  <c r="R5" i="54"/>
  <c r="B48" i="63" s="1"/>
  <c r="N68" i="9"/>
  <c r="D14" i="66"/>
  <c r="B5" i="66" l="1"/>
  <c r="F14" i="66"/>
  <c r="E14" i="66"/>
  <c r="N69" i="9"/>
  <c r="E44" i="9"/>
  <c r="G14" i="66"/>
  <c r="B6" i="66" s="1"/>
  <c r="D44" i="9"/>
  <c r="O39" i="9"/>
  <c r="F44" i="9"/>
  <c r="C96" i="9"/>
  <c r="C91" i="9" s="1"/>
  <c r="C82" i="9"/>
  <c r="C81" i="9" s="1"/>
  <c r="C85" i="9" s="1"/>
  <c r="C86" i="9" s="1"/>
  <c r="D72" i="9" s="1"/>
  <c r="D73" i="9"/>
  <c r="N73" i="9" s="1"/>
  <c r="C111" i="9"/>
  <c r="C104" i="9" s="1"/>
  <c r="C90" i="9"/>
  <c r="C97" i="9" s="1"/>
  <c r="D71" i="9"/>
  <c r="D66" i="9" s="1"/>
  <c r="N72" i="9" s="1"/>
  <c r="C103" i="9"/>
  <c r="D70" i="9"/>
  <c r="C113" i="9" l="1"/>
  <c r="C114" i="9" s="1"/>
  <c r="E114" i="9" s="1"/>
  <c r="E115" i="9" s="1"/>
  <c r="C98" i="9"/>
  <c r="E98" i="9" s="1"/>
  <c r="E99" i="9" s="1"/>
  <c r="K29" i="9"/>
  <c r="K30" i="9" s="1"/>
  <c r="R6" i="54"/>
  <c r="B50" i="63" s="1"/>
  <c r="D6" i="66"/>
  <c r="C6" i="66"/>
  <c r="M86" i="9"/>
  <c r="N86" i="9" s="1"/>
  <c r="M88" i="9"/>
  <c r="N88" i="9" s="1"/>
  <c r="M85" i="9"/>
  <c r="N85" i="9" s="1"/>
  <c r="M84" i="9"/>
  <c r="N84" i="9" s="1"/>
  <c r="M87" i="9"/>
  <c r="N87" i="9" s="1"/>
  <c r="M83" i="9"/>
  <c r="N83" i="9" s="1"/>
  <c r="D5" i="66"/>
  <c r="C5" i="66"/>
  <c r="C115" i="9" l="1"/>
  <c r="D76" i="9" s="1"/>
  <c r="D74" i="9" s="1"/>
  <c r="N74" i="9" s="1"/>
  <c r="O77" i="9" s="1"/>
  <c r="O79" i="9" s="1"/>
  <c r="O80" i="9" s="1"/>
  <c r="C99" i="9"/>
  <c r="N89" i="9"/>
  <c r="O89" i="9" s="1"/>
  <c r="O78" i="9" l="1"/>
  <c r="O81"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<sst xmlns="http://schemas.openxmlformats.org/spreadsheetml/2006/main" count="8333" uniqueCount="3340">
  <si>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</si>
  <si>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</si>
  <si>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</si>
  <si>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</si>
  <si>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</si>
  <si>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</si>
  <si>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</si>
  <si>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</si>
  <si>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</si>
  <si>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</si>
  <si>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</si>
  <si>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</si>
  <si>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</si>
  <si>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</si>
  <si>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</si>
  <si>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</si>
  <si>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</si>
  <si>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</si>
  <si>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</si>
  <si>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</si>
  <si>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</si>
  <si>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</si>
  <si>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</si>
  <si>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</si>
  <si>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</si>
  <si>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</si>
  <si>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</si>
  <si>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</si>
  <si>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</si>
  <si>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</si>
  <si>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</si>
  <si>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</si>
  <si>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</si>
  <si>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</si>
  <si>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</si>
  <si>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</si>
  <si>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</si>
  <si>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</si>
  <si>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</si>
  <si>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</si>
  <si>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</si>
  <si>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</si>
  <si>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</si>
  <si>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</si>
  <si>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</si>
  <si>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</si>
  <si>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</si>
  <si>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</si>
  <si>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</si>
  <si>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</si>
  <si>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</si>
  <si>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</si>
  <si>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</si>
  <si>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</si>
  <si>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</si>
  <si>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</si>
  <si>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</si>
  <si>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</si>
  <si>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</si>
  <si>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</si>
  <si>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</si>
  <si>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</si>
  <si>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</si>
  <si>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</si>
  <si>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</si>
  <si>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</si>
  <si>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</si>
  <si>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</si>
  <si>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</si>
  <si>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</si>
  <si>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</si>
  <si>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</si>
  <si>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</si>
  <si>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</si>
  <si>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</si>
  <si>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</si>
  <si>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</si>
  <si>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</si>
  <si>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</si>
  <si>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</si>
  <si>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</si>
  <si>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</si>
  <si>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</si>
  <si>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</si>
  <si>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</si>
  <si>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</si>
  <si>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</si>
  <si>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</si>
  <si>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</si>
  <si>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</si>
  <si>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</si>
  <si>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</si>
  <si>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</si>
  <si>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</si>
  <si>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</si>
  <si>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</si>
  <si>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</si>
  <si>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</si>
  <si>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</si>
  <si>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</si>
  <si>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</si>
  <si>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</si>
  <si>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</si>
  <si>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</si>
  <si>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</si>
  <si>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</si>
  <si>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</si>
  <si>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</si>
  <si>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</si>
  <si>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</si>
  <si>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</si>
  <si>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</si>
  <si>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</si>
  <si>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</si>
  <si>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</si>
  <si>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</si>
  <si>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</si>
  <si>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</si>
  <si>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</si>
  <si>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</si>
  <si>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</si>
  <si>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</si>
  <si>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</si>
  <si>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</si>
  <si>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</si>
  <si>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</si>
  <si>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</si>
  <si>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</si>
  <si>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</si>
  <si>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</si>
  <si>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</si>
  <si>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</si>
  <si>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</si>
  <si>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</si>
  <si>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</si>
  <si>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</si>
  <si>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</si>
  <si>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</si>
  <si>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</si>
  <si>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</si>
  <si>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</si>
  <si>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</si>
  <si>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</si>
  <si>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</si>
  <si>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</si>
  <si>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</si>
  <si>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</si>
  <si>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</si>
  <si>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</si>
  <si>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</si>
  <si>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</si>
  <si>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</si>
  <si>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</si>
  <si>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</si>
  <si>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</si>
  <si>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</si>
  <si>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</si>
  <si>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</si>
  <si>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</si>
  <si>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</si>
  <si>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</si>
  <si>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</si>
  <si>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</si>
  <si>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</si>
  <si>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</si>
  <si>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</si>
  <si>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</si>
  <si>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</si>
  <si>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</si>
  <si>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</si>
  <si>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</si>
  <si>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</si>
  <si>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</si>
  <si>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</si>
  <si>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</si>
  <si>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</si>
  <si>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</si>
  <si>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</si>
  <si>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</si>
  <si>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</si>
  <si>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</si>
  <si>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</si>
  <si>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</si>
  <si>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</si>
  <si>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</si>
  <si>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</si>
  <si>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</si>
  <si>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</si>
  <si>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</si>
  <si>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</si>
  <si>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</si>
  <si>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</si>
  <si>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</si>
  <si>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</si>
  <si>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</si>
  <si>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</si>
  <si>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</si>
  <si>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</si>
  <si>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</si>
  <si>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</si>
  <si>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</si>
  <si>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</si>
  <si>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</si>
  <si>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</si>
  <si>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</si>
  <si>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</si>
  <si>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</si>
  <si>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</si>
  <si>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</si>
  <si>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</si>
  <si>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</si>
  <si>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</si>
  <si>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</si>
  <si>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</si>
  <si>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</si>
  <si>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</si>
  <si>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</si>
  <si>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</si>
  <si>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</si>
  <si>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</si>
  <si>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</si>
  <si>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</si>
  <si>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</si>
  <si>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</si>
  <si>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</si>
  <si>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</si>
  <si>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</si>
  <si>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</si>
  <si>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</si>
  <si>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</si>
  <si>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</si>
  <si>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</si>
  <si>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</si>
  <si>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</si>
  <si>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</si>
  <si>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</si>
  <si>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</si>
  <si>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</si>
  <si>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</si>
  <si>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</si>
  <si>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</si>
  <si>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</si>
  <si>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</si>
  <si>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</si>
  <si>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</si>
  <si>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</si>
  <si>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</si>
  <si>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</si>
  <si>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</si>
  <si>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</si>
  <si>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</si>
  <si>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</si>
  <si>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</si>
  <si>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</si>
  <si>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</si>
  <si>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</si>
  <si>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</si>
  <si>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</si>
  <si>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</si>
  <si>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</si>
  <si>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</si>
  <si>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</si>
  <si>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</si>
  <si>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</si>
  <si>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</si>
  <si>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</si>
  <si>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</si>
  <si>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</si>
  <si>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</si>
  <si>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</si>
  <si>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</si>
  <si>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</si>
  <si>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</si>
  <si>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</si>
  <si>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</si>
  <si>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</si>
  <si>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</si>
  <si>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</si>
  <si>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</si>
  <si>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</si>
  <si>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</si>
  <si>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</si>
  <si>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</si>
  <si>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</si>
  <si>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</si>
  <si>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</si>
  <si>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</si>
  <si>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</si>
  <si>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</si>
  <si>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</si>
  <si>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</si>
  <si>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</si>
  <si>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</si>
  <si>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</si>
  <si>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</si>
  <si>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</si>
  <si>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</si>
  <si>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</si>
  <si>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</si>
  <si>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</si>
  <si>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</si>
  <si>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</si>
  <si>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</si>
  <si>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</si>
  <si>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</si>
  <si>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</si>
  <si>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</si>
  <si>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</si>
  <si>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</si>
  <si>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</si>
  <si>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</si>
  <si>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</si>
  <si>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</si>
  <si>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</si>
  <si>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</si>
  <si>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</si>
  <si>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</si>
  <si>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</si>
  <si>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</si>
  <si>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</si>
  <si>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</si>
  <si>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</si>
  <si>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</si>
  <si>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</si>
  <si>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</si>
  <si>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</si>
  <si>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</si>
  <si>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</si>
  <si>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</si>
  <si>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</si>
  <si>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</si>
  <si>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</si>
  <si>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</si>
  <si>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</si>
  <si>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</si>
  <si>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</si>
  <si>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</si>
  <si>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</si>
  <si>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</si>
  <si>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</si>
  <si>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</si>
  <si>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</si>
  <si>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</si>
  <si>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</si>
  <si>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</si>
  <si>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</si>
  <si>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</si>
  <si>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</si>
  <si>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</si>
  <si>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</si>
  <si>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</si>
  <si>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</si>
  <si>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</si>
  <si>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</si>
  <si>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</si>
  <si>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</si>
  <si>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</si>
  <si>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</si>
  <si>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</si>
  <si>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</si>
  <si>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</si>
  <si>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</si>
  <si>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</si>
  <si>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</si>
  <si>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</si>
  <si>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</si>
  <si>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</si>
  <si>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</si>
  <si>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</si>
  <si>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</si>
  <si>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</si>
  <si>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</si>
  <si>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</si>
  <si>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</si>
  <si>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</si>
  <si>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</si>
  <si>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</si>
  <si>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</si>
  <si>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</si>
  <si>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</si>
  <si>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</si>
  <si>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</si>
  <si>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</si>
  <si>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</si>
  <si>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</si>
  <si>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</si>
  <si>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</si>
  <si>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</si>
  <si>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</si>
  <si>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</si>
  <si>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</si>
  <si>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</si>
  <si>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</si>
  <si>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</si>
  <si>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</si>
  <si>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</si>
  <si>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</si>
  <si>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</si>
  <si>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</si>
  <si>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</si>
  <si>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</si>
  <si>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</si>
  <si>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</si>
  <si>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</si>
  <si>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</si>
  <si>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</si>
  <si>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</si>
  <si>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</si>
  <si>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</si>
  <si>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</si>
  <si>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</si>
  <si>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</si>
  <si>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</si>
  <si>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</si>
  <si>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</si>
  <si>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</si>
  <si>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</si>
  <si>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</si>
  <si>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</si>
  <si>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</si>
  <si>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</si>
  <si>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</si>
  <si>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</si>
  <si>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</si>
  <si>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</si>
  <si>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</si>
  <si>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</si>
  <si>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</si>
  <si>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</si>
  <si>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</si>
  <si>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</si>
  <si>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</si>
  <si>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</si>
  <si>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</si>
  <si>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</si>
  <si>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</si>
  <si>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</si>
  <si>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</si>
  <si>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</si>
  <si>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</si>
  <si>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</si>
  <si>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</si>
  <si>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</si>
  <si>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</si>
  <si>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</si>
  <si>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</si>
  <si>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</si>
  <si>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</si>
  <si>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</si>
  <si>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</si>
  <si>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</si>
  <si>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</si>
  <si>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</si>
  <si>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</si>
  <si>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</si>
  <si>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</si>
  <si>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</si>
  <si>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</si>
  <si>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</si>
  <si>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</si>
  <si>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</si>
  <si>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</si>
  <si>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</si>
  <si>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</si>
  <si>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</si>
  <si>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</si>
  <si>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</si>
  <si>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</si>
  <si>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</si>
  <si>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</si>
  <si>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</si>
  <si>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</si>
  <si>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</si>
  <si>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</si>
  <si>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</si>
  <si>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</si>
  <si>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</si>
  <si>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</si>
  <si>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</si>
  <si>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</si>
  <si>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</si>
  <si>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</si>
  <si>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</si>
  <si>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</si>
  <si>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</si>
  <si>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</si>
  <si>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</si>
  <si>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</si>
  <si>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</si>
  <si>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</si>
  <si>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</si>
  <si>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</si>
  <si>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</si>
  <si>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</si>
  <si>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</si>
  <si>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</si>
  <si>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</si>
  <si>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</si>
  <si>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</si>
  <si>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</si>
  <si>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</si>
  <si>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</si>
  <si>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</si>
  <si>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</si>
  <si>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</si>
  <si>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</si>
  <si>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</si>
  <si>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</si>
  <si>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</si>
  <si>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</si>
  <si>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</si>
  <si>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</si>
  <si>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</si>
  <si>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</si>
  <si>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</si>
  <si>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</si>
  <si>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</si>
  <si>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</si>
  <si>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</si>
  <si>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</si>
  <si>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</si>
  <si>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</si>
  <si>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</si>
  <si>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</si>
  <si>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</si>
  <si>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</si>
  <si>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</si>
  <si>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</si>
  <si>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</si>
  <si>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</si>
  <si>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</si>
  <si>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</si>
  <si>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</si>
  <si>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</si>
  <si>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</si>
  <si>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</si>
  <si>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</si>
  <si>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</si>
  <si>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</si>
  <si>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</si>
  <si>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</si>
  <si>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</si>
  <si>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</si>
  <si>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</si>
  <si>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</si>
  <si>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</si>
  <si>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</si>
  <si>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</si>
  <si>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</si>
  <si>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</si>
  <si>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</si>
  <si>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</si>
  <si>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</si>
  <si>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</si>
  <si>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</si>
  <si>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</si>
  <si>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</si>
  <si>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</si>
  <si>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</si>
  <si>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</si>
  <si>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</si>
  <si>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</si>
  <si>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</si>
  <si>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</si>
  <si>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</si>
  <si>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</si>
  <si>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</si>
  <si>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</si>
  <si>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</si>
  <si>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</si>
  <si>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</si>
  <si>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</si>
  <si>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</si>
  <si>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</si>
  <si>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</si>
  <si>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</si>
  <si>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</si>
  <si>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</si>
  <si>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</si>
  <si>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</si>
  <si>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</si>
  <si>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</si>
  <si>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</si>
  <si>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</si>
  <si>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</si>
  <si>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</si>
  <si>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</si>
  <si>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</si>
  <si>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</si>
  <si>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</si>
  <si>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</si>
  <si>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</si>
  <si>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</si>
  <si>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</si>
  <si>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</si>
  <si>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</si>
  <si>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</si>
  <si>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</si>
  <si>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</si>
  <si>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</si>
  <si>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</si>
  <si>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</si>
  <si>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</si>
  <si>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</si>
  <si>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</si>
  <si>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</si>
  <si>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</si>
  <si>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</si>
  <si>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</si>
  <si>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</si>
  <si>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</si>
  <si>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</si>
  <si>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</si>
  <si>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</si>
  <si>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</si>
  <si>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</si>
  <si>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</si>
  <si>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</si>
  <si>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</si>
  <si>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</si>
  <si>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</si>
  <si>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</si>
  <si>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</si>
  <si>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</si>
  <si>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</si>
  <si>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</si>
  <si>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</si>
  <si>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</si>
  <si>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</si>
  <si>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</si>
  <si>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</si>
  <si>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</si>
  <si>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</si>
  <si>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</si>
  <si>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</si>
  <si>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</si>
  <si>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</si>
  <si>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</si>
  <si>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</si>
  <si>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</si>
  <si>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</si>
  <si>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</si>
  <si>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</si>
  <si>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</si>
  <si>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</si>
  <si>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</si>
  <si>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</si>
  <si>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</si>
  <si>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</si>
  <si>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</si>
  <si>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</si>
  <si>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</si>
  <si>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</si>
  <si>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</si>
  <si>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</si>
  <si>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</si>
  <si>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</si>
  <si>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</si>
  <si>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</si>
  <si>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</si>
  <si>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</si>
  <si>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</si>
  <si>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</si>
  <si>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</si>
  <si>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</si>
  <si>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</si>
  <si>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</si>
  <si>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</si>
  <si>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</si>
  <si>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</si>
  <si>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</si>
  <si>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</si>
  <si>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</si>
  <si>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</si>
  <si>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</si>
  <si>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</si>
  <si>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</si>
  <si>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</si>
  <si>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</si>
  <si>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</si>
  <si>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</si>
  <si>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</si>
  <si>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</si>
  <si>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</si>
  <si>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</si>
  <si>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</si>
  <si>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</si>
  <si>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</si>
  <si>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</si>
  <si>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</si>
  <si>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</si>
  <si>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</si>
  <si>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</si>
  <si>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</si>
  <si>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</si>
  <si>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</si>
  <si>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</si>
  <si>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</si>
  <si>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</si>
  <si>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</si>
  <si>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</si>
  <si>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</si>
  <si>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</si>
  <si>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</si>
  <si>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</si>
  <si>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</si>
  <si>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</si>
  <si>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</si>
  <si>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</si>
  <si>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</si>
  <si>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</si>
  <si>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</si>
  <si>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</si>
  <si>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</si>
  <si>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</si>
  <si>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</si>
  <si>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</si>
  <si>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</si>
  <si>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</si>
  <si>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</si>
  <si>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</si>
  <si>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</si>
  <si>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</si>
  <si>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</si>
  <si>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</si>
  <si>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</si>
  <si>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</si>
  <si>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</si>
  <si>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</si>
  <si>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</si>
  <si>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</si>
  <si>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</si>
  <si>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</si>
  <si>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</si>
  <si>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</si>
  <si>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</si>
  <si>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</si>
  <si>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</si>
  <si>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</si>
  <si>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</si>
  <si>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</si>
  <si>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</si>
  <si>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</si>
  <si>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</si>
  <si>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</si>
  <si>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</si>
  <si>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</si>
  <si>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</si>
  <si>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</si>
  <si>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</si>
  <si>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</si>
  <si>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</si>
  <si>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</si>
  <si>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</si>
  <si>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</si>
  <si>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</si>
  <si>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</si>
  <si>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</si>
  <si>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</si>
  <si>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</si>
  <si>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</si>
  <si>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</si>
  <si>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</si>
  <si>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</si>
  <si>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</si>
  <si>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</si>
  <si>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</si>
  <si>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</si>
  <si>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</si>
  <si>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</si>
  <si>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</si>
  <si>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</si>
  <si>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</si>
  <si>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</si>
  <si>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</si>
  <si>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</si>
  <si>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</si>
  <si>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</si>
  <si>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</si>
  <si>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</si>
  <si>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</si>
  <si>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</si>
  <si>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</si>
  <si>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</si>
  <si>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</si>
  <si>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</si>
  <si>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</si>
  <si>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</si>
  <si>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</si>
  <si>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</si>
  <si>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</si>
  <si>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</si>
  <si>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</si>
  <si>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</si>
  <si>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</si>
  <si>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</si>
  <si>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</si>
  <si>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</si>
  <si>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</si>
  <si>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</si>
  <si>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</si>
  <si>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</si>
  <si>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</si>
  <si>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</si>
  <si>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</si>
  <si>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</si>
  <si>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</si>
  <si>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</si>
  <si>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</si>
  <si>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</si>
  <si>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</si>
  <si>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</si>
  <si>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</si>
  <si>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</si>
  <si>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</si>
  <si>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</si>
  <si>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</si>
  <si>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</si>
  <si>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</si>
  <si>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</si>
  <si>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</si>
  <si>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</si>
  <si>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</si>
  <si>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</si>
  <si>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</si>
  <si>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</si>
  <si>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</si>
  <si>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</si>
  <si>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</si>
  <si>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</si>
  <si>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</si>
  <si>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</si>
  <si>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</si>
  <si>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</si>
  <si>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</si>
  <si>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</si>
  <si>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</si>
  <si>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</si>
  <si>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</si>
  <si>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</si>
  <si>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</si>
  <si>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</si>
  <si>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</si>
  <si>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</si>
  <si>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</si>
  <si>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</si>
  <si>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</si>
  <si>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</si>
  <si>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</si>
  <si>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</si>
  <si>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</si>
  <si>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</si>
  <si>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</si>
  <si>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</si>
  <si>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</si>
  <si>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</si>
  <si>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</si>
  <si>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</si>
  <si>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</si>
  <si>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</si>
  <si>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</si>
  <si>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</si>
  <si>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</si>
  <si>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</si>
  <si>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</si>
  <si>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</si>
  <si>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</si>
  <si>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</si>
  <si>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</si>
  <si>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</si>
  <si>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</si>
  <si>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</si>
  <si>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</si>
  <si>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</si>
  <si>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</si>
  <si>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</si>
  <si>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</si>
  <si>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</si>
  <si>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</si>
  <si>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</si>
  <si>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</si>
  <si>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</si>
  <si>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</si>
  <si>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</si>
  <si>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</si>
  <si>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</si>
  <si>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</si>
  <si>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</si>
  <si>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</si>
  <si>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</si>
  <si>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</si>
  <si>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</si>
  <si>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</si>
  <si>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</si>
  <si>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</si>
  <si>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</si>
  <si>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</si>
  <si>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</si>
  <si>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</si>
  <si>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</si>
  <si>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</si>
  <si>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</si>
  <si>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</si>
  <si>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</si>
  <si>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</si>
  <si>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</si>
  <si>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</si>
  <si>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</si>
  <si>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</si>
  <si>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</si>
  <si>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</si>
  <si>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</si>
  <si>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</si>
  <si>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</si>
  <si>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</si>
  <si>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</si>
  <si>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</si>
  <si>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</si>
  <si>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</si>
  <si>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</si>
  <si>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</si>
  <si>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</si>
  <si>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</si>
  <si>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</si>
  <si>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</si>
  <si>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</si>
  <si>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</si>
  <si>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</si>
  <si>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</si>
  <si>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</si>
  <si>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</si>
  <si>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</si>
  <si>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</si>
  <si>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</si>
  <si>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</si>
  <si>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</si>
  <si>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</si>
  <si>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</si>
  <si>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</si>
  <si>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</si>
  <si>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</si>
  <si>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</si>
  <si>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</si>
  <si>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</si>
  <si>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</si>
  <si>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</si>
  <si>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</si>
  <si>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</si>
  <si>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</si>
  <si>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</si>
  <si>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</si>
  <si>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</si>
  <si>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</si>
  <si>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</si>
  <si>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</si>
  <si>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</si>
  <si>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</si>
  <si>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</si>
  <si>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</si>
  <si>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</si>
  <si>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</si>
  <si>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</si>
  <si>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</si>
  <si>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</si>
  <si>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</si>
  <si>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</si>
  <si>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</si>
  <si>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</si>
  <si>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</si>
  <si>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</si>
  <si>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</si>
  <si>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</si>
  <si>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</si>
  <si>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</si>
  <si>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</si>
  <si>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</si>
  <si>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</si>
  <si>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</si>
  <si>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</si>
  <si>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</si>
  <si>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</si>
  <si>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</si>
  <si>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</si>
  <si>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</si>
  <si>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</si>
  <si>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</si>
  <si>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</si>
  <si>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</si>
  <si>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</si>
  <si>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</si>
  <si>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</si>
  <si>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</si>
  <si>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</si>
  <si>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</si>
  <si>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</si>
  <si>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</si>
  <si>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</si>
  <si>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</si>
  <si>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</si>
  <si>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</si>
  <si>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</si>
  <si>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</si>
  <si>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</si>
  <si>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</si>
  <si>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</si>
  <si>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</si>
  <si>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</si>
  <si>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</si>
  <si>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</si>
  <si>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</si>
  <si>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</si>
  <si>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</si>
  <si>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</si>
  <si>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</si>
  <si>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</si>
  <si>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</si>
  <si>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</si>
  <si>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</si>
  <si>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</si>
  <si>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</si>
  <si>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</si>
  <si>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</si>
  <si>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</si>
  <si>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</si>
  <si>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</si>
  <si>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</si>
  <si>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</si>
  <si>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</si>
  <si>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</si>
  <si>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</si>
  <si>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</si>
  <si>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</si>
  <si>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</si>
  <si>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</si>
  <si>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</si>
  <si>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</si>
  <si>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</si>
  <si>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</si>
  <si>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</si>
  <si>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</si>
  <si>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</si>
  <si>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</si>
  <si>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</si>
  <si>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</si>
  <si>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</si>
  <si>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</si>
  <si>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</si>
  <si>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</si>
  <si>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</si>
  <si>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</si>
  <si>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</si>
  <si>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</si>
  <si>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</si>
  <si>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</si>
  <si>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</si>
  <si>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</si>
  <si>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</si>
  <si>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</si>
  <si>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</si>
  <si>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</si>
  <si>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</si>
  <si>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</si>
  <si>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</si>
  <si>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</si>
  <si>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</si>
  <si>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</si>
  <si>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</si>
  <si>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</si>
  <si>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</si>
  <si>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</si>
  <si>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</si>
  <si>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</si>
  <si>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</si>
  <si>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</si>
  <si>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</si>
  <si>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</si>
  <si>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</si>
  <si>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</si>
  <si>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</si>
  <si>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</si>
  <si>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</si>
  <si>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</si>
  <si>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</si>
  <si>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</si>
  <si>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</si>
  <si>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</si>
  <si>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</si>
  <si>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</si>
  <si>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</si>
  <si>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</si>
  <si>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</si>
  <si>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</si>
  <si>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</si>
  <si>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</si>
  <si>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</si>
  <si>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</si>
  <si>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</si>
  <si>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</si>
  <si>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</si>
  <si>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</si>
  <si>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</si>
  <si>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</si>
  <si>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</si>
  <si>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</si>
  <si>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</si>
  <si>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</si>
  <si>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</si>
  <si>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</si>
  <si>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</si>
  <si>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</si>
  <si>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</si>
  <si>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</si>
  <si>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</si>
  <si>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</si>
  <si>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</si>
  <si>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</si>
  <si>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</si>
  <si>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</si>
  <si>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</si>
  <si>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</si>
  <si>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</si>
  <si>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</si>
  <si>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</si>
  <si>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</si>
  <si>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</si>
  <si>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</si>
  <si>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</si>
  <si>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</si>
  <si>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</si>
  <si>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</si>
  <si>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</si>
  <si>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</si>
  <si>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</si>
  <si>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</si>
  <si>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</si>
  <si>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</si>
  <si>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</si>
  <si>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</si>
  <si>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</si>
  <si>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</si>
  <si>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</si>
  <si>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</si>
  <si>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</si>
  <si>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</si>
  <si>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</si>
  <si>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</si>
  <si>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</si>
  <si>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</si>
  <si>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</si>
  <si>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</si>
  <si>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</si>
  <si>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</si>
  <si>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</si>
  <si>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</si>
  <si>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</si>
  <si>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</si>
  <si>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</si>
  <si>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</si>
  <si>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</si>
  <si>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</si>
  <si>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</si>
  <si>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</si>
  <si>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</si>
  <si>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</si>
  <si>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</si>
  <si>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</si>
  <si>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</si>
  <si>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</si>
  <si>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</si>
  <si>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</si>
  <si>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</si>
  <si>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</si>
  <si>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</si>
  <si>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</si>
  <si>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</si>
  <si>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</si>
  <si>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</si>
  <si>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</si>
  <si>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</si>
  <si>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</si>
  <si>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</si>
  <si>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</si>
  <si>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</si>
  <si>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</si>
  <si>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</si>
  <si>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</si>
  <si>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</si>
  <si>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</si>
  <si>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</si>
  <si>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</si>
  <si>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</si>
  <si>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</si>
  <si>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</si>
  <si>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</si>
  <si>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</si>
  <si>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</si>
  <si>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</si>
  <si>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</si>
  <si>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</si>
  <si>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</si>
  <si>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</si>
  <si>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</si>
  <si>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</si>
  <si>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</si>
  <si>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</si>
  <si>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</si>
  <si>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</si>
  <si>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</si>
  <si>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</si>
  <si>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</si>
  <si>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</si>
  <si>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</si>
  <si>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</si>
  <si>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</si>
  <si>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</si>
  <si>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</si>
  <si>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</si>
  <si>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</si>
  <si>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</si>
  <si>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</si>
  <si>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</si>
  <si>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</si>
  <si>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</si>
  <si>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</si>
  <si>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</si>
  <si>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</si>
  <si>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</si>
  <si>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</si>
  <si>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</si>
  <si>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</si>
  <si>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</si>
  <si>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</si>
  <si>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</si>
  <si>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</si>
  <si>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</si>
  <si>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</si>
  <si>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</si>
  <si>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</si>
  <si>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</si>
  <si>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</si>
  <si>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</si>
  <si>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</si>
  <si>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</si>
  <si>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</si>
  <si>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</si>
  <si>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</si>
  <si>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</si>
  <si>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</si>
  <si>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</si>
  <si>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</si>
  <si>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</si>
  <si>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</si>
  <si>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</si>
  <si>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</si>
  <si>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</si>
  <si>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</si>
  <si>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</si>
  <si>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</si>
  <si>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</si>
  <si>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</si>
  <si>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</si>
  <si>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</si>
  <si>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</si>
  <si>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</si>
  <si>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</si>
  <si>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</si>
  <si>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</si>
  <si>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</si>
  <si>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</si>
  <si>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</si>
  <si>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</si>
  <si>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</si>
  <si>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</si>
  <si>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</si>
  <si>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</si>
  <si>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</si>
  <si>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</si>
  <si>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</si>
  <si>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</si>
  <si>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</si>
  <si>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</si>
  <si>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</si>
  <si>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</si>
  <si>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</si>
  <si>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</si>
  <si>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</si>
  <si>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</si>
  <si>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</si>
  <si>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</si>
  <si>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</si>
  <si>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</si>
  <si>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</si>
  <si>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</si>
  <si>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</si>
  <si>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</si>
  <si>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</si>
  <si>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</si>
  <si>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</si>
  <si>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</si>
  <si>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</si>
  <si>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</si>
  <si>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</si>
  <si>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</si>
  <si>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</si>
  <si>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</si>
  <si>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</si>
  <si>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</si>
  <si>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</si>
  <si>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</si>
  <si>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</si>
  <si>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</si>
  <si>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</si>
  <si>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</si>
  <si>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</si>
  <si>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</si>
  <si>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</si>
  <si>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</si>
  <si>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</si>
  <si>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</si>
  <si>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</si>
  <si>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</si>
  <si>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</si>
  <si>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</si>
  <si>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</si>
  <si>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</si>
  <si>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</si>
  <si>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</si>
  <si>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</si>
  <si>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</si>
  <si>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</si>
  <si>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</si>
  <si>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</si>
  <si>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</si>
  <si>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</si>
  <si>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</si>
  <si>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</si>
  <si>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</si>
  <si>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</si>
  <si>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</si>
  <si>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</si>
  <si>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</si>
  <si>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</si>
  <si>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</si>
  <si>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</si>
  <si>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</si>
  <si>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</si>
  <si>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</si>
  <si>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</si>
  <si>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</si>
  <si>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</si>
  <si>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</si>
  <si>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</si>
  <si>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</si>
  <si>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</si>
  <si>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</si>
  <si>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</si>
  <si>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</si>
  <si>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</si>
  <si>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</si>
  <si>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</si>
  <si>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</si>
  <si>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</si>
  <si>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</si>
  <si>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</si>
  <si>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</si>
  <si>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</si>
  <si>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</si>
  <si>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</si>
  <si>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</si>
  <si>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</si>
  <si>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</si>
  <si>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</si>
  <si>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</si>
  <si>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</si>
  <si>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</si>
  <si>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</si>
  <si>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</si>
  <si>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</si>
  <si>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</si>
  <si>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</si>
  <si>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</si>
  <si>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</si>
  <si>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</si>
  <si>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</si>
  <si>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</si>
  <si>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</si>
  <si>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</si>
  <si>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</si>
  <si>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</si>
  <si>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</si>
  <si>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</si>
  <si>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</si>
  <si>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</si>
  <si>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</si>
  <si>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</si>
  <si>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</si>
  <si>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</si>
  <si>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</si>
  <si>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</si>
  <si>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</si>
  <si>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</si>
  <si>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</si>
  <si>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</si>
  <si>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</si>
  <si>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</si>
  <si>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</si>
  <si>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</si>
  <si>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</si>
  <si>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</si>
  <si>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</si>
  <si>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</si>
  <si>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</si>
  <si>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</si>
  <si>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</si>
  <si>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</si>
  <si>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</si>
  <si>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</si>
  <si>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</si>
  <si>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</si>
  <si>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</si>
  <si>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</si>
  <si>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</si>
  <si>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</si>
  <si>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</si>
  <si>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</si>
  <si>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</si>
  <si>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</si>
  <si>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</si>
  <si>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</si>
  <si>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</si>
  <si>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</si>
  <si>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</si>
  <si>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</si>
  <si>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</si>
  <si>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</si>
  <si>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</si>
  <si>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</si>
  <si>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</si>
  <si>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</si>
  <si>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</si>
  <si>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</si>
  <si>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</si>
  <si>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</si>
  <si>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</si>
  <si>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</si>
  <si>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</si>
  <si>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</si>
  <si>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</si>
  <si>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</si>
  <si>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</si>
  <si>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</si>
  <si>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</si>
  <si>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</si>
  <si>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</si>
  <si>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</si>
  <si>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</si>
  <si>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</si>
  <si>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</si>
  <si>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</si>
  <si>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</si>
  <si>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</si>
  <si>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</si>
  <si>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</si>
  <si>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</si>
  <si>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</si>
  <si>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</si>
  <si>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</si>
  <si>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</si>
  <si>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</si>
  <si>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</si>
  <si>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</si>
  <si>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</si>
  <si>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</si>
  <si>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</si>
  <si>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</si>
  <si>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</si>
  <si>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</si>
  <si>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</si>
  <si>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</si>
  <si>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</si>
  <si>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</si>
  <si>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</si>
  <si>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</si>
  <si>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</si>
  <si>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</si>
  <si>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</si>
  <si>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</si>
  <si>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</si>
  <si>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</si>
  <si>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</si>
  <si>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</si>
  <si>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</si>
  <si>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</si>
  <si>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</si>
  <si>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</si>
  <si>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</si>
  <si>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</si>
  <si>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</si>
  <si>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</si>
  <si>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</si>
  <si>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</si>
  <si>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</si>
  <si>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</si>
  <si>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</si>
  <si>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</si>
  <si>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</si>
  <si>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</si>
  <si>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</si>
  <si>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</si>
  <si>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</si>
  <si>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</si>
  <si>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</si>
  <si>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</si>
  <si>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</si>
  <si>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</si>
  <si>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</si>
  <si>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</si>
  <si>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</si>
  <si>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</si>
  <si>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</si>
  <si>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</si>
  <si>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</si>
  <si>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</si>
  <si>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</si>
  <si>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</si>
  <si>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</si>
  <si>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</si>
  <si>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</si>
  <si>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</si>
  <si>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</si>
  <si>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</si>
  <si>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</si>
  <si>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</si>
  <si>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</si>
  <si>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</si>
  <si>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</si>
  <si>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</si>
  <si>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</si>
  <si>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</si>
  <si>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</si>
  <si>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</si>
  <si>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</si>
  <si>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</si>
  <si>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</si>
  <si>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</si>
  <si>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</si>
  <si>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</si>
  <si>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</si>
  <si>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</si>
  <si>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</si>
  <si>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</si>
  <si>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</si>
  <si>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</si>
  <si>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</si>
  <si>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</si>
  <si>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</si>
  <si>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</si>
  <si>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</si>
  <si>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</si>
  <si>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</si>
  <si>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</si>
  <si>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</si>
  <si>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</si>
  <si>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</si>
  <si>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</si>
  <si>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</si>
  <si>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</si>
  <si>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</si>
  <si>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</si>
  <si>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</si>
  <si>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</si>
  <si>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</si>
  <si>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</si>
  <si>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</si>
  <si>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</si>
  <si>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</si>
  <si>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</si>
  <si>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</si>
  <si>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</si>
  <si>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</si>
  <si>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</si>
  <si>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</si>
  <si>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</si>
  <si>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</si>
  <si>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</si>
  <si>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</si>
  <si>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</si>
  <si>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</si>
  <si>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</si>
  <si>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</si>
  <si>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</si>
  <si>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</si>
  <si>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</si>
  <si>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</si>
  <si>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</si>
  <si>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</si>
  <si>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</si>
  <si>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</si>
  <si>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</si>
  <si>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</si>
  <si>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</si>
  <si>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</si>
  <si>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</si>
  <si>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</si>
  <si>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</si>
  <si>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</si>
  <si>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</si>
  <si>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</si>
  <si>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</si>
  <si>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</si>
  <si>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</si>
  <si>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</si>
  <si>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</si>
  <si>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</si>
  <si>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</si>
  <si>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</si>
  <si>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</si>
  <si>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</si>
  <si>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</si>
  <si>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</si>
  <si>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</si>
  <si>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</si>
  <si>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</si>
  <si>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</si>
  <si>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</si>
  <si>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</si>
  <si>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</si>
  <si>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</si>
  <si>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</si>
  <si>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</si>
  <si>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</si>
  <si>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</si>
  <si>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</si>
  <si>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</si>
  <si>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</si>
  <si>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</si>
  <si>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</si>
  <si>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</si>
  <si>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</si>
  <si>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</si>
  <si>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</si>
  <si>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</si>
  <si>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</si>
  <si>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</si>
  <si>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</si>
  <si>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</si>
  <si>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</si>
  <si>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</si>
  <si>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</si>
  <si>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</si>
  <si>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</si>
  <si>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</si>
  <si>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</si>
  <si>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</si>
  <si>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</si>
  <si>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</si>
  <si>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</si>
  <si>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</si>
  <si>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</si>
  <si>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</si>
  <si>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</si>
  <si>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</si>
  <si>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</si>
  <si>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</si>
  <si>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</si>
  <si>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</si>
  <si>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</si>
  <si>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</si>
  <si>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</si>
  <si>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</si>
  <si>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</si>
  <si>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</si>
  <si>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</si>
  <si>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</si>
  <si>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</si>
  <si>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</si>
  <si>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</si>
  <si>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</si>
  <si>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</si>
  <si>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</si>
  <si>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</si>
  <si>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</si>
  <si>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</si>
  <si>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</si>
  <si>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</si>
  <si>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</si>
  <si>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</si>
  <si>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</si>
  <si>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</si>
  <si>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</si>
  <si>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</si>
  <si>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</si>
  <si>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</si>
  <si>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</si>
  <si>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</si>
  <si>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</si>
  <si>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</si>
  <si>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</si>
  <si>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</si>
  <si>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</si>
  <si>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</si>
  <si>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</si>
  <si>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</si>
  <si>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</si>
  <si>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</si>
  <si>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</si>
  <si>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</si>
  <si>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</si>
  <si>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</si>
  <si>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</si>
  <si>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</si>
  <si>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</si>
  <si>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</si>
  <si>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</si>
  <si>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</si>
  <si>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</si>
  <si>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</si>
  <si>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</si>
  <si>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</si>
  <si>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</si>
  <si>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</si>
  <si>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</si>
  <si>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</si>
  <si>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</si>
  <si>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</si>
  <si>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</si>
  <si>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</si>
  <si>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</si>
  <si>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</si>
  <si>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</si>
  <si>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</si>
  <si>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</si>
  <si>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</si>
  <si>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</si>
  <si>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</si>
  <si>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</si>
  <si>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</si>
  <si>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</si>
  <si>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</si>
  <si>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</si>
  <si>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</si>
  <si>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</si>
  <si>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</si>
  <si>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</si>
  <si>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</si>
  <si>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</si>
  <si>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</si>
  <si>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</si>
  <si>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</si>
  <si>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</si>
  <si>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</si>
  <si>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</si>
  <si>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</si>
  <si>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</si>
  <si>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</si>
  <si>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</si>
  <si>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</si>
  <si>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</si>
  <si>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</si>
  <si>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</si>
  <si>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</si>
  <si>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</si>
  <si>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</si>
  <si>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</si>
  <si>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</si>
  <si>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</si>
  <si>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</si>
  <si>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</si>
  <si>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</si>
  <si>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</si>
  <si>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</si>
  <si>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</si>
  <si>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</si>
  <si>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</si>
  <si>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</si>
  <si>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</si>
  <si>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</si>
  <si>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</si>
  <si>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</si>
  <si>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</si>
  <si>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</si>
  <si>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</si>
  <si>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</si>
  <si>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</si>
  <si>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</si>
  <si>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</si>
  <si>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</si>
  <si>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</si>
  <si>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</si>
  <si>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</si>
  <si>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</si>
  <si>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</si>
  <si>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</si>
  <si>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</si>
  <si>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</si>
  <si>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</si>
  <si>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</si>
  <si>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</si>
  <si>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</si>
  <si>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</si>
  <si>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</si>
  <si>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</si>
  <si>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</si>
  <si>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</si>
  <si>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</si>
  <si>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</si>
  <si>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</si>
  <si>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</si>
  <si>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</si>
  <si>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</si>
  <si>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</si>
  <si>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</si>
  <si>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</si>
  <si>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</si>
  <si>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</si>
  <si>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</si>
  <si>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</si>
  <si>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</si>
  <si>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</si>
  <si>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</si>
  <si>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</si>
  <si>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</si>
  <si>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</si>
  <si>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</si>
  <si>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</si>
  <si>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</si>
  <si>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</si>
  <si>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</si>
  <si>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</si>
  <si>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</si>
  <si>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</si>
  <si>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</si>
  <si>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</si>
  <si>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</si>
  <si>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</si>
  <si>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</si>
  <si>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</si>
  <si>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</si>
  <si>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</si>
  <si>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</si>
  <si>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</si>
  <si>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</si>
  <si>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</si>
  <si>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</si>
  <si>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</si>
  <si>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</si>
  <si>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</si>
  <si>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</si>
  <si>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</si>
  <si>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</si>
  <si>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</si>
  <si>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</si>
  <si>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</si>
  <si>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</si>
  <si>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</si>
  <si>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</si>
  <si>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</si>
  <si>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</si>
  <si>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</si>
  <si>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</si>
  <si>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</si>
  <si>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</si>
  <si>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</si>
  <si>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</si>
  <si>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</si>
  <si>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</si>
  <si>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</si>
  <si>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</si>
  <si>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</si>
  <si>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</si>
  <si>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</si>
  <si>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</si>
  <si>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</si>
  <si>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</si>
  <si>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</si>
  <si>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</si>
  <si>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</si>
  <si>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</si>
  <si>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</si>
  <si>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</si>
  <si>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</si>
  <si>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</si>
  <si>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</si>
  <si>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</si>
  <si>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</si>
  <si>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</si>
  <si>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</si>
  <si>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</si>
  <si>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</si>
  <si>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</si>
  <si>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</si>
  <si>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</si>
  <si>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</si>
  <si>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</si>
  <si>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</si>
  <si>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</si>
  <si>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</si>
  <si>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</si>
  <si>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</si>
  <si>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</si>
  <si>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</si>
  <si>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</si>
  <si>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</si>
  <si>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</si>
  <si>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</si>
  <si>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</si>
  <si>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</si>
  <si>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</si>
  <si>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</si>
  <si>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</si>
  <si>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</si>
  <si>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</si>
  <si>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</si>
  <si>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</si>
  <si>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</si>
  <si>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</si>
  <si>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</si>
  <si>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</si>
  <si>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</si>
  <si>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</si>
  <si>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</si>
  <si>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</si>
  <si>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</si>
  <si>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</si>
  <si>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</si>
  <si>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</si>
  <si>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</si>
  <si>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</si>
  <si>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</si>
  <si>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</si>
  <si>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</si>
  <si>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</si>
  <si>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</si>
  <si>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</si>
  <si>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</si>
  <si>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</si>
  <si>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</si>
  <si>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</si>
  <si>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</si>
  <si>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</si>
  <si>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</si>
  <si>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</si>
  <si>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</si>
  <si>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</si>
  <si>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</si>
  <si>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</si>
  <si>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</si>
  <si>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</si>
  <si>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</si>
  <si>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</si>
  <si>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</si>
  <si>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</si>
  <si>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</si>
  <si>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</si>
  <si>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</si>
  <si>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</si>
  <si>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</si>
  <si>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</si>
  <si>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</si>
  <si>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</si>
  <si>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</si>
  <si>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</si>
  <si>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</si>
  <si>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</si>
  <si>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</si>
  <si>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</si>
  <si>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</si>
  <si>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</si>
  <si>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</si>
  <si>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</si>
  <si>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</si>
  <si>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</si>
  <si>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</si>
  <si>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</si>
  <si>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</si>
  <si>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</si>
  <si>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</si>
  <si>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</si>
  <si>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</si>
  <si>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</si>
  <si>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</si>
  <si>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</si>
  <si>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</si>
  <si>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</si>
  <si>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</si>
  <si>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</si>
  <si>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</si>
  <si>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</si>
  <si>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</si>
  <si>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</si>
  <si>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</si>
  <si>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</si>
  <si>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</si>
  <si>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</si>
  <si>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</si>
  <si>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</si>
  <si>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</si>
  <si>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</si>
  <si>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</si>
  <si>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</si>
  <si>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</si>
  <si>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</si>
  <si>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</si>
  <si>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</si>
  <si>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</si>
  <si>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</si>
  <si>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</si>
  <si>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</si>
  <si>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</si>
  <si>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</si>
  <si>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</si>
  <si>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</si>
  <si>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</si>
  <si>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</si>
  <si>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</si>
  <si>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</si>
  <si>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</si>
  <si>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</si>
  <si>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</si>
  <si>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</si>
  <si>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</si>
  <si>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</si>
  <si>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</si>
  <si>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</si>
  <si>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</si>
  <si>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</si>
  <si>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</si>
  <si>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</si>
  <si>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</si>
  <si>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</si>
  <si>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</si>
  <si>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</si>
  <si>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</si>
  <si>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</si>
  <si>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</si>
  <si>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</si>
  <si>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</si>
  <si>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</si>
  <si>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</si>
  <si>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</si>
  <si>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</si>
  <si>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</si>
  <si>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</si>
  <si>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</si>
  <si>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</si>
  <si>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</si>
  <si>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</si>
  <si>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</si>
  <si>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</si>
  <si>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</si>
  <si>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</si>
  <si>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</si>
  <si>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</si>
  <si>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</si>
  <si>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</si>
  <si>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</si>
  <si>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</si>
  <si>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</si>
  <si>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</si>
  <si>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</si>
  <si>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</si>
  <si>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</si>
  <si>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</si>
  <si>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</si>
  <si>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</si>
  <si>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</si>
  <si>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</si>
  <si>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</si>
  <si>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</si>
  <si>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</si>
  <si>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</si>
  <si>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</si>
  <si>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</si>
  <si>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</si>
  <si>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</si>
  <si>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</si>
  <si>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</si>
  <si>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</si>
  <si>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</si>
  <si>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</si>
  <si>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</si>
  <si>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</si>
  <si>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</si>
  <si>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</si>
  <si>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</si>
  <si>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</si>
  <si>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</si>
  <si>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</si>
  <si>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</si>
  <si>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</si>
  <si>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</si>
  <si>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</si>
  <si>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</si>
  <si>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</si>
  <si>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</si>
  <si>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</si>
  <si>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</si>
  <si>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</si>
  <si>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</si>
  <si>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</si>
  <si>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</si>
  <si>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</si>
  <si>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</si>
  <si>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</si>
  <si>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</si>
  <si>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</si>
  <si>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</si>
  <si>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</si>
  <si>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</si>
  <si>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</si>
  <si>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</si>
  <si>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</si>
  <si>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</si>
  <si>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</si>
  <si>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</si>
  <si>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</si>
  <si>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</si>
  <si>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</si>
  <si>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</si>
  <si>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</si>
  <si>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</si>
  <si>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</si>
  <si>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</si>
  <si>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</si>
  <si>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</si>
  <si>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</si>
  <si>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</si>
  <si>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</si>
  <si>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</si>
  <si>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</si>
  <si>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</si>
  <si>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</si>
  <si>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</si>
  <si>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</si>
  <si>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</si>
  <si>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</si>
  <si>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</si>
  <si>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</si>
  <si>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</si>
  <si>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</si>
  <si>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</si>
  <si>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</si>
  <si>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</si>
  <si>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</si>
  <si>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</si>
  <si>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</si>
  <si>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</si>
  <si>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</si>
  <si>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</si>
  <si>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</si>
  <si>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</si>
  <si>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</si>
  <si>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</si>
  <si>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</si>
  <si>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</si>
  <si>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</si>
  <si>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</si>
  <si>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</si>
  <si>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</si>
  <si>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</si>
  <si>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</si>
  <si>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</si>
  <si>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</si>
  <si>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</si>
  <si>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</si>
  <si>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</si>
  <si>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</si>
  <si>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</si>
  <si>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</si>
  <si>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</si>
  <si>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</si>
  <si>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</si>
  <si>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</si>
  <si>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</si>
  <si>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</si>
  <si>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</si>
  <si>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</si>
  <si>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</si>
  <si>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</si>
  <si>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</si>
  <si>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</si>
  <si>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</si>
  <si>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</si>
  <si>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</si>
  <si>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</si>
  <si>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</si>
  <si>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</si>
  <si>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</si>
  <si>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</si>
  <si>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</si>
  <si>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</si>
  <si>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</si>
  <si>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</si>
  <si>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</si>
  <si>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</si>
  <si>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</si>
  <si>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</si>
  <si>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</si>
  <si>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</si>
  <si>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</si>
  <si>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</si>
  <si>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</si>
  <si>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</si>
  <si>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</si>
  <si>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</si>
  <si>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</si>
  <si>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</si>
  <si>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</si>
  <si>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</si>
  <si>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</si>
  <si>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</si>
  <si>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</si>
  <si>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</si>
  <si>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</si>
  <si>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</si>
  <si>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</si>
  <si>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</si>
  <si>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</si>
  <si>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</si>
  <si>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</si>
  <si>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</si>
  <si>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</si>
  <si>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</si>
  <si>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</si>
  <si>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</si>
  <si>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</si>
  <si>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</si>
  <si>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</si>
  <si>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</si>
  <si>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</si>
  <si>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</si>
  <si>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</si>
  <si>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</si>
  <si>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</si>
  <si>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</si>
  <si>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</si>
  <si>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</si>
  <si>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</si>
  <si>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</si>
  <si>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</si>
  <si>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</si>
  <si>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</si>
  <si>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</si>
  <si>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</si>
  <si>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</si>
  <si>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</si>
  <si>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</si>
  <si>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</si>
  <si>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</si>
  <si>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</si>
  <si>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</si>
  <si>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</si>
  <si>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</si>
  <si>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</si>
  <si>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</si>
  <si>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</si>
  <si>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</si>
  <si>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</si>
  <si>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</si>
  <si>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</si>
  <si>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</si>
  <si>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</si>
  <si>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</si>
  <si>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</si>
  <si>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</si>
  <si>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</si>
  <si>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</si>
  <si>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</si>
  <si>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</si>
  <si>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</si>
  <si>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</si>
  <si>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</si>
  <si>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</si>
  <si>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</si>
  <si>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</si>
  <si>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</si>
  <si>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</si>
  <si>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</si>
  <si>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</si>
  <si>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</si>
  <si>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</si>
  <si>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</si>
  <si>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</si>
  <si>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</si>
  <si>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</si>
  <si>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</si>
  <si>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</si>
  <si>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</si>
  <si>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</si>
  <si>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</si>
  <si>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</si>
  <si>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</si>
  <si>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</si>
  <si>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</si>
  <si>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</si>
  <si>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</si>
  <si>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</si>
  <si>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</si>
  <si>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</si>
  <si>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</si>
  <si>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</si>
  <si>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</si>
  <si>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</si>
  <si>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</si>
  <si>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</si>
  <si>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</si>
  <si>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</si>
  <si>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</si>
  <si>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</si>
  <si>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</si>
  <si>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</si>
  <si>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</si>
  <si>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</si>
  <si>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</si>
  <si>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</si>
  <si>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</si>
  <si>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</si>
  <si>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</si>
  <si>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</si>
  <si>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</si>
  <si>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</si>
  <si>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</si>
  <si>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</si>
  <si>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</si>
  <si>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</si>
  <si>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</si>
  <si>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</si>
  <si>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</si>
  <si>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</si>
  <si>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</si>
  <si>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</si>
  <si>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</si>
  <si>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</si>
  <si>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</si>
  <si>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</si>
  <si>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</si>
  <si>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</si>
  <si>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</si>
  <si>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</si>
  <si>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</si>
  <si>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</si>
  <si>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</si>
  <si>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</si>
  <si>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</si>
  <si>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</si>
  <si>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</si>
  <si>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</si>
  <si>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</si>
  <si>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</si>
  <si>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</si>
  <si>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</si>
  <si>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</si>
  <si>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</si>
  <si>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</si>
  <si>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</si>
  <si>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</si>
  <si>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</si>
  <si>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</si>
  <si>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</si>
  <si>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</si>
  <si>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</si>
  <si>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</si>
  <si>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</si>
  <si>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</si>
  <si>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</si>
  <si>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</si>
  <si>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</si>
  <si>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</si>
  <si>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</si>
  <si>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</si>
  <si>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</si>
  <si>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</si>
  <si>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</si>
  <si>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</si>
  <si>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</si>
  <si>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</si>
  <si>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</si>
  <si>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</si>
  <si>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</si>
  <si>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</si>
  <si>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</si>
  <si>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</si>
  <si>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</si>
  <si>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</si>
  <si>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</si>
  <si>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</si>
  <si>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</si>
  <si>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</si>
  <si>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</si>
  <si>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</si>
  <si>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</si>
  <si>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</si>
  <si>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</si>
  <si>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</si>
  <si>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</si>
  <si>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</si>
  <si>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</si>
  <si>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</si>
  <si>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</si>
  <si>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</si>
  <si>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</si>
  <si>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</si>
  <si>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</si>
  <si>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</si>
  <si>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</si>
  <si>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</si>
  <si>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</si>
  <si>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</si>
  <si>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</si>
  <si>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</si>
  <si>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</si>
  <si>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</si>
  <si>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</si>
  <si>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</si>
  <si>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</si>
  <si>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</si>
  <si>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</si>
  <si>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</si>
  <si>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</si>
  <si>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</si>
  <si>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</si>
  <si>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</si>
  <si>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</si>
  <si>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</si>
  <si>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</si>
  <si>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</si>
  <si>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</si>
  <si>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</si>
  <si>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</si>
  <si>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</si>
  <si>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</si>
  <si>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</si>
  <si>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</si>
  <si>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</si>
  <si>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</si>
  <si>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</si>
  <si>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</si>
  <si>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</si>
  <si>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</si>
  <si>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</si>
  <si>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</si>
  <si>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</si>
  <si>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</si>
  <si>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</si>
  <si>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</si>
  <si>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</si>
  <si>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</si>
  <si>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</si>
  <si>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</si>
  <si>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</si>
  <si>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</si>
  <si>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</si>
  <si>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</si>
  <si>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</si>
  <si>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</si>
  <si>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</si>
  <si>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</si>
  <si>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</si>
  <si>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</si>
  <si>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</si>
  <si>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</si>
  <si>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</si>
  <si>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</si>
  <si>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</si>
  <si>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</si>
  <si>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</si>
  <si>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</si>
  <si>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</si>
  <si>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</si>
  <si>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</si>
  <si>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</si>
  <si>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</si>
  <si>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</si>
  <si>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</si>
  <si>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</si>
  <si>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</si>
  <si>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</si>
  <si>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</si>
  <si>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</si>
  <si>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</si>
  <si>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</si>
  <si>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</si>
  <si>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</si>
  <si>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</si>
  <si>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</si>
  <si>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</si>
  <si>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</si>
  <si>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</si>
  <si>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</si>
  <si>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</si>
  <si>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</si>
  <si>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</si>
  <si>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</si>
  <si>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</si>
  <si>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</si>
  <si>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</si>
  <si>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</si>
  <si>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</si>
  <si>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</si>
  <si>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</si>
  <si>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</si>
  <si>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</si>
  <si>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</si>
  <si>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</si>
  <si>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</si>
  <si>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</si>
  <si>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</si>
  <si>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</si>
  <si>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</si>
  <si>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</si>
  <si>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</si>
  <si>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</si>
  <si>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</si>
  <si>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</si>
  <si>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</si>
  <si>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</si>
  <si>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</si>
  <si>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</si>
  <si>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</si>
  <si>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</si>
  <si>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</si>
  <si>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</si>
  <si>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</si>
  <si>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</si>
  <si>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</si>
  <si>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</si>
  <si>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</si>
  <si>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</si>
  <si>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</si>
  <si>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</si>
  <si>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</si>
  <si>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</si>
  <si>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</si>
  <si>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</si>
  <si>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</si>
  <si>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</si>
  <si>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</si>
  <si>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</si>
  <si>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</si>
  <si>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</si>
  <si>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</si>
  <si>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</si>
  <si>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</si>
  <si>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</si>
  <si>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</si>
  <si>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</si>
  <si>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</si>
  <si>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</si>
  <si>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</si>
  <si>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</si>
  <si>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</si>
  <si>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</si>
  <si>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</si>
  <si>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</si>
  <si>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</si>
  <si>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</si>
  <si>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</si>
  <si>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</si>
  <si>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</si>
  <si>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</si>
  <si>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</si>
  <si>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</si>
  <si>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</si>
  <si>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</si>
  <si>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</si>
  <si>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</si>
  <si>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</si>
  <si>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</si>
  <si>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</si>
  <si>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</si>
  <si>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</si>
  <si>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</si>
  <si>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</si>
  <si>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</si>
  <si>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</si>
  <si>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</si>
  <si>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</si>
  <si>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</si>
  <si>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</si>
  <si>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</si>
  <si>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</si>
  <si>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</si>
  <si>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</si>
  <si>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</si>
  <si>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</si>
  <si>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</si>
  <si>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</si>
  <si>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</si>
  <si>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</si>
  <si>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</si>
  <si>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</si>
  <si>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</si>
  <si>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</si>
  <si>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</si>
  <si>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</si>
  <si>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</si>
  <si>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</si>
  <si>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</si>
  <si>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</si>
  <si>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</si>
  <si>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</si>
  <si>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</si>
  <si>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</si>
  <si>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</si>
  <si>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</si>
  <si>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</si>
  <si>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</si>
  <si>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</si>
  <si>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</si>
  <si>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</si>
  <si>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</si>
  <si>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</si>
  <si>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</si>
  <si>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</si>
  <si>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</si>
  <si>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</si>
  <si>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</si>
  <si>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</si>
  <si>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</si>
  <si>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</si>
  <si>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</si>
  <si>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</si>
  <si>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</si>
  <si>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</si>
  <si>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</si>
  <si>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</si>
  <si>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</si>
  <si>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</si>
  <si>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</si>
  <si>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</si>
  <si>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</si>
  <si>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</si>
  <si>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</si>
  <si>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</si>
  <si>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</si>
  <si>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</si>
  <si>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</si>
  <si>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</si>
  <si>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</si>
  <si>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</si>
  <si>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</si>
  <si>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</si>
  <si>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</si>
  <si>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</si>
  <si>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</si>
  <si>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</si>
  <si>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</si>
  <si>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</si>
  <si>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</si>
  <si>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</si>
  <si>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</si>
  <si>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</si>
  <si>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</si>
  <si>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</si>
  <si>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</si>
  <si>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</si>
  <si>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</si>
  <si>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</si>
  <si>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</si>
  <si>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</si>
  <si>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</si>
  <si>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</si>
  <si>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</si>
  <si>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</si>
  <si>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</si>
  <si>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</si>
  <si>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</si>
  <si>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</si>
  <si>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</si>
  <si>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</si>
  <si>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</si>
  <si>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</si>
  <si>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</si>
  <si>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</si>
  <si>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</si>
  <si>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</si>
  <si>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</si>
  <si>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</si>
  <si>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</si>
  <si>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</si>
  <si>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</si>
  <si>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</si>
  <si>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</si>
  <si>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</si>
  <si>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</si>
  <si>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</si>
  <si>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</si>
  <si>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</si>
  <si>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</si>
  <si>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</si>
  <si>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</si>
  <si>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</si>
  <si>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</si>
  <si>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</si>
  <si>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</si>
  <si>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</si>
  <si>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</si>
  <si>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</si>
  <si>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</si>
  <si>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</si>
  <si>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</si>
  <si>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</si>
  <si>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</si>
  <si>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</si>
  <si>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</si>
  <si>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</si>
  <si>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</si>
  <si>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</si>
  <si>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</si>
  <si>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</si>
  <si>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</si>
  <si>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</si>
  <si>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</si>
  <si>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</si>
  <si>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</si>
  <si>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</si>
  <si>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</si>
  <si>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</si>
  <si>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</si>
  <si>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</si>
  <si>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</si>
  <si>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</si>
  <si>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</si>
  <si>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</si>
  <si>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</si>
  <si>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</si>
  <si>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</si>
  <si>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</si>
  <si>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</si>
  <si>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</si>
  <si>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</si>
  <si>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</si>
  <si>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</si>
  <si>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</si>
  <si>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</si>
  <si>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</si>
  <si>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</si>
  <si>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</si>
  <si>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</si>
  <si>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</si>
  <si>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</si>
  <si>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</si>
  <si>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</si>
  <si>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</si>
  <si>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</si>
  <si>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</si>
  <si>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</si>
  <si>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</si>
  <si>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</si>
  <si>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</si>
  <si>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</si>
  <si>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</si>
  <si>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</si>
  <si>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</si>
  <si>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</si>
  <si>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</si>
  <si>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</si>
  <si>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</si>
  <si>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</si>
  <si>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</si>
  <si>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</si>
  <si>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</si>
  <si>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</si>
  <si>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</si>
  <si>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</si>
  <si>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</si>
  <si>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</si>
  <si>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</si>
  <si>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</si>
  <si>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</si>
  <si>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</si>
  <si>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</si>
  <si>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</si>
  <si>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</si>
  <si>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</si>
  <si>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</si>
  <si>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</si>
  <si>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</si>
  <si>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</si>
  <si>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</si>
  <si>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</si>
  <si>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</si>
  <si>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</si>
  <si>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</si>
  <si>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</si>
  <si>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</si>
  <si>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</si>
  <si>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</si>
  <si>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</si>
  <si>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</si>
  <si>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</si>
  <si>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</si>
  <si>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</si>
  <si>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</si>
  <si>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</si>
  <si>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</si>
  <si>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</si>
  <si>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</si>
  <si>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</si>
  <si>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</si>
  <si>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</si>
  <si>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</si>
  <si>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</si>
  <si>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</si>
  <si>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</si>
  <si>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</si>
  <si>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</si>
  <si>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</si>
  <si>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</si>
  <si>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</si>
  <si>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</si>
  <si>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</si>
  <si>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</si>
  <si>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</si>
  <si>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</si>
  <si>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</si>
  <si>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</si>
  <si>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</si>
  <si>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</si>
  <si>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</si>
  <si>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</si>
  <si>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</si>
  <si>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</si>
  <si>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</si>
  <si>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</si>
  <si>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</si>
  <si>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</si>
  <si>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</si>
  <si>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</si>
  <si>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</si>
  <si>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</si>
  <si>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</si>
  <si>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</si>
  <si>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</si>
  <si>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</si>
  <si>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</si>
  <si>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</si>
  <si>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</si>
  <si>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</si>
  <si>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</si>
  <si>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</si>
  <si>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</si>
  <si>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</si>
  <si>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</si>
  <si>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</si>
  <si>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</si>
  <si>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</si>
  <si>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</si>
  <si>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</si>
  <si>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</si>
  <si>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</si>
  <si>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</si>
  <si>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</si>
  <si>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</si>
  <si>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</si>
  <si>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</si>
  <si>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</si>
  <si>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</si>
  <si>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</si>
  <si>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</si>
  <si>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</si>
  <si>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</si>
  <si>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</si>
  <si>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</si>
  <si>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</si>
  <si>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</si>
  <si>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</si>
  <si>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</si>
  <si>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</si>
  <si>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</si>
  <si>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</si>
  <si>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</si>
  <si>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</si>
  <si>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</si>
  <si>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</si>
  <si>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</si>
  <si>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</si>
  <si>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</si>
  <si>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</si>
  <si>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</si>
  <si>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</si>
  <si>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</si>
  <si>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</si>
  <si>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</si>
  <si>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</si>
  <si>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</si>
  <si>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</si>
  <si>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</si>
  <si>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</si>
  <si>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</si>
  <si>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</si>
  <si>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</si>
  <si>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</si>
  <si>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</si>
  <si>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</si>
  <si>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</si>
  <si>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</si>
  <si>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</si>
  <si>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</si>
  <si>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</si>
  <si>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</si>
  <si>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</si>
  <si>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</si>
  <si>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</si>
  <si>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</si>
  <si>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</si>
  <si>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</si>
  <si>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</si>
  <si>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</si>
  <si>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</si>
  <si>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</si>
  <si>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</si>
  <si>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</si>
  <si>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</si>
  <si>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</si>
  <si>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</si>
  <si>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</si>
  <si>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</si>
  <si>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</si>
  <si>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</si>
  <si>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</si>
  <si>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</si>
  <si>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</si>
  <si>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</si>
  <si>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</si>
  <si>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</si>
  <si>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</si>
  <si>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</si>
  <si>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</si>
  <si>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</si>
  <si>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</si>
  <si>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</si>
  <si>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</si>
  <si>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</si>
  <si>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</si>
  <si>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</si>
  <si>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</si>
  <si>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</si>
  <si>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</si>
  <si>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</si>
  <si>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</si>
  <si>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</si>
  <si>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</si>
  <si>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</si>
  <si>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</si>
  <si>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</si>
  <si>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</si>
  <si>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</si>
  <si>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</si>
  <si>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</si>
  <si>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</si>
  <si>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</si>
  <si>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</si>
  <si>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</si>
  <si>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</si>
  <si>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</si>
  <si>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</si>
  <si>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</si>
  <si>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</si>
  <si>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</si>
  <si>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</si>
  <si>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</si>
  <si>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</si>
  <si>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</si>
  <si>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</si>
  <si>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</si>
  <si>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</si>
  <si>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</si>
  <si>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</si>
  <si>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</si>
  <si>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</si>
  <si>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</si>
  <si>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</si>
  <si>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</si>
  <si>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</si>
  <si>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</si>
  <si>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</si>
  <si>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</si>
  <si>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</si>
  <si>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</si>
  <si>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</si>
  <si>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</si>
  <si>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</si>
  <si>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</si>
  <si>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</si>
  <si>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</si>
  <si>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</si>
  <si>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</si>
  <si>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</si>
  <si>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</si>
  <si>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</si>
  <si>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</si>
  <si>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</si>
  <si>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</si>
  <si>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</si>
  <si>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</si>
  <si>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</si>
  <si>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</si>
  <si>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</si>
  <si>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</si>
  <si>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</si>
  <si>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</si>
  <si>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</si>
  <si>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</si>
  <si>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</si>
  <si>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</si>
  <si>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</si>
  <si>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</si>
  <si>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</si>
  <si>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</si>
  <si>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</si>
  <si>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</si>
  <si>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</si>
  <si>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</si>
  <si>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</si>
  <si>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</si>
  <si>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</si>
  <si>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</si>
  <si>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</si>
  <si>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</si>
  <si>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</si>
  <si>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</si>
  <si>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</si>
  <si>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</si>
  <si>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</si>
  <si>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</si>
  <si>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</si>
  <si>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</si>
  <si>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</si>
  <si>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</si>
  <si>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</si>
  <si>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</si>
  <si>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</si>
  <si>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</si>
  <si>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</si>
  <si>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</si>
  <si>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</si>
  <si>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</si>
  <si>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</si>
  <si>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</si>
  <si>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</si>
  <si>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</si>
  <si>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</si>
  <si>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</si>
  <si>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</si>
  <si>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</si>
  <si>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</si>
  <si>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</si>
  <si>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</si>
  <si>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</si>
  <si>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</si>
  <si>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</si>
  <si>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</si>
  <si>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</si>
  <si>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</si>
  <si>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</si>
  <si>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</si>
  <si>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</si>
  <si>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</si>
  <si>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</si>
  <si>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</si>
  <si>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</si>
  <si>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</si>
  <si>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</si>
  <si>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</si>
  <si>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</si>
  <si>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</si>
  <si>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</si>
  <si>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</si>
  <si>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</si>
  <si>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</si>
  <si>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</si>
  <si>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</si>
  <si>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</si>
  <si>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</si>
  <si>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</si>
  <si>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</si>
  <si>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</si>
  <si>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</si>
  <si>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</si>
  <si>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</si>
  <si>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</si>
  <si>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</si>
  <si>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</si>
  <si>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</si>
  <si>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</si>
  <si>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</si>
  <si>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</si>
  <si>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</si>
  <si>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</si>
  <si>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</si>
  <si>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</si>
  <si>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</si>
  <si>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</si>
  <si>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</si>
  <si>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</si>
  <si>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</si>
  <si>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</si>
  <si>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</si>
  <si>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</si>
  <si>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</si>
  <si>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</si>
  <si>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</si>
  <si>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</si>
  <si>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</si>
  <si>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</si>
  <si>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</si>
  <si>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</si>
  <si>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</si>
  <si>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</si>
  <si>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</si>
  <si>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</si>
  <si>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</si>
  <si>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</si>
  <si>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</si>
  <si>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</si>
  <si>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</si>
  <si>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</si>
  <si>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</si>
  <si>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</si>
  <si>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出让</t>
  </si>
  <si>
    <t>土地面积</t>
    <phoneticPr fontId="225" type="noConversion"/>
  </si>
  <si>
    <t>总建筑面积</t>
    <phoneticPr fontId="225" type="noConversion"/>
  </si>
  <si>
    <t>地上建筑面积</t>
    <phoneticPr fontId="225" type="noConversion"/>
  </si>
  <si>
    <t>住宅</t>
    <phoneticPr fontId="225" type="noConversion"/>
  </si>
  <si>
    <t>配套</t>
    <phoneticPr fontId="225" type="noConversion"/>
  </si>
  <si>
    <t>地下建筑面积</t>
    <phoneticPr fontId="225" type="noConversion"/>
  </si>
  <si>
    <t>车位个数</t>
    <phoneticPr fontId="225" type="noConversion"/>
  </si>
  <si>
    <t>容积率</t>
    <phoneticPr fontId="225" type="noConversion"/>
  </si>
  <si>
    <t>其中</t>
    <phoneticPr fontId="225" type="noConversion"/>
  </si>
  <si>
    <t>其中</t>
    <phoneticPr fontId="225" type="noConversion"/>
  </si>
  <si>
    <t>设定车位面积</t>
    <phoneticPr fontId="225" type="noConversion"/>
  </si>
  <si>
    <t>车位面积</t>
    <phoneticPr fontId="225" type="noConversion"/>
  </si>
  <si>
    <t>地下设备面积</t>
    <phoneticPr fontId="225" type="noConversion"/>
  </si>
  <si>
    <t>商业办公</t>
    <phoneticPr fontId="225" type="noConversion"/>
  </si>
  <si>
    <t>住宅</t>
    <phoneticPr fontId="225" type="noConversion"/>
  </si>
  <si>
    <t>办公</t>
    <phoneticPr fontId="225" type="noConversion"/>
  </si>
  <si>
    <t>全人才</t>
    <phoneticPr fontId="225" type="noConversion"/>
  </si>
  <si>
    <t>土地楼面单价</t>
    <phoneticPr fontId="225" type="noConversion"/>
  </si>
  <si>
    <t>地上经营用途建筑面积</t>
    <phoneticPr fontId="225" type="noConversion"/>
  </si>
  <si>
    <t>土地总价</t>
    <phoneticPr fontId="225" type="noConversion"/>
  </si>
  <si>
    <t>推算人才土地楼面单价</t>
    <phoneticPr fontId="225" type="noConversion"/>
  </si>
  <si>
    <t>估价结果</t>
    <phoneticPr fontId="225" type="noConversion"/>
  </si>
  <si>
    <t>基准地价法</t>
    <phoneticPr fontId="225" type="noConversion"/>
  </si>
  <si>
    <t>剩余法</t>
    <phoneticPr fontId="225" type="noConversion"/>
  </si>
  <si>
    <t>总价</t>
    <phoneticPr fontId="225" type="noConversion"/>
  </si>
  <si>
    <t>楼面单价</t>
    <phoneticPr fontId="225" type="noConversion"/>
  </si>
  <si>
    <t>占比</t>
    <phoneticPr fontId="225" type="noConversion"/>
  </si>
  <si>
    <t>评估总值</t>
    <phoneticPr fontId="225" type="noConversion"/>
  </si>
  <si>
    <t>地上</t>
  </si>
  <si>
    <t>地下</t>
  </si>
  <si>
    <t>车库</t>
  </si>
  <si>
    <t>住宅</t>
    <phoneticPr fontId="7" type="noConversion"/>
  </si>
  <si>
    <t>地下车库</t>
    <phoneticPr fontId="7" type="noConversion"/>
  </si>
  <si>
    <t>利息：取LPR加浮动点数</t>
  </si>
  <si>
    <t>土地（套用方法）</t>
  </si>
  <si>
    <t>按租金收入计税</t>
  </si>
  <si>
    <t>押一</t>
  </si>
  <si>
    <t>钢混</t>
  </si>
  <si>
    <t>不动产收益法</t>
  </si>
  <si>
    <t>工程进度</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</si>
  <si>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</si>
  <si>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</si>
  <si>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</si>
  <si>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</si>
  <si>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</si>
  <si>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</si>
  <si>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</si>
  <si>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</si>
  <si>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</si>
  <si>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</si>
  <si>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</si>
  <si>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</si>
  <si>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</si>
  <si>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</si>
  <si>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</si>
  <si>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</si>
  <si>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</si>
  <si>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</si>
  <si>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</si>
  <si>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</si>
  <si>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</si>
  <si>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</si>
  <si>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</si>
  <si>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</si>
  <si>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</si>
  <si>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挂牌</t>
  </si>
  <si>
    <t xml:space="preserve"> R2二类居住用地、B4综合性商业金融服务业用地</t>
  </si>
  <si>
    <t xml:space="preserve">2022年第1批次 </t>
  </si>
  <si>
    <t xml:space="preserve"> 已成交</t>
  </si>
  <si>
    <t xml:space="preserve"> 北京城市副中心投资建设集团有限公司  </t>
  </si>
  <si>
    <t>2022-02-15 15:00</t>
  </si>
  <si>
    <t>北京城市副中心0101街区FZX-0101-0902地块F3其他类多功能用地</t>
  </si>
  <si>
    <t>京土整储挂(通)[2021]096号</t>
  </si>
  <si>
    <t xml:space="preserve"> 商业/办公用地</t>
  </si>
  <si>
    <t xml:space="preserve"> F3其他类多功能用地</t>
  </si>
  <si>
    <t xml:space="preserve">--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</si>
  <si>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</si>
  <si>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</si>
  <si>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</si>
  <si>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</si>
  <si>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</si>
  <si>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</si>
  <si>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</si>
  <si>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</si>
  <si>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</si>
  <si>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</si>
  <si>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</si>
  <si>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</si>
  <si>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</si>
  <si>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</si>
  <si>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</si>
  <si>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</si>
  <si>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</si>
  <si>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</si>
  <si>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</si>
  <si>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</si>
  <si>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</si>
  <si>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</si>
  <si>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</si>
  <si>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</si>
  <si>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</si>
  <si>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</si>
  <si>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</si>
  <si>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</si>
  <si>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</si>
  <si>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</si>
  <si>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</si>
  <si>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</si>
  <si>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</si>
  <si>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</si>
  <si>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</si>
  <si>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</si>
  <si>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</si>
  <si>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</si>
  <si>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</si>
  <si>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</si>
  <si>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</si>
  <si>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</si>
  <si>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</si>
  <si>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</si>
  <si>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</si>
  <si>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</si>
  <si>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</si>
  <si>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</si>
  <si>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</si>
  <si>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</si>
  <si>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</si>
  <si>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</si>
  <si>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</si>
  <si>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</si>
  <si>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</si>
  <si>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</si>
  <si>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</si>
  <si>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</si>
  <si>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</si>
  <si>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</si>
  <si>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</si>
  <si>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</si>
  <si>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</si>
  <si>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</si>
  <si>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</si>
  <si>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</si>
  <si>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</si>
  <si>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</si>
  <si>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</si>
  <si>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</si>
  <si>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</si>
  <si>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</si>
  <si>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</si>
  <si>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</si>
  <si>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</si>
  <si>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</si>
  <si>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</si>
  <si>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</si>
  <si>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</si>
  <si>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</si>
  <si>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</si>
  <si>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</si>
  <si>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</si>
  <si>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26" type="noConversion"/>
  </si>
  <si>
    <t>一般</t>
  </si>
  <si>
    <t>一般</t>
    <phoneticPr fontId="26" type="noConversion"/>
  </si>
  <si>
    <t>一般</t>
    <phoneticPr fontId="26" type="noConversion"/>
  </si>
  <si>
    <t>较好</t>
  </si>
  <si>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</si>
  <si>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</si>
  <si>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</si>
  <si>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</si>
  <si>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</si>
  <si>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</si>
  <si>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</si>
  <si>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</si>
  <si>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</si>
  <si>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自持年限修正系数</t>
    <phoneticPr fontId="26" type="noConversion"/>
  </si>
  <si>
    <t>Ⅵ-通1</t>
  </si>
  <si>
    <t>市场比较法</t>
    <phoneticPr fontId="225" type="noConversion"/>
  </si>
  <si>
    <t>扣除补交出让金</t>
    <phoneticPr fontId="225" type="noConversion"/>
  </si>
  <si>
    <t>面积</t>
    <phoneticPr fontId="225" type="noConversion"/>
  </si>
  <si>
    <t>单价</t>
    <phoneticPr fontId="225" type="noConversion"/>
  </si>
  <si>
    <t>总价</t>
    <phoneticPr fontId="225" type="noConversion"/>
  </si>
  <si>
    <t>自持年限</t>
    <phoneticPr fontId="26" type="noConversion"/>
  </si>
  <si>
    <t>地面价</t>
    <phoneticPr fontId="225" type="noConversion"/>
  </si>
  <si>
    <t>比较法-住宅、综合</t>
  </si>
  <si>
    <r>
      <rPr>
        <sz val="11"/>
        <color theme="1"/>
        <rFont val="宋体"/>
        <family val="3"/>
        <charset val="134"/>
      </rPr>
      <t>基准地价</t>
    </r>
    <r>
      <rPr>
        <sz val="11"/>
        <color theme="1"/>
        <rFont val="Arial"/>
        <family val="2"/>
      </rPr>
      <t>-</t>
    </r>
    <r>
      <rPr>
        <sz val="11"/>
        <color theme="1"/>
        <rFont val="宋体"/>
        <family val="3"/>
        <charset val="134"/>
      </rPr>
      <t>结果链接</t>
    </r>
    <phoneticPr fontId="14" type="noConversion"/>
  </si>
  <si>
    <t>地面单价</t>
    <phoneticPr fontId="225" type="noConversion"/>
  </si>
  <si>
    <t>估价结果</t>
    <phoneticPr fontId="225" type="noConversion"/>
  </si>
  <si>
    <t>地上楼面价</t>
    <phoneticPr fontId="225" type="noConversion"/>
  </si>
  <si>
    <t>剩余法-待开发</t>
  </si>
  <si>
    <t>售价</t>
  </si>
  <si>
    <t>京洲世家</t>
    <phoneticPr fontId="3" type="noConversion"/>
  </si>
  <si>
    <t>阿尔法社区</t>
    <phoneticPr fontId="3" type="noConversion"/>
  </si>
  <si>
    <t>旗舰凯旋</t>
    <phoneticPr fontId="3" type="noConversion"/>
  </si>
  <si>
    <t>正常</t>
    <phoneticPr fontId="21" type="noConversion"/>
  </si>
  <si>
    <t>正常</t>
    <phoneticPr fontId="21" type="noConversion"/>
  </si>
  <si>
    <t>一般</t>
    <phoneticPr fontId="21" type="noConversion"/>
  </si>
  <si>
    <t>较好</t>
    <phoneticPr fontId="21" type="noConversion"/>
  </si>
  <si>
    <t>较好</t>
    <phoneticPr fontId="21" type="noConversion"/>
  </si>
  <si>
    <t>较好</t>
    <phoneticPr fontId="21" type="noConversion"/>
  </si>
  <si>
    <t>较好</t>
    <phoneticPr fontId="21" type="noConversion"/>
  </si>
  <si>
    <t>案例A</t>
    <phoneticPr fontId="225" type="noConversion"/>
  </si>
  <si>
    <t>案例B</t>
    <phoneticPr fontId="225" type="noConversion"/>
  </si>
  <si>
    <t>案例C</t>
    <phoneticPr fontId="225" type="noConversion"/>
  </si>
  <si>
    <t>金悦郡</t>
    <phoneticPr fontId="225" type="noConversion"/>
  </si>
  <si>
    <t>亦庄橡树湾</t>
    <phoneticPr fontId="225" type="noConversion"/>
  </si>
  <si>
    <t>绿城明月听籣</t>
    <phoneticPr fontId="225" type="noConversion"/>
  </si>
  <si>
    <t>七通</t>
    <phoneticPr fontId="21" type="noConversion"/>
  </si>
  <si>
    <t>七通</t>
    <phoneticPr fontId="21" type="noConversion"/>
  </si>
  <si>
    <t>七通</t>
    <phoneticPr fontId="21" type="noConversion"/>
  </si>
  <si>
    <t>一般</t>
    <phoneticPr fontId="21" type="noConversion"/>
  </si>
  <si>
    <t>住宅</t>
    <phoneticPr fontId="21" type="noConversion"/>
  </si>
  <si>
    <t>精装</t>
    <phoneticPr fontId="21" type="noConversion"/>
  </si>
  <si>
    <t>国誉未来悦</t>
  </si>
  <si>
    <t>福星惠誉·京澜誉府</t>
  </si>
  <si>
    <t>台湖金茂悦</t>
  </si>
  <si>
    <t>自持</t>
    <phoneticPr fontId="225" type="noConversion"/>
  </si>
  <si>
    <t>自定义</t>
  </si>
  <si>
    <t>精装</t>
    <phoneticPr fontId="225" type="noConversion"/>
  </si>
  <si>
    <t>毛坯</t>
  </si>
  <si>
    <t>毛坯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</si>
</sst>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b/>
      <sz val="15"/>
      <color rgb="FF303133"/>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61" fillId="0" borderId="2" xfId="0" applyFont="1" applyBorder="1">
      <alignment vertical="center"/>
    </xf>
    <xf numFmtId="0" fontId="161" fillId="0" borderId="0" xfId="0" applyFont="1">
      <alignment vertical="center"/>
    </xf>
    <xf numFmtId="0" fontId="161" fillId="7" borderId="2" xfId="0" applyFont="1" applyFill="1" applyBorder="1">
      <alignment vertical="center"/>
    </xf>
    <xf numFmtId="0" fontId="0" fillId="17" borderId="0" xfId="0" applyFill="1">
      <alignment vertical="center"/>
    </xf>
    <xf numFmtId="0" fontId="166" fillId="17" borderId="0" xfId="16" applyNumberFormat="1" applyFont="1" applyFill="1"/>
    <xf numFmtId="49" fontId="78" fillId="2" borderId="33"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209" fillId="5" borderId="0" xfId="0" applyFont="1" applyFill="1" applyBorder="1" applyAlignment="1" applyProtection="1">
      <alignment horizontal="center"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0" fontId="150" fillId="0" borderId="2" xfId="0" applyNumberFormat="1" applyFont="1" applyFill="1" applyBorder="1" applyAlignment="1" applyProtection="1">
      <alignment horizontal="center" vertical="center"/>
      <protection locked="0"/>
    </xf>
    <xf numFmtId="49" fontId="78" fillId="2" borderId="62"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0" fontId="143" fillId="0" borderId="0" xfId="0" applyFont="1">
      <alignment vertical="center"/>
    </xf>
    <xf numFmtId="49" fontId="141" fillId="2" borderId="24"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81" fillId="12" borderId="0" xfId="0" applyNumberFormat="1" applyFont="1" applyFill="1" applyAlignment="1" applyProtection="1">
      <alignment horizontal="center" vertical="center"/>
      <protection locked="0"/>
    </xf>
    <xf numFmtId="49" fontId="141" fillId="2" borderId="9" xfId="0" applyNumberFormat="1" applyFont="1" applyFill="1" applyBorder="1" applyAlignment="1" applyProtection="1">
      <alignment horizontal="center" vertical="center" wrapText="1"/>
      <protection locked="0"/>
    </xf>
    <xf numFmtId="0" fontId="282" fillId="0" borderId="0" xfId="0" applyFont="1">
      <alignment vertical="center"/>
    </xf>
    <xf numFmtId="0" fontId="78" fillId="0" borderId="5" xfId="0" applyFont="1" applyFill="1" applyBorder="1" applyAlignment="1" applyProtection="1">
      <alignment horizontal="center" vertical="center" wrapText="1"/>
      <protection locked="0"/>
    </xf>
    <xf numFmtId="182" fontId="82" fillId="16" borderId="25" xfId="0" applyNumberFormat="1" applyFont="1" applyFill="1" applyBorder="1" applyAlignment="1" applyProtection="1">
      <alignment horizontal="center" vertical="center"/>
      <protection locked="0"/>
    </xf>
    <xf numFmtId="178" fontId="68" fillId="16" borderId="2" xfId="2" applyNumberFormat="1" applyFont="1" applyFill="1" applyBorder="1" applyAlignment="1" applyProtection="1">
      <alignment horizontal="center" vertical="center"/>
      <protection locked="0"/>
    </xf>
    <xf numFmtId="180" fontId="82" fillId="16" borderId="12" xfId="0" applyNumberFormat="1" applyFont="1" applyFill="1" applyBorder="1" applyAlignment="1" applyProtection="1">
      <alignment horizontal="center" vertical="center"/>
    </xf>
    <xf numFmtId="182" fontId="82" fillId="16" borderId="12" xfId="0" applyNumberFormat="1" applyFont="1" applyFill="1" applyBorder="1" applyAlignment="1" applyProtection="1">
      <alignment horizontal="center" vertical="center"/>
    </xf>
    <xf numFmtId="0" fontId="78"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5" xfId="0" applyFont="1" applyBorder="1" applyAlignment="1">
      <alignment horizontal="center" vertical="center"/>
    </xf>
    <xf numFmtId="0" fontId="161" fillId="0" borderId="8" xfId="0" applyFont="1" applyBorder="1" applyAlignment="1">
      <alignment horizontal="center" vertical="center"/>
    </xf>
    <xf numFmtId="0" fontId="161" fillId="0" borderId="9" xfId="0" applyFont="1" applyBorder="1" applyAlignment="1">
      <alignment horizontal="center" vertical="center"/>
    </xf>
    <xf numFmtId="0" fontId="161" fillId="0" borderId="2" xfId="0" applyFont="1" applyBorder="1" applyAlignment="1">
      <alignment horizontal="center" vertical="center"/>
    </xf>
    <xf numFmtId="0" fontId="161" fillId="0" borderId="10" xfId="0" applyFont="1" applyBorder="1" applyAlignment="1">
      <alignment horizontal="center" vertical="center"/>
    </xf>
    <xf numFmtId="0" fontId="161" fillId="0" borderId="21" xfId="0" applyFont="1" applyBorder="1" applyAlignment="1">
      <alignment horizontal="center" vertical="center"/>
    </xf>
    <xf numFmtId="0" fontId="161" fillId="0" borderId="3" xfId="0" applyFont="1" applyBorder="1" applyAlignment="1">
      <alignment horizontal="center" vertical="center"/>
    </xf>
    <xf numFmtId="0" fontId="281" fillId="0" borderId="0" xfId="16" applyNumberFormat="1" applyFont="1"/>
    <xf numFmtId="0" fontId="281" fillId="17" borderId="0" xfId="16" applyNumberFormat="1" applyFont="1" applyFill="1"/>
    <xf numFmtId="14" fontId="161" fillId="17" borderId="0" xfId="16" applyNumberFormat="1" applyFont="1" applyFill="1"/>
    <xf numFmtId="14" fontId="161" fillId="0" borderId="0" xfId="16" applyNumberFormat="1" applyFo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532477</xdr:colOff>
      <xdr:row>41</xdr:row>
      <xdr:rowOff>94360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90477" cy="7123810"/>
        </a:xfrm>
        <a:prstGeom prst="rect">
          <a:avLst/>
        </a:prstGeom>
      </xdr:spPr>
    </xdr:pic>
    <xdr:clientData/>
  </xdr:twoCellAnchor>
  <xdr:twoCellAnchor editAs="oneCell">
    <xdr:from>
      <xdr:col>0</xdr:col>
      <xdr:colOff>0</xdr:colOff>
      <xdr:row>43</xdr:row>
      <xdr:rowOff>0</xdr:rowOff>
    </xdr:from>
    <xdr:to>
      <xdr:col>13</xdr:col>
      <xdr:colOff>275077</xdr:colOff>
      <xdr:row>91</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190477" cy="8257143"/>
        </a:xfrm>
        <a:prstGeom prst="rect">
          <a:avLst/>
        </a:prstGeom>
      </xdr:spPr>
    </xdr:pic>
    <xdr:clientData/>
  </xdr:twoCellAnchor>
  <xdr:twoCellAnchor editAs="oneCell">
    <xdr:from>
      <xdr:col>0</xdr:col>
      <xdr:colOff>0</xdr:colOff>
      <xdr:row>92</xdr:row>
      <xdr:rowOff>0</xdr:rowOff>
    </xdr:from>
    <xdr:to>
      <xdr:col>12</xdr:col>
      <xdr:colOff>379924</xdr:colOff>
      <xdr:row>139</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8609524" cy="8219048"/>
        </a:xfrm>
        <a:prstGeom prst="rect">
          <a:avLst/>
        </a:prstGeom>
      </xdr:spPr>
    </xdr:pic>
    <xdr:clientData/>
  </xdr:twoCellAnchor>
  <xdr:twoCellAnchor editAs="oneCell">
    <xdr:from>
      <xdr:col>0</xdr:col>
      <xdr:colOff>0</xdr:colOff>
      <xdr:row>142</xdr:row>
      <xdr:rowOff>0</xdr:rowOff>
    </xdr:from>
    <xdr:to>
      <xdr:col>11</xdr:col>
      <xdr:colOff>541915</xdr:colOff>
      <xdr:row>178</xdr:row>
      <xdr:rowOff>27800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345900"/>
          <a:ext cx="8085715" cy="6200000"/>
        </a:xfrm>
        <a:prstGeom prst="rect">
          <a:avLst/>
        </a:prstGeom>
      </xdr:spPr>
    </xdr:pic>
    <xdr:clientData/>
  </xdr:twoCellAnchor>
  <xdr:twoCellAnchor editAs="oneCell">
    <xdr:from>
      <xdr:col>0</xdr:col>
      <xdr:colOff>0</xdr:colOff>
      <xdr:row>179</xdr:row>
      <xdr:rowOff>0</xdr:rowOff>
    </xdr:from>
    <xdr:to>
      <xdr:col>16</xdr:col>
      <xdr:colOff>398629</xdr:colOff>
      <xdr:row>212</xdr:row>
      <xdr:rowOff>75484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0689550"/>
          <a:ext cx="11371429" cy="5733334"/>
        </a:xfrm>
        <a:prstGeom prst="rect">
          <a:avLst/>
        </a:prstGeom>
      </xdr:spPr>
    </xdr:pic>
    <xdr:clientData/>
  </xdr:twoCellAnchor>
  <xdr:twoCellAnchor editAs="oneCell">
    <xdr:from>
      <xdr:col>0</xdr:col>
      <xdr:colOff>0</xdr:colOff>
      <xdr:row>213</xdr:row>
      <xdr:rowOff>0</xdr:rowOff>
    </xdr:from>
    <xdr:to>
      <xdr:col>15</xdr:col>
      <xdr:colOff>322525</xdr:colOff>
      <xdr:row>245</xdr:row>
      <xdr:rowOff>113600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518850"/>
          <a:ext cx="10609525" cy="5600000"/>
        </a:xfrm>
        <a:prstGeom prst="rect">
          <a:avLst/>
        </a:prstGeom>
      </xdr:spPr>
    </xdr:pic>
    <xdr:clientData/>
  </xdr:twoCellAnchor>
  <xdr:twoCellAnchor editAs="oneCell">
    <xdr:from>
      <xdr:col>0</xdr:col>
      <xdr:colOff>0</xdr:colOff>
      <xdr:row>246</xdr:row>
      <xdr:rowOff>85725</xdr:rowOff>
    </xdr:from>
    <xdr:to>
      <xdr:col>16</xdr:col>
      <xdr:colOff>255772</xdr:colOff>
      <xdr:row>285</xdr:row>
      <xdr:rowOff>113461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2262425"/>
          <a:ext cx="11228572" cy="6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104775</xdr:rowOff>
    </xdr:from>
    <xdr:to>
      <xdr:col>13</xdr:col>
      <xdr:colOff>789443</xdr:colOff>
      <xdr:row>45</xdr:row>
      <xdr:rowOff>47182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19575"/>
          <a:ext cx="9057143" cy="3542857"/>
        </a:xfrm>
        <a:prstGeom prst="rect">
          <a:avLst/>
        </a:prstGeom>
      </xdr:spPr>
    </xdr:pic>
    <xdr:clientData/>
  </xdr:twoCellAnchor>
  <xdr:twoCellAnchor editAs="oneCell">
    <xdr:from>
      <xdr:col>0</xdr:col>
      <xdr:colOff>19050</xdr:colOff>
      <xdr:row>44</xdr:row>
      <xdr:rowOff>123825</xdr:rowOff>
    </xdr:from>
    <xdr:to>
      <xdr:col>18</xdr:col>
      <xdr:colOff>493898</xdr:colOff>
      <xdr:row>52</xdr:row>
      <xdr:rowOff>133177</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7667625"/>
          <a:ext cx="11219048" cy="1380952"/>
        </a:xfrm>
        <a:prstGeom prst="rect">
          <a:avLst/>
        </a:prstGeom>
      </xdr:spPr>
    </xdr:pic>
    <xdr:clientData/>
  </xdr:twoCellAnchor>
  <xdr:twoCellAnchor editAs="oneCell">
    <xdr:from>
      <xdr:col>0</xdr:col>
      <xdr:colOff>0</xdr:colOff>
      <xdr:row>56</xdr:row>
      <xdr:rowOff>0</xdr:rowOff>
    </xdr:from>
    <xdr:to>
      <xdr:col>18</xdr:col>
      <xdr:colOff>398658</xdr:colOff>
      <xdr:row>64</xdr:row>
      <xdr:rowOff>114114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142858" cy="1485714"/>
        </a:xfrm>
        <a:prstGeom prst="rect">
          <a:avLst/>
        </a:prstGeom>
      </xdr:spPr>
    </xdr:pic>
    <xdr:clientData/>
  </xdr:twoCellAnchor>
  <xdr:twoCellAnchor editAs="oneCell">
    <xdr:from>
      <xdr:col>0</xdr:col>
      <xdr:colOff>0</xdr:colOff>
      <xdr:row>67</xdr:row>
      <xdr:rowOff>0</xdr:rowOff>
    </xdr:from>
    <xdr:to>
      <xdr:col>18</xdr:col>
      <xdr:colOff>408182</xdr:colOff>
      <xdr:row>92</xdr:row>
      <xdr:rowOff>47084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11152382" cy="4333334"/>
        </a:xfrm>
        <a:prstGeom prst="rect">
          <a:avLst/>
        </a:prstGeom>
      </xdr:spPr>
    </xdr:pic>
    <xdr:clientData/>
  </xdr:twoCellAnchor>
  <xdr:twoCellAnchor editAs="oneCell">
    <xdr:from>
      <xdr:col>8</xdr:col>
      <xdr:colOff>876300</xdr:colOff>
      <xdr:row>23</xdr:row>
      <xdr:rowOff>9525</xdr:rowOff>
    </xdr:from>
    <xdr:to>
      <xdr:col>22</xdr:col>
      <xdr:colOff>618131</xdr:colOff>
      <xdr:row>60</xdr:row>
      <xdr:rowOff>170637</xdr:rowOff>
    </xdr:to>
    <xdr:pic>
      <xdr:nvPicPr>
        <xdr:cNvPr id="6" name="图片 5"/>
        <xdr:cNvPicPr>
          <a:picLocks noChangeAspect="1"/>
        </xdr:cNvPicPr>
      </xdr:nvPicPr>
      <xdr:blipFill>
        <a:blip xmlns:r="http://schemas.openxmlformats.org/officeDocument/2006/relationships" r:embed="rId5"/>
        <a:stretch>
          <a:fillRect/>
        </a:stretch>
      </xdr:blipFill>
      <xdr:spPr>
        <a:xfrm>
          <a:off x="6248400" y="3952875"/>
          <a:ext cx="7952381" cy="6504762"/>
        </a:xfrm>
        <a:prstGeom prst="rect">
          <a:avLst/>
        </a:prstGeom>
      </xdr:spPr>
    </xdr:pic>
    <xdr:clientData/>
  </xdr:twoCellAnchor>
  <xdr:twoCellAnchor editAs="oneCell">
    <xdr:from>
      <xdr:col>0</xdr:col>
      <xdr:colOff>0</xdr:colOff>
      <xdr:row>95</xdr:row>
      <xdr:rowOff>0</xdr:rowOff>
    </xdr:from>
    <xdr:to>
      <xdr:col>13</xdr:col>
      <xdr:colOff>1056110</xdr:colOff>
      <xdr:row>126</xdr:row>
      <xdr:rowOff>37431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9323810" cy="5352381"/>
        </a:xfrm>
        <a:prstGeom prst="rect">
          <a:avLst/>
        </a:prstGeom>
      </xdr:spPr>
    </xdr:pic>
    <xdr:clientData/>
  </xdr:twoCellAnchor>
  <xdr:twoCellAnchor editAs="oneCell">
    <xdr:from>
      <xdr:col>0</xdr:col>
      <xdr:colOff>0</xdr:colOff>
      <xdr:row>130</xdr:row>
      <xdr:rowOff>0</xdr:rowOff>
    </xdr:from>
    <xdr:to>
      <xdr:col>18</xdr:col>
      <xdr:colOff>503420</xdr:colOff>
      <xdr:row>155</xdr:row>
      <xdr:rowOff>113750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288500"/>
          <a:ext cx="11247620" cy="4400000"/>
        </a:xfrm>
        <a:prstGeom prst="rect">
          <a:avLst/>
        </a:prstGeom>
      </xdr:spPr>
    </xdr:pic>
    <xdr:clientData/>
  </xdr:twoCellAnchor>
  <xdr:twoCellAnchor editAs="oneCell">
    <xdr:from>
      <xdr:col>0</xdr:col>
      <xdr:colOff>0</xdr:colOff>
      <xdr:row>158</xdr:row>
      <xdr:rowOff>0</xdr:rowOff>
    </xdr:from>
    <xdr:to>
      <xdr:col>17</xdr:col>
      <xdr:colOff>636840</xdr:colOff>
      <xdr:row>184</xdr:row>
      <xdr:rowOff>104205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0685715" cy="4561905"/>
        </a:xfrm>
        <a:prstGeom prst="rect">
          <a:avLst/>
        </a:prstGeom>
      </xdr:spPr>
    </xdr:pic>
    <xdr:clientData/>
  </xdr:twoCellAnchor>
  <xdr:twoCellAnchor editAs="oneCell">
    <xdr:from>
      <xdr:col>0</xdr:col>
      <xdr:colOff>0</xdr:colOff>
      <xdr:row>188</xdr:row>
      <xdr:rowOff>47625</xdr:rowOff>
    </xdr:from>
    <xdr:to>
      <xdr:col>17</xdr:col>
      <xdr:colOff>398745</xdr:colOff>
      <xdr:row>214</xdr:row>
      <xdr:rowOff>75640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280225"/>
          <a:ext cx="10447620" cy="4485715"/>
        </a:xfrm>
        <a:prstGeom prst="rect">
          <a:avLst/>
        </a:prstGeom>
      </xdr:spPr>
    </xdr:pic>
    <xdr:clientData/>
  </xdr:twoCellAnchor>
  <xdr:twoCellAnchor editAs="oneCell">
    <xdr:from>
      <xdr:col>8</xdr:col>
      <xdr:colOff>1143000</xdr:colOff>
      <xdr:row>124</xdr:row>
      <xdr:rowOff>47625</xdr:rowOff>
    </xdr:from>
    <xdr:to>
      <xdr:col>27</xdr:col>
      <xdr:colOff>141546</xdr:colOff>
      <xdr:row>160</xdr:row>
      <xdr:rowOff>113521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515100" y="21307425"/>
          <a:ext cx="10638096"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598972</xdr:colOff>
      <xdr:row>40</xdr:row>
      <xdr:rowOff>84879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828572" cy="6771429"/>
        </a:xfrm>
        <a:prstGeom prst="rect">
          <a:avLst/>
        </a:prstGeom>
      </xdr:spPr>
    </xdr:pic>
    <xdr:clientData/>
  </xdr:twoCellAnchor>
  <xdr:twoCellAnchor editAs="oneCell">
    <xdr:from>
      <xdr:col>0</xdr:col>
      <xdr:colOff>9525</xdr:colOff>
      <xdr:row>43</xdr:row>
      <xdr:rowOff>19050</xdr:rowOff>
    </xdr:from>
    <xdr:to>
      <xdr:col>14</xdr:col>
      <xdr:colOff>589278</xdr:colOff>
      <xdr:row>67</xdr:row>
      <xdr:rowOff>18536</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7477125"/>
          <a:ext cx="10180953" cy="4114286"/>
        </a:xfrm>
        <a:prstGeom prst="rect">
          <a:avLst/>
        </a:prstGeom>
      </xdr:spPr>
    </xdr:pic>
    <xdr:clientData/>
  </xdr:twoCellAnchor>
  <xdr:twoCellAnchor editAs="oneCell">
    <xdr:from>
      <xdr:col>0</xdr:col>
      <xdr:colOff>0</xdr:colOff>
      <xdr:row>70</xdr:row>
      <xdr:rowOff>0</xdr:rowOff>
    </xdr:from>
    <xdr:to>
      <xdr:col>15</xdr:col>
      <xdr:colOff>265382</xdr:colOff>
      <xdr:row>94</xdr:row>
      <xdr:rowOff>113772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0552382" cy="4228572"/>
        </a:xfrm>
        <a:prstGeom prst="rect">
          <a:avLst/>
        </a:prstGeom>
      </xdr:spPr>
    </xdr:pic>
    <xdr:clientData/>
  </xdr:twoCellAnchor>
  <xdr:twoCellAnchor editAs="oneCell">
    <xdr:from>
      <xdr:col>0</xdr:col>
      <xdr:colOff>0</xdr:colOff>
      <xdr:row>97</xdr:row>
      <xdr:rowOff>0</xdr:rowOff>
    </xdr:from>
    <xdr:to>
      <xdr:col>15</xdr:col>
      <xdr:colOff>389191</xdr:colOff>
      <xdr:row>120</xdr:row>
      <xdr:rowOff>132841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87825"/>
          <a:ext cx="10676191" cy="4076191"/>
        </a:xfrm>
        <a:prstGeom prst="rect">
          <a:avLst/>
        </a:prstGeom>
      </xdr:spPr>
    </xdr:pic>
    <xdr:clientData/>
  </xdr:twoCellAnchor>
  <xdr:twoCellAnchor editAs="oneCell">
    <xdr:from>
      <xdr:col>9</xdr:col>
      <xdr:colOff>409575</xdr:colOff>
      <xdr:row>35</xdr:row>
      <xdr:rowOff>95250</xdr:rowOff>
    </xdr:from>
    <xdr:to>
      <xdr:col>25</xdr:col>
      <xdr:colOff>160585</xdr:colOff>
      <xdr:row>69</xdr:row>
      <xdr:rowOff>123083</xdr:rowOff>
    </xdr:to>
    <xdr:pic>
      <xdr:nvPicPr>
        <xdr:cNvPr id="6" name="图片 5"/>
        <xdr:cNvPicPr>
          <a:picLocks noChangeAspect="1"/>
        </xdr:cNvPicPr>
      </xdr:nvPicPr>
      <xdr:blipFill>
        <a:blip xmlns:r="http://schemas.openxmlformats.org/officeDocument/2006/relationships" r:embed="rId5"/>
        <a:stretch>
          <a:fillRect/>
        </a:stretch>
      </xdr:blipFill>
      <xdr:spPr>
        <a:xfrm>
          <a:off x="6581775" y="6096000"/>
          <a:ext cx="10723810" cy="5942858"/>
        </a:xfrm>
        <a:prstGeom prst="rect">
          <a:avLst/>
        </a:prstGeom>
      </xdr:spPr>
    </xdr:pic>
    <xdr:clientData/>
  </xdr:twoCellAnchor>
  <xdr:twoCellAnchor editAs="oneCell">
    <xdr:from>
      <xdr:col>9</xdr:col>
      <xdr:colOff>342900</xdr:colOff>
      <xdr:row>67</xdr:row>
      <xdr:rowOff>123825</xdr:rowOff>
    </xdr:from>
    <xdr:to>
      <xdr:col>24</xdr:col>
      <xdr:colOff>255901</xdr:colOff>
      <xdr:row>98</xdr:row>
      <xdr:rowOff>75521</xdr:rowOff>
    </xdr:to>
    <xdr:pic>
      <xdr:nvPicPr>
        <xdr:cNvPr id="7" name="图片 6"/>
        <xdr:cNvPicPr>
          <a:picLocks noChangeAspect="1"/>
        </xdr:cNvPicPr>
      </xdr:nvPicPr>
      <xdr:blipFill>
        <a:blip xmlns:r="http://schemas.openxmlformats.org/officeDocument/2006/relationships" r:embed="rId6"/>
        <a:stretch>
          <a:fillRect/>
        </a:stretch>
      </xdr:blipFill>
      <xdr:spPr>
        <a:xfrm>
          <a:off x="6515100" y="11696700"/>
          <a:ext cx="10200001" cy="5438096"/>
        </a:xfrm>
        <a:prstGeom prst="rect">
          <a:avLst/>
        </a:prstGeom>
      </xdr:spPr>
    </xdr:pic>
    <xdr:clientData/>
  </xdr:twoCellAnchor>
  <xdr:twoCellAnchor editAs="oneCell">
    <xdr:from>
      <xdr:col>9</xdr:col>
      <xdr:colOff>209550</xdr:colOff>
      <xdr:row>98</xdr:row>
      <xdr:rowOff>0</xdr:rowOff>
    </xdr:from>
    <xdr:to>
      <xdr:col>23</xdr:col>
      <xdr:colOff>417874</xdr:colOff>
      <xdr:row>133</xdr:row>
      <xdr:rowOff>37346</xdr:rowOff>
    </xdr:to>
    <xdr:pic>
      <xdr:nvPicPr>
        <xdr:cNvPr id="8" name="图片 7"/>
        <xdr:cNvPicPr>
          <a:picLocks noChangeAspect="1"/>
        </xdr:cNvPicPr>
      </xdr:nvPicPr>
      <xdr:blipFill>
        <a:blip xmlns:r="http://schemas.openxmlformats.org/officeDocument/2006/relationships" r:embed="rId7"/>
        <a:stretch>
          <a:fillRect/>
        </a:stretch>
      </xdr:blipFill>
      <xdr:spPr>
        <a:xfrm>
          <a:off x="6381750" y="17059275"/>
          <a:ext cx="9809524" cy="6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6890;&#24030;&#30887;&#26690;&#22253;&#183;&#21644;&#19990;&#30028;&#22303;&#22320;&#22522;&#20934;&#22320;&#20215;&#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v>99796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99796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北京市出让国有建设用地使用权抵押价格预评估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受贵公司委托，我公司对北京市出让国有建设用地使用权抵押价格进行了预评估。</v>
      </c>
      <c r="AM6" s="2541"/>
    </row>
    <row r="7" spans="1:55" s="2515" customFormat="1">
      <c r="A7" s="2516" t="s">
        <v>2374</v>
      </c>
      <c r="B7" s="2517" t="str">
        <f>'预评函-1'!A6</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2022年7月14日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根据《国有土地使用证》[]，估价对象（分摊）出让国有建设用地使用权面积为32294.89平方米。根据《建设工程规划许可证》[]、《出让合同》[]，估价对象规划建筑面积为98965.43平方米。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估价期日：2022年7月14日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32294.89</v>
      </c>
    </row>
    <row r="44" spans="1:2">
      <c r="A44" s="2516" t="s">
        <v>2457</v>
      </c>
      <c r="B44" s="2517" t="str">
        <f>'预评函-2'!O3</f>
        <v>规划建筑面积/㎡</v>
      </c>
    </row>
    <row r="45" spans="1:2">
      <c r="A45" s="2516" t="s">
        <v>2439</v>
      </c>
      <c r="B45" s="2517">
        <f>'预评函-2'!O5</f>
        <v>98965.430000000008</v>
      </c>
    </row>
    <row r="46" spans="1:2">
      <c r="A46" s="2516" t="s">
        <v>2440</v>
      </c>
      <c r="B46" s="2517">
        <f ca="1">'预评函-2'!P5</f>
        <v>44071</v>
      </c>
    </row>
    <row r="47" spans="1:2">
      <c r="A47" s="2516" t="s">
        <v>2441</v>
      </c>
      <c r="B47" s="2517">
        <f ca="1">'预评函-2'!Q5</f>
        <v>14382</v>
      </c>
    </row>
    <row r="48" spans="1:2">
      <c r="A48" s="2516" t="s">
        <v>2442</v>
      </c>
      <c r="B48" s="2517">
        <f ca="1">'预评函-2'!R5</f>
        <v>142328</v>
      </c>
    </row>
    <row r="49" spans="1:2">
      <c r="A49" s="2516" t="s">
        <v>2458</v>
      </c>
      <c r="B49" s="2517" t="str">
        <f>'预评函-2'!A6</f>
        <v>抵押价格</v>
      </c>
    </row>
    <row r="50" spans="1:2">
      <c r="A50" s="2516" t="s">
        <v>2443</v>
      </c>
      <c r="B50" s="2517">
        <f ca="1">'预评函-2'!R6</f>
        <v>140869</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综上，本次评估估价师知悉的法定优先受偿款为人民币1459万元整。</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43" sqref="I43"/>
    </sheetView>
  </sheetViews>
  <sheetFormatPr defaultColWidth="10" defaultRowHeight="14.25"/>
  <cols>
    <col min="1" max="1" width="15.375" style="1567" customWidth="1"/>
    <col min="2" max="2" width="11.375" style="1567" customWidth="1"/>
    <col min="3" max="3" width="12.625" style="1567" customWidth="1"/>
    <col min="4" max="4" width="11.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42" t="str">
        <f>IF(B10="北京市","北京市",C10)&amp;F10&amp;B16&amp;"国有建设用地使用权"&amp;B9&amp;"预评估"</f>
        <v>北京市出让国有建设用地使用权抵押价格预评估</v>
      </c>
      <c r="C1" s="3543"/>
      <c r="D1" s="3543"/>
      <c r="E1" s="3543"/>
      <c r="F1" s="3543"/>
      <c r="G1" s="3543"/>
      <c r="H1" s="3543"/>
      <c r="I1" s="3544"/>
      <c r="J1" s="2981"/>
      <c r="K1" s="2263" t="str">
        <f>IF(B10="北京市","北京市",C10)&amp;F10&amp;B16&amp;"国有建设用地使用权"&amp;B9</f>
        <v>北京市出让国有建设用地使用权抵押价格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北京市出让国有建设用地使用权</v>
      </c>
      <c r="L2" s="2960"/>
      <c r="M2" s="2960"/>
      <c r="N2" s="2961"/>
      <c r="O2" s="2962"/>
      <c r="P2" s="2961"/>
      <c r="Q2" s="2961"/>
      <c r="R2" s="2961"/>
      <c r="S2" s="2961"/>
      <c r="T2" s="2961"/>
      <c r="U2" s="2961"/>
    </row>
    <row r="3" spans="1:21">
      <c r="A3" s="1542" t="s">
        <v>1731</v>
      </c>
      <c r="B3" s="1543"/>
      <c r="C3" s="2904" t="s">
        <v>1787</v>
      </c>
      <c r="D3" s="1543">
        <v>44756</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548"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49"/>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1737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3119</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45"/>
      <c r="C12" s="3546"/>
      <c r="D12" s="3547"/>
      <c r="E12" s="1574" t="s">
        <v>1853</v>
      </c>
      <c r="F12" s="3563" t="s">
        <v>2602</v>
      </c>
      <c r="G12" s="3564"/>
      <c r="H12" s="3564"/>
      <c r="I12" s="3565"/>
      <c r="J12" s="2981"/>
      <c r="K12" s="2964"/>
      <c r="L12" s="2960"/>
      <c r="M12" s="2960"/>
      <c r="N12" s="2961"/>
      <c r="O12" s="2962"/>
      <c r="P12" s="2961"/>
      <c r="Q12" s="2961"/>
      <c r="R12" s="2961"/>
      <c r="S12" s="2961"/>
      <c r="T12" s="2961"/>
      <c r="U12" s="2961"/>
    </row>
    <row r="13" spans="1:21">
      <c r="A13" s="1565" t="s">
        <v>1851</v>
      </c>
      <c r="B13" s="3545"/>
      <c r="C13" s="3546"/>
      <c r="D13" s="3547"/>
      <c r="E13" s="1574" t="s">
        <v>1853</v>
      </c>
      <c r="F13" s="3563" t="s">
        <v>2603</v>
      </c>
      <c r="G13" s="3564"/>
      <c r="H13" s="3564"/>
      <c r="I13" s="3565"/>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3120</v>
      </c>
      <c r="C16" s="1574" t="s">
        <v>1740</v>
      </c>
      <c r="D16" s="2409" t="s">
        <v>1741</v>
      </c>
      <c r="E16" s="1597"/>
      <c r="F16" s="1597"/>
      <c r="G16" s="1597" t="s">
        <v>35</v>
      </c>
      <c r="H16" s="1597"/>
      <c r="I16" s="1564" t="s">
        <v>1746</v>
      </c>
      <c r="J16" s="2981"/>
      <c r="K16" s="2264" t="str">
        <f>IF(D17="","",D16&amp;TEXT(D17,"yyyy年m月d日;;"))</f>
        <v>住宅2091年5月13日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地下车库2071年5月13日</v>
      </c>
      <c r="R16" s="1574" t="str">
        <f>IF(OR(Q16="",S16=""),"","、")</f>
        <v/>
      </c>
      <c r="S16" s="2264" t="str">
        <f>IF(H17="","",H16&amp;TEXT(H17,"yyyy年m月d日;;"))</f>
        <v/>
      </c>
      <c r="T16" s="1574" t="str">
        <f>IF(OR(S16="",U16=""),"","、")</f>
        <v/>
      </c>
      <c r="U16" s="2264" t="str">
        <f>IF(I17="","",I16&amp;TEXT(I17,"yyyy年m月d日;;"))</f>
        <v/>
      </c>
    </row>
    <row r="17" spans="1:21">
      <c r="A17" s="1634"/>
      <c r="B17" s="1561"/>
      <c r="C17" s="2910" t="s">
        <v>1747</v>
      </c>
      <c r="D17" s="1575">
        <v>69896</v>
      </c>
      <c r="E17" s="1575"/>
      <c r="F17" s="1575"/>
      <c r="G17" s="1575">
        <v>62591</v>
      </c>
      <c r="H17" s="1575"/>
      <c r="I17" s="1575"/>
      <c r="J17" s="2981"/>
      <c r="K17" s="2959" t="str">
        <f>CONCATENATE(K16,L16,M16,N16,O16,P16,Q16,R16,S16,T16,,U16)</f>
        <v>住宅2091年5月13日地下车库2071年5月13日</v>
      </c>
      <c r="L17" s="2960"/>
      <c r="M17" s="2960"/>
      <c r="N17" s="2961"/>
      <c r="O17" s="2962"/>
      <c r="P17" s="2961"/>
      <c r="Q17" s="2961"/>
      <c r="R17" s="2961"/>
      <c r="S17" s="2961"/>
      <c r="T17" s="2961"/>
      <c r="U17" s="2961"/>
    </row>
    <row r="18" spans="1:21">
      <c r="A18" s="1634"/>
      <c r="B18" s="1561"/>
      <c r="C18" s="2910" t="s">
        <v>1748</v>
      </c>
      <c r="D18" s="1562">
        <v>70</v>
      </c>
      <c r="E18" s="1562"/>
      <c r="F18" s="1562"/>
      <c r="G18" s="1562">
        <v>50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68.87</v>
      </c>
      <c r="E19" s="1563" t="str">
        <f>IF(B16="出让",IF(E17="","",ROUNDDOWN(MIN((E17-$D$3)/365,E18),2)),E18)</f>
        <v/>
      </c>
      <c r="F19" s="1563" t="str">
        <f>IF(B16="出让",IF(F17="","",ROUNDDOWN(MIN((F17-$D$3)/365,F18),2)),F18)</f>
        <v/>
      </c>
      <c r="G19" s="1563">
        <f>IF(B16="出让",IF(G17="","",ROUNDDOWN(MIN((G17-$D$3)/365,G18),2)),G18)</f>
        <v>48.86</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60"/>
      <c r="E20" s="3561"/>
      <c r="F20" s="3561"/>
      <c r="G20" s="3561"/>
      <c r="H20" s="3561"/>
      <c r="I20" s="3562"/>
      <c r="J20" s="2981"/>
      <c r="K20" s="2964"/>
      <c r="L20" s="2960"/>
      <c r="M20" s="2960"/>
      <c r="N20" s="2961"/>
      <c r="O20" s="2962"/>
      <c r="P20" s="2961"/>
      <c r="Q20" s="2961"/>
      <c r="R20" s="2961"/>
      <c r="S20" s="2961"/>
      <c r="T20" s="2961"/>
      <c r="U20" s="2961"/>
    </row>
    <row r="21" spans="1:21">
      <c r="A21" s="1634" t="s">
        <v>1750</v>
      </c>
      <c r="B21" s="1635" t="s">
        <v>1751</v>
      </c>
      <c r="C21" s="1630">
        <f>'数据-汇总表'!E3</f>
        <v>98965.430000000008</v>
      </c>
      <c r="D21" s="1631" t="s">
        <v>1752</v>
      </c>
      <c r="E21" s="3550" t="s">
        <v>1790</v>
      </c>
      <c r="F21" s="3551"/>
      <c r="G21" s="3551"/>
      <c r="H21" s="3551"/>
      <c r="I21" s="3552"/>
      <c r="J21" s="2981"/>
      <c r="K21" s="2964"/>
      <c r="L21" s="2960"/>
      <c r="M21" s="2960"/>
      <c r="N21" s="2961"/>
      <c r="O21" s="2962"/>
      <c r="P21" s="2961"/>
      <c r="Q21" s="2961"/>
      <c r="R21" s="2961"/>
      <c r="S21" s="2961"/>
      <c r="T21" s="2961"/>
      <c r="U21" s="2961"/>
    </row>
    <row r="22" spans="1:21">
      <c r="A22" s="2719" t="s">
        <v>931</v>
      </c>
      <c r="B22" s="1542" t="s">
        <v>1753</v>
      </c>
      <c r="C22" s="1564">
        <f>'数据-汇总表'!D3</f>
        <v>32294.89</v>
      </c>
      <c r="D22" s="1565" t="s">
        <v>1752</v>
      </c>
      <c r="E22" s="3550" t="s">
        <v>2604</v>
      </c>
      <c r="F22" s="3551"/>
      <c r="G22" s="3551"/>
      <c r="H22" s="3551"/>
      <c r="I22" s="3552"/>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53" t="s">
        <v>1758</v>
      </c>
      <c r="C24" s="3554"/>
      <c r="D24" s="3555" t="s">
        <v>1759</v>
      </c>
      <c r="E24" s="3556"/>
      <c r="F24" s="1583" t="s">
        <v>1760</v>
      </c>
      <c r="G24" s="2981"/>
      <c r="H24" s="2981"/>
      <c r="I24" s="2985"/>
      <c r="J24" s="2981"/>
      <c r="K24" s="3541"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41"/>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41"/>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27" t="s">
        <v>1793</v>
      </c>
      <c r="B31" s="1635" t="s">
        <v>1794</v>
      </c>
      <c r="C31" s="3566"/>
      <c r="D31" s="3567"/>
      <c r="E31" s="2981"/>
      <c r="F31" s="2981"/>
      <c r="G31" s="2981"/>
      <c r="H31" s="2981"/>
      <c r="I31" s="2985"/>
      <c r="J31" s="2981"/>
      <c r="K31" s="2967"/>
      <c r="L31" s="2961"/>
      <c r="M31" s="2961"/>
      <c r="N31" s="2961"/>
      <c r="O31" s="2961"/>
      <c r="P31" s="2961"/>
      <c r="Q31" s="2961"/>
      <c r="R31" s="2961"/>
      <c r="S31" s="2961"/>
      <c r="T31" s="2961"/>
      <c r="U31" s="2961"/>
    </row>
    <row r="32" spans="1:21">
      <c r="A32" s="3527"/>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27"/>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28"/>
      <c r="B34" s="1542" t="s">
        <v>1797</v>
      </c>
      <c r="C34" s="3529"/>
      <c r="D34" s="3530"/>
      <c r="E34" s="2981"/>
      <c r="F34" s="2981"/>
      <c r="G34" s="2981"/>
      <c r="H34" s="2981"/>
      <c r="I34" s="2985"/>
      <c r="J34" s="2981"/>
      <c r="K34" s="2967"/>
      <c r="L34" s="2961"/>
      <c r="M34" s="2961"/>
      <c r="N34" s="2961"/>
      <c r="O34" s="2961"/>
      <c r="P34" s="2961"/>
      <c r="Q34" s="2961"/>
      <c r="R34" s="2961"/>
      <c r="S34" s="2961"/>
      <c r="T34" s="2961"/>
      <c r="U34" s="2961"/>
    </row>
    <row r="35" spans="1:28">
      <c r="A35" s="3531" t="s">
        <v>827</v>
      </c>
      <c r="B35" s="1597"/>
      <c r="C35" s="1644" t="str">
        <f>IF(B35="场地平整","——","具体情况：")</f>
        <v>具体情况：</v>
      </c>
      <c r="D35" s="3533"/>
      <c r="E35" s="3534"/>
      <c r="F35" s="3534"/>
      <c r="G35" s="3534"/>
      <c r="H35" s="3534"/>
      <c r="I35" s="3535"/>
      <c r="J35" s="2981"/>
      <c r="K35" s="2968"/>
      <c r="L35" s="2960"/>
      <c r="M35" s="2960"/>
      <c r="N35" s="2961"/>
      <c r="O35" s="2962"/>
      <c r="P35" s="2961"/>
      <c r="Q35" s="2961"/>
      <c r="R35" s="2961"/>
      <c r="S35" s="2961"/>
      <c r="T35" s="2961"/>
      <c r="U35" s="2961"/>
    </row>
    <row r="36" spans="1:28">
      <c r="A36" s="3527"/>
      <c r="B36" s="3536" t="s">
        <v>1846</v>
      </c>
      <c r="C36" s="3537"/>
      <c r="D36" s="1660"/>
      <c r="E36" s="3538"/>
      <c r="F36" s="3538"/>
      <c r="G36" s="1565" t="str">
        <f>IF(B35="场地未平整","估价结果处理","")</f>
        <v/>
      </c>
      <c r="H36" s="3539"/>
      <c r="I36" s="3539"/>
      <c r="J36" s="2981"/>
      <c r="K36" s="2968"/>
      <c r="L36" s="2960"/>
      <c r="M36" s="2960"/>
      <c r="N36" s="2961"/>
      <c r="O36" s="2962"/>
      <c r="P36" s="2961"/>
      <c r="Q36" s="2961"/>
      <c r="R36" s="2961"/>
      <c r="S36" s="2961"/>
      <c r="T36" s="2961"/>
      <c r="U36" s="2961"/>
    </row>
    <row r="37" spans="1:28" ht="28.5">
      <c r="A37" s="3527"/>
      <c r="B37" s="3557"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27"/>
      <c r="B38" s="3558"/>
      <c r="C38" s="1550" t="s">
        <v>830</v>
      </c>
      <c r="D38" s="1659">
        <f>ROUNDDOWN(MIN(('数据-取费表'!$B$2-D37)/365,D34),1)</f>
        <v>122.6</v>
      </c>
      <c r="E38" s="1602" t="s">
        <v>831</v>
      </c>
      <c r="F38" s="2981"/>
      <c r="G38" s="2981"/>
      <c r="H38" s="2981"/>
      <c r="I38" s="2985"/>
      <c r="J38" s="2981"/>
      <c r="K38" s="2968"/>
      <c r="L38" s="2961"/>
      <c r="M38" s="2961"/>
      <c r="N38" s="2961"/>
      <c r="O38" s="2961"/>
      <c r="P38" s="2961"/>
      <c r="Q38" s="2961"/>
      <c r="R38" s="2961"/>
      <c r="S38" s="2961"/>
      <c r="T38" s="2961"/>
      <c r="U38" s="2961"/>
    </row>
    <row r="39" spans="1:28">
      <c r="A39" s="3528"/>
      <c r="B39" s="3559"/>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40" t="s">
        <v>1777</v>
      </c>
      <c r="T40" s="1606" t="str">
        <f>NUMBERSTRING(7-K40,1)&amp;"通"</f>
        <v>七通</v>
      </c>
      <c r="U40" s="2961"/>
    </row>
    <row r="41" spans="1:28">
      <c r="A41" s="1544"/>
      <c r="B41" s="3532" t="s">
        <v>1521</v>
      </c>
      <c r="C41" s="3532"/>
      <c r="D41" s="3532"/>
      <c r="E41" s="3532"/>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40"/>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t="s">
        <v>1388</v>
      </c>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t="s">
        <v>3295</v>
      </c>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16" sqref="A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面积清单!F5</f>
        <v>32294.89</v>
      </c>
      <c r="B3" s="22">
        <f>IF(C3="否",G5-AT5,G5)</f>
        <v>98965.430000000008</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98965.430000000008</v>
      </c>
      <c r="H5" s="27">
        <f t="shared" ref="H5:AT5" si="0">SUM(H13:H641)</f>
        <v>82736.070000000007</v>
      </c>
      <c r="I5" s="27">
        <f t="shared" si="0"/>
        <v>60651.07</v>
      </c>
      <c r="J5" s="27">
        <f t="shared" si="0"/>
        <v>0</v>
      </c>
      <c r="K5" s="27">
        <f t="shared" si="0"/>
        <v>22085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16229.36</v>
      </c>
      <c r="AD5" s="27">
        <f t="shared" si="0"/>
        <v>4000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12229.36</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98965.430000000008</v>
      </c>
      <c r="BA5" s="29">
        <f t="shared" si="1"/>
        <v>82736.070000000007</v>
      </c>
      <c r="BB5" s="29">
        <f t="shared" si="1"/>
        <v>60651.07</v>
      </c>
      <c r="BC5" s="29">
        <f t="shared" si="1"/>
        <v>22085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16229.36</v>
      </c>
      <c r="BM5" s="29">
        <f t="shared" si="1"/>
        <v>4000</v>
      </c>
      <c r="BN5" s="29">
        <f t="shared" si="1"/>
        <v>0</v>
      </c>
      <c r="BO5" s="29">
        <f t="shared" si="1"/>
        <v>0</v>
      </c>
      <c r="BP5" s="29">
        <f t="shared" si="1"/>
        <v>0</v>
      </c>
      <c r="BQ5" s="29">
        <f t="shared" si="1"/>
        <v>0</v>
      </c>
      <c r="BR5" s="29">
        <f t="shared" si="1"/>
        <v>12229.36</v>
      </c>
      <c r="BS5" s="29">
        <f t="shared" si="1"/>
        <v>0</v>
      </c>
      <c r="BT5" s="30">
        <f t="shared" si="1"/>
        <v>0</v>
      </c>
    </row>
    <row r="6" spans="1:72" s="37" customFormat="1" ht="12.75">
      <c r="A6" s="26" t="s">
        <v>169</v>
      </c>
      <c r="B6" s="31"/>
      <c r="C6" s="31"/>
      <c r="D6" s="32"/>
      <c r="E6" s="27">
        <f>H6+AC6+AT6</f>
        <v>32294.899999999998</v>
      </c>
      <c r="F6" s="27" t="s">
        <v>1</v>
      </c>
      <c r="G6" s="27" t="s">
        <v>2</v>
      </c>
      <c r="H6" s="33">
        <f>SUMIF(I$12:AB$12,"总值",I6:AB6)</f>
        <v>26998.85</v>
      </c>
      <c r="I6" s="27">
        <f t="shared" ref="I6:AB6" si="2">ROUND($A$3*I5/$B$3,2)</f>
        <v>19791.96</v>
      </c>
      <c r="J6" s="27">
        <f t="shared" si="2"/>
        <v>0</v>
      </c>
      <c r="K6" s="27">
        <f t="shared" si="2"/>
        <v>7206.89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5296.05</v>
      </c>
      <c r="AD6" s="27">
        <f t="shared" ref="AD6:AS6" si="3">ROUND($A$3*AD5/$B$3,2)</f>
        <v>1305.3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3990.75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32294.89</v>
      </c>
      <c r="AZ6" s="27" t="s">
        <v>3</v>
      </c>
      <c r="BA6" s="27">
        <f>ROUND($AY$6*BA5/$AZ$5,2)</f>
        <v>26998.84</v>
      </c>
      <c r="BB6" s="27">
        <f>ROUND($AY$6*BB5/$AZ$5,2)</f>
        <v>19791.96</v>
      </c>
      <c r="BC6" s="27">
        <f t="shared" ref="BC6:BH6" si="4">ROUND($AY$6*BC5/$AZ$5,2)</f>
        <v>7206.89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5296.05</v>
      </c>
      <c r="BM6" s="27">
        <f t="shared" si="5"/>
        <v>1305.3</v>
      </c>
      <c r="BN6" s="27">
        <f t="shared" si="5"/>
        <v>0</v>
      </c>
      <c r="BO6" s="27">
        <f t="shared" si="5"/>
        <v>0</v>
      </c>
      <c r="BP6" s="27">
        <f t="shared" si="5"/>
        <v>0</v>
      </c>
      <c r="BQ6" s="27">
        <f t="shared" si="5"/>
        <v>0</v>
      </c>
      <c r="BR6" s="27">
        <f t="shared" si="5"/>
        <v>3990.75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3149</v>
      </c>
      <c r="J9" s="51"/>
      <c r="K9" s="2652" t="s">
        <v>3150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3151</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32294.89</v>
      </c>
      <c r="F13" s="81"/>
      <c r="G13" s="82">
        <f t="shared" ref="G13:G20" si="7">H13+AC13+AT13</f>
        <v>98965.430000000008</v>
      </c>
      <c r="H13" s="33">
        <f t="shared" ref="H13:H20" si="8">SUMIF(I$12:AB$12,"总值",I13:AB13)</f>
        <v>82736.070000000007</v>
      </c>
      <c r="I13" s="2651">
        <f>面积清单!F8</f>
        <v>60651.07</v>
      </c>
      <c r="J13" s="2651"/>
      <c r="K13" s="2651">
        <f>面积清单!I11</f>
        <v>22085</v>
      </c>
      <c r="L13" s="2651"/>
      <c r="M13" s="2651"/>
      <c r="N13" s="83"/>
      <c r="O13" s="83"/>
      <c r="P13" s="83"/>
      <c r="Q13" s="83"/>
      <c r="R13" s="83"/>
      <c r="S13" s="83"/>
      <c r="T13" s="83"/>
      <c r="U13" s="83"/>
      <c r="V13" s="83"/>
      <c r="W13" s="83"/>
      <c r="X13" s="83"/>
      <c r="Y13" s="83"/>
      <c r="Z13" s="83"/>
      <c r="AA13" s="83"/>
      <c r="AB13" s="83"/>
      <c r="AC13" s="27">
        <f t="shared" ref="AC13:AC20" si="9">SUMIF(AD$12:AS$12,"总值",AD13:AS13)</f>
        <v>16229.36</v>
      </c>
      <c r="AD13" s="2655">
        <f>面积清单!F9</f>
        <v>4000</v>
      </c>
      <c r="AE13" s="2655"/>
      <c r="AF13" s="2655"/>
      <c r="AG13" s="2655"/>
      <c r="AH13" s="2655"/>
      <c r="AI13" s="2655"/>
      <c r="AJ13" s="2655"/>
      <c r="AK13" s="2655"/>
      <c r="AL13" s="2655"/>
      <c r="AM13" s="2655"/>
      <c r="AN13" s="2655">
        <f>面积清单!J11</f>
        <v>12229.36</v>
      </c>
      <c r="AO13" s="2655"/>
      <c r="AP13" s="2655"/>
      <c r="AQ13" s="2655"/>
      <c r="AR13" s="2655"/>
      <c r="AS13" s="2655"/>
      <c r="AT13" s="2656"/>
      <c r="AU13" s="2657"/>
      <c r="AV13" s="17">
        <f t="shared" ref="AV13:AX20" si="10">A13</f>
        <v>0</v>
      </c>
      <c r="AW13" s="17">
        <f t="shared" si="10"/>
        <v>0</v>
      </c>
      <c r="AX13" s="17">
        <f t="shared" si="10"/>
        <v>0</v>
      </c>
      <c r="AY13" s="966">
        <f t="shared" ref="AY13:AY20" si="11">ROUND($AY$6*AZ13/$AZ$5,2)</f>
        <v>32294.89</v>
      </c>
      <c r="AZ13" s="27">
        <f t="shared" ref="AZ13:AZ20" si="12">BA13+BL13</f>
        <v>98965.430000000008</v>
      </c>
      <c r="BA13" s="27">
        <f t="shared" ref="BA13:BA20" si="13">SUM(BB13:BK13)</f>
        <v>82736.070000000007</v>
      </c>
      <c r="BB13" s="27">
        <f t="shared" ref="BB13:BB20" si="14">IF($D13="是",I13-J13,0)</f>
        <v>60651.07</v>
      </c>
      <c r="BC13" s="27">
        <f t="shared" ref="BC13:BC20" si="15">IF($D13="是",K13-L13,0)</f>
        <v>22085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16229.36</v>
      </c>
      <c r="BM13" s="27">
        <f t="shared" ref="BM13:BM20" si="25">IF($D13="是",AD13-AE13,0)</f>
        <v>4000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12229.36</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8" t="s">
        <v>0</v>
      </c>
      <c r="B1" s="3568" t="s">
        <v>4</v>
      </c>
      <c r="C1" s="3568" t="s">
        <v>5</v>
      </c>
      <c r="D1" s="3569" t="s">
        <v>40</v>
      </c>
      <c r="E1" s="3569" t="s">
        <v>41</v>
      </c>
      <c r="F1" s="3569"/>
      <c r="G1" s="3569"/>
      <c r="H1" s="3569"/>
      <c r="I1" s="3569"/>
      <c r="J1" s="3569"/>
      <c r="K1" s="3569"/>
      <c r="L1" s="3569"/>
      <c r="M1" s="3569"/>
    </row>
    <row r="2" spans="1:13" ht="27"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9" t="s">
        <v>42</v>
      </c>
      <c r="B9" s="3569"/>
      <c r="C9" s="35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41" sqref="E41"/>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79" t="s">
        <v>203</v>
      </c>
      <c r="B2" s="3579"/>
      <c r="C2" s="3579"/>
      <c r="D2" s="1842" t="s">
        <v>204</v>
      </c>
      <c r="E2" s="106" t="s">
        <v>205</v>
      </c>
      <c r="F2" s="2990"/>
      <c r="G2" s="1144"/>
      <c r="H2" s="1145"/>
      <c r="I2" s="1146" t="s">
        <v>837</v>
      </c>
      <c r="J2" s="2990"/>
      <c r="K2" s="2990"/>
      <c r="L2" s="2990"/>
      <c r="M2" s="2990"/>
      <c r="N2" s="2990"/>
      <c r="O2" s="2990"/>
      <c r="P2" s="2990"/>
    </row>
    <row r="3" spans="1:16" ht="15.75" thickBot="1">
      <c r="A3" s="3580" t="s">
        <v>206</v>
      </c>
      <c r="B3" s="3580"/>
      <c r="C3" s="3580"/>
      <c r="D3" s="107">
        <f>'数据-基础表'!AY6</f>
        <v>32294.89</v>
      </c>
      <c r="E3" s="107">
        <f>'数据-基础表'!AZ5</f>
        <v>98965.430000000008</v>
      </c>
      <c r="F3" s="2990"/>
      <c r="G3" s="278" t="s">
        <v>838</v>
      </c>
      <c r="H3" s="273" t="s">
        <v>839</v>
      </c>
      <c r="I3" s="1843">
        <f>ROUND('数据-基础表'!B3/'数据-基础表'!A3,2)</f>
        <v>3.06</v>
      </c>
      <c r="J3" s="2990"/>
      <c r="K3" s="2990"/>
      <c r="L3" s="2990"/>
      <c r="M3" s="2990"/>
      <c r="N3" s="2990"/>
      <c r="O3" s="2990"/>
      <c r="P3" s="2990"/>
    </row>
    <row r="4" spans="1:16" ht="15">
      <c r="A4" s="3581"/>
      <c r="B4" s="3582"/>
      <c r="C4" s="3583"/>
      <c r="D4" s="108" t="s">
        <v>204</v>
      </c>
      <c r="E4" s="109" t="s">
        <v>205</v>
      </c>
      <c r="F4" s="2990"/>
      <c r="G4" s="1147"/>
      <c r="H4" s="273" t="s">
        <v>840</v>
      </c>
      <c r="I4" s="1843">
        <f>ROUND(SUMIF('数据-基础表'!I9:AS9,"地上",'数据-基础表'!I5:AS5)/'数据-基础表'!A3,2)</f>
        <v>2</v>
      </c>
      <c r="J4" s="2990"/>
      <c r="K4" s="2990"/>
      <c r="L4" s="2990"/>
      <c r="M4" s="2990"/>
      <c r="N4" s="2990"/>
      <c r="O4" s="2990"/>
      <c r="P4" s="2990"/>
    </row>
    <row r="5" spans="1:16">
      <c r="A5" s="110" t="s">
        <v>207</v>
      </c>
      <c r="B5" s="3584" t="s">
        <v>230</v>
      </c>
      <c r="C5" s="3584"/>
      <c r="D5" s="111">
        <f>ROUND($D$3*E5/$E$3,2)</f>
        <v>19791.96</v>
      </c>
      <c r="E5" s="112">
        <f>SUMIF('数据-基础表'!$11:$11,"住宅",'数据-基础表'!$5:$5)</f>
        <v>60651.07</v>
      </c>
      <c r="F5" s="2990"/>
      <c r="G5" s="278" t="s">
        <v>841</v>
      </c>
      <c r="H5" s="273" t="s">
        <v>839</v>
      </c>
      <c r="I5" s="1843">
        <f>ROUND(E31/D31,2)</f>
        <v>3.06</v>
      </c>
      <c r="J5" s="2990"/>
      <c r="K5" s="2990"/>
      <c r="L5" s="2990"/>
      <c r="M5" s="2990"/>
      <c r="N5" s="2990"/>
      <c r="O5" s="2990"/>
      <c r="P5" s="2990"/>
    </row>
    <row r="6" spans="1:16" ht="15" thickBot="1">
      <c r="A6" s="113"/>
      <c r="B6" s="3584" t="s">
        <v>208</v>
      </c>
      <c r="C6" s="3584"/>
      <c r="D6" s="111">
        <f>ROUND($D$3*E6/$E$3,2)</f>
        <v>12502.93</v>
      </c>
      <c r="E6" s="112">
        <f>E3-E5</f>
        <v>38314.360000000008</v>
      </c>
      <c r="F6" s="2990"/>
      <c r="G6" s="1147"/>
      <c r="H6" s="273" t="s">
        <v>840</v>
      </c>
      <c r="I6" s="1843">
        <f>ROUND(F31/D31,2)</f>
        <v>2</v>
      </c>
      <c r="J6" s="2990"/>
      <c r="K6" s="2990"/>
      <c r="L6" s="2990"/>
      <c r="M6" s="2990"/>
      <c r="N6" s="2990"/>
      <c r="O6" s="2990"/>
      <c r="P6" s="2990"/>
    </row>
    <row r="7" spans="1:16" ht="15">
      <c r="A7" s="3576"/>
      <c r="B7" s="3577"/>
      <c r="C7" s="3578"/>
      <c r="D7" s="108" t="s">
        <v>204</v>
      </c>
      <c r="E7" s="114" t="s">
        <v>231</v>
      </c>
      <c r="F7" s="2990"/>
      <c r="G7" s="1102" t="s">
        <v>1445</v>
      </c>
      <c r="H7" s="1103"/>
      <c r="I7" s="1714">
        <v>4</v>
      </c>
      <c r="J7" s="2990"/>
      <c r="K7" s="2990"/>
      <c r="L7" s="2990"/>
      <c r="M7" s="2990"/>
      <c r="N7" s="2990"/>
      <c r="O7" s="2990"/>
      <c r="P7" s="2990"/>
    </row>
    <row r="8" spans="1:16">
      <c r="A8" s="110" t="s">
        <v>209</v>
      </c>
      <c r="B8" s="115" t="s">
        <v>210</v>
      </c>
      <c r="C8" s="111" t="s">
        <v>211</v>
      </c>
      <c r="D8" s="111">
        <f t="shared" ref="D8:D15" si="0">ROUND($D$3*E8/$E$3,2)</f>
        <v>19791.96</v>
      </c>
      <c r="E8" s="116">
        <f>SUMIF('数据-基础表'!BB10:BK10,"地上",'数据-基础表'!BB5:BK5)</f>
        <v>60651.07</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7206.89</v>
      </c>
      <c r="E13" s="116">
        <f>SUMPRODUCT(('数据-基础表'!BB10:BK10="地下")*('数据-基础表'!BB11:BK11="车库")*('数据-基础表'!BB5:BK5))</f>
        <v>22085</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26998.85</v>
      </c>
      <c r="E16" s="120">
        <f>SUM(E8:E15)</f>
        <v>82736.070000000007</v>
      </c>
      <c r="F16" s="2990"/>
      <c r="G16" s="2991"/>
      <c r="H16" s="938" t="s">
        <v>219</v>
      </c>
      <c r="I16" s="939"/>
      <c r="J16" s="1851"/>
      <c r="K16" s="3570" t="s">
        <v>2284</v>
      </c>
      <c r="L16" s="3571"/>
      <c r="M16" s="3571"/>
      <c r="N16" s="3571"/>
      <c r="O16" s="3571"/>
      <c r="P16" s="3572"/>
    </row>
    <row r="17" spans="1:19" ht="15">
      <c r="A17" s="121" t="s">
        <v>216</v>
      </c>
      <c r="B17" s="122" t="s">
        <v>217</v>
      </c>
      <c r="C17" s="2131" t="s">
        <v>2103</v>
      </c>
      <c r="D17" s="108" t="s">
        <v>204</v>
      </c>
      <c r="E17" s="124" t="s">
        <v>205</v>
      </c>
      <c r="F17" s="125"/>
      <c r="G17" s="1274"/>
      <c r="H17" s="940" t="s">
        <v>218</v>
      </c>
      <c r="I17" s="941" t="s">
        <v>2102</v>
      </c>
      <c r="J17" s="1851"/>
      <c r="K17" s="3573" t="s">
        <v>2285</v>
      </c>
      <c r="L17" s="3574"/>
      <c r="M17" s="3575"/>
      <c r="N17" s="3573" t="s">
        <v>2286</v>
      </c>
      <c r="O17" s="3574"/>
      <c r="P17" s="3575"/>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3152</v>
      </c>
      <c r="D19" s="111">
        <f t="shared" ref="D19:D26" si="1">ROUND($D$3*E19/$E$3,2)</f>
        <v>19791.96</v>
      </c>
      <c r="E19" s="134">
        <f t="shared" ref="E19:E26" si="2">SUM(F19:G19)</f>
        <v>60651.07</v>
      </c>
      <c r="F19" s="2992">
        <f>'数据-基础表'!I13</f>
        <v>60651.07</v>
      </c>
      <c r="G19" s="2993"/>
      <c r="H19" s="944">
        <f>ROUND($D$3*I19/$E$3,2)</f>
        <v>4230.78</v>
      </c>
      <c r="I19" s="116">
        <f>IF($I$17="自定义",P19,M19)</f>
        <v>12964.94</v>
      </c>
      <c r="J19" s="1851"/>
      <c r="K19" s="2373">
        <f t="shared" ref="K19:K26" si="3">ROUND(E$28*E19/E$27,2)</f>
        <v>8964.94</v>
      </c>
      <c r="L19" s="273">
        <f t="shared" ref="L19:L26" si="4">ROUND(IF(COUNTIF(C19,"*住宅*")&gt;0,E$29*E19/E$32,0),2)</f>
        <v>4000</v>
      </c>
      <c r="M19" s="2374">
        <f>K19+L19</f>
        <v>12964.94</v>
      </c>
      <c r="N19" s="2375"/>
      <c r="O19" s="2376"/>
      <c r="P19" s="2377">
        <f>N19+O19</f>
        <v>0</v>
      </c>
      <c r="R19" s="273">
        <f t="shared" ref="R19:S26" si="5">D19+H19</f>
        <v>24022.739999999998</v>
      </c>
      <c r="S19" s="2134">
        <f t="shared" si="5"/>
        <v>73616.009999999995</v>
      </c>
    </row>
    <row r="20" spans="1:19">
      <c r="A20" s="137"/>
      <c r="B20" s="115" t="s">
        <v>226</v>
      </c>
      <c r="C20" s="2658" t="s">
        <v>3153</v>
      </c>
      <c r="D20" s="111">
        <f t="shared" si="1"/>
        <v>7206.89</v>
      </c>
      <c r="E20" s="134">
        <f t="shared" si="2"/>
        <v>22085</v>
      </c>
      <c r="F20" s="2992"/>
      <c r="G20" s="2993">
        <f>'数据-基础表'!K13</f>
        <v>22085</v>
      </c>
      <c r="H20" s="944">
        <f t="shared" ref="H20:H26" si="6">ROUND($D$3*I20/$E$3,2)</f>
        <v>1065.26</v>
      </c>
      <c r="I20" s="116">
        <f t="shared" ref="I20:I26" si="7">IF($I$17="自定义",P20,M20)</f>
        <v>3264.42</v>
      </c>
      <c r="J20" s="1851"/>
      <c r="K20" s="2373">
        <f t="shared" si="3"/>
        <v>3264.42</v>
      </c>
      <c r="L20" s="273">
        <f t="shared" si="4"/>
        <v>0</v>
      </c>
      <c r="M20" s="2374">
        <f t="shared" ref="M20:M26" si="8">K20+L20</f>
        <v>3264.42</v>
      </c>
      <c r="N20" s="2375"/>
      <c r="O20" s="2376"/>
      <c r="P20" s="2377">
        <f t="shared" ref="P20:P26" si="9">N20+O20</f>
        <v>0</v>
      </c>
      <c r="R20" s="273">
        <f t="shared" si="5"/>
        <v>8272.15</v>
      </c>
      <c r="S20" s="2134">
        <f t="shared" si="5"/>
        <v>25349.42</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26998.85</v>
      </c>
      <c r="E27" s="141">
        <f>IF(SUM(E19:E26)='数据-基础表'!BA5,SUM(E19:E26),IF(F27="地上面积有误","面积有误","地下面积有误"))</f>
        <v>82736.070000000007</v>
      </c>
      <c r="F27" s="134">
        <f>IF(SUM(F19:F26)=E8,SUM(F19:F26),"地上面积有误")</f>
        <v>60651.07</v>
      </c>
      <c r="G27" s="112">
        <f>SUM(G19:G26)</f>
        <v>22085</v>
      </c>
      <c r="H27" s="945">
        <f>SUM(H19:H26)</f>
        <v>5296.04</v>
      </c>
      <c r="I27" s="946">
        <f>SUM(I19:I26)</f>
        <v>16229.36</v>
      </c>
      <c r="J27" s="1851"/>
      <c r="K27" s="2382">
        <f>SUM(K19:K26)</f>
        <v>12229.36</v>
      </c>
      <c r="L27" s="2383">
        <f>SUM(L19:L26)</f>
        <v>4000</v>
      </c>
      <c r="M27" s="2384">
        <f>SUM(M19:M26)</f>
        <v>16229.36</v>
      </c>
      <c r="N27" s="2382">
        <f t="shared" ref="N27:O27" si="10">SUM(N19:N26)</f>
        <v>0</v>
      </c>
      <c r="O27" s="2383">
        <f t="shared" si="10"/>
        <v>0</v>
      </c>
      <c r="P27" s="2385">
        <f>SUM(P19:P26)</f>
        <v>0</v>
      </c>
      <c r="R27" s="2138">
        <f>IF(SUM(R19:R26)=$D$3,SUM(R19:R26),SUM(R19:R26)&amp;"误差"&amp;ROUND(SUM(R19:R26)-$D$3,2))</f>
        <v>32294.89</v>
      </c>
      <c r="S27" s="273">
        <f>IF(SUM(S19:S26)=$E$3,SUM(S19:S26),SUM(S19:S26)&amp;"误差"&amp;ROUND(SUM(S19:S26)-E3,2))</f>
        <v>98965.43</v>
      </c>
    </row>
    <row r="28" spans="1:19">
      <c r="A28" s="137"/>
      <c r="B28" s="115" t="s">
        <v>227</v>
      </c>
      <c r="C28" s="135" t="s">
        <v>228</v>
      </c>
      <c r="D28" s="111">
        <f>ROUND($D$3*E28/$E$3,2)</f>
        <v>3990.75</v>
      </c>
      <c r="E28" s="134">
        <f>SUM(F28:G28)</f>
        <v>12229.36</v>
      </c>
      <c r="F28" s="142">
        <f>'数据-基础表'!BQ5+'数据-基础表'!BS5</f>
        <v>0</v>
      </c>
      <c r="G28" s="143">
        <f>'数据-基础表'!BR5+'数据-基础表'!BT5</f>
        <v>12229.36</v>
      </c>
      <c r="H28" s="2990"/>
      <c r="I28" s="2990"/>
      <c r="J28" s="2990"/>
      <c r="K28" s="2990"/>
      <c r="L28" s="2990"/>
      <c r="M28" s="2990"/>
      <c r="N28" s="2990"/>
      <c r="O28" s="2990"/>
      <c r="P28" s="2990"/>
    </row>
    <row r="29" spans="1:19">
      <c r="A29" s="137"/>
      <c r="B29" s="115" t="s">
        <v>227</v>
      </c>
      <c r="C29" s="2146" t="s">
        <v>2110</v>
      </c>
      <c r="D29" s="111">
        <f>ROUND($D$3*E29/$E$3,2)</f>
        <v>1305.3</v>
      </c>
      <c r="E29" s="134">
        <f>SUM(F29:G29)</f>
        <v>4000</v>
      </c>
      <c r="F29" s="142">
        <f>'数据-基础表'!BM5+'数据-基础表'!BO5</f>
        <v>4000</v>
      </c>
      <c r="G29" s="144">
        <f>'数据-基础表'!BN5+'数据-基础表'!BP5</f>
        <v>0</v>
      </c>
      <c r="H29" s="2990"/>
      <c r="I29" s="2990"/>
      <c r="J29" s="2990"/>
      <c r="K29" s="2990"/>
      <c r="L29" s="2990"/>
      <c r="M29" s="2990"/>
      <c r="N29" s="2990"/>
      <c r="O29" s="2990"/>
      <c r="P29" s="2990"/>
    </row>
    <row r="30" spans="1:19">
      <c r="A30" s="137"/>
      <c r="B30" s="111"/>
      <c r="C30" s="145" t="s">
        <v>215</v>
      </c>
      <c r="D30" s="134">
        <f>SUM(D28:D29)</f>
        <v>5296.05</v>
      </c>
      <c r="E30" s="134">
        <f>SUM(E28:E29)</f>
        <v>16229.36</v>
      </c>
      <c r="F30" s="134">
        <f>SUM(F28:F29)</f>
        <v>4000</v>
      </c>
      <c r="G30" s="112">
        <f>SUM(G28:G29)</f>
        <v>12229.36</v>
      </c>
      <c r="H30" s="2990"/>
      <c r="I30" s="2990"/>
      <c r="J30" s="2990"/>
      <c r="K30" s="2990"/>
      <c r="L30" s="2990"/>
      <c r="M30" s="2990"/>
      <c r="N30" s="2990"/>
      <c r="O30" s="2990"/>
      <c r="P30" s="2990"/>
    </row>
    <row r="31" spans="1:19" ht="32.25" customHeight="1" thickBot="1">
      <c r="A31" s="1276"/>
      <c r="B31" s="1277" t="s">
        <v>229</v>
      </c>
      <c r="C31" s="2163" t="s">
        <v>2112</v>
      </c>
      <c r="D31" s="1278">
        <f>D27+D30</f>
        <v>32294.899999999998</v>
      </c>
      <c r="E31" s="1278">
        <f>E27+E30</f>
        <v>98965.430000000008</v>
      </c>
      <c r="F31" s="1279">
        <f>F27+F30</f>
        <v>64651.07</v>
      </c>
      <c r="G31" s="1280">
        <f>G27+G30</f>
        <v>34314.36</v>
      </c>
      <c r="H31" s="2990"/>
      <c r="I31" s="2990"/>
      <c r="J31" s="2990"/>
      <c r="K31" s="2990"/>
      <c r="L31" s="2990"/>
      <c r="M31" s="2990"/>
      <c r="N31" s="2990"/>
      <c r="O31" s="2990"/>
      <c r="P31" s="2990"/>
    </row>
    <row r="32" spans="1:19">
      <c r="A32" s="1851"/>
      <c r="B32" s="2175" t="s">
        <v>2111</v>
      </c>
      <c r="C32" s="2410"/>
      <c r="D32" s="1147"/>
      <c r="E32" s="1147">
        <f>SUMIF(C19:C26,"*住宅*",E19:E26)</f>
        <v>60651.07</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44756</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3160</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69896</v>
      </c>
      <c r="F6" s="172">
        <f>SUMIF(项目基本情况!D$15:I$15,C6,项目基本情况!D$19:I$19)</f>
        <v>68.87</v>
      </c>
      <c r="G6" s="173">
        <f>IF(ISERROR(ROUND(POWER(1+H6,D6-F6)*(POWER(1+H6,F6)-1)/(POWER(1+H6,D6)-1),3)),0,ROUND(POWER(1+H6,D6-F6)*(POWER(1+H6,F6)-1)/(POWER(1+H6,D6)-1),3))</f>
        <v>0.998</v>
      </c>
      <c r="H6" s="2659">
        <v>0.05</v>
      </c>
      <c r="I6" s="2659">
        <v>5.5E-2</v>
      </c>
      <c r="J6" s="174">
        <v>7.0000000000000007E-2</v>
      </c>
      <c r="K6" s="177">
        <f>SUMIF('数据-汇总表'!C$19:C$33,'数据-取费表'!A6,'数据-汇总表'!E$19:E$33)</f>
        <v>60651.07</v>
      </c>
      <c r="L6" s="2660">
        <v>5000</v>
      </c>
      <c r="M6" s="175">
        <f t="shared" ref="M6:M14" si="0">ROUND(K6*L6/10000,0)</f>
        <v>30326</v>
      </c>
      <c r="N6" s="2661">
        <v>0</v>
      </c>
      <c r="O6" s="175">
        <f>IF($N$5="成新度","——",ROUND(M6*N6,0))</f>
        <v>0</v>
      </c>
      <c r="P6" s="176">
        <f>IF($N$5="成新度","——",M6-O6)</f>
        <v>30326</v>
      </c>
      <c r="Q6" s="2662">
        <v>0.2</v>
      </c>
      <c r="R6" s="177">
        <f>SUMIF('数据-汇总表'!C$19:C$33,A6,'数据-汇总表'!R$19:R$33)</f>
        <v>24022.739999999998</v>
      </c>
      <c r="S6" s="132">
        <f>IF('数据-汇总表'!$I$17="按面积比例",SUMIF('数据-汇总表'!C$19:C$33,A6,'数据-汇总表'!K$19:K$33),SUMIF('数据-汇总表'!C$19:C$33,A6,'数据-汇总表'!N$19:N$33))</f>
        <v>8964.94</v>
      </c>
      <c r="T6" s="2067">
        <f>IF($T$4="按面积比例",IF(ISERROR(ROUND($M$14*S6/S$16,0)),"0",ROUND($M$14*S6/S$16,0)),"需自行计算录入")</f>
        <v>2690</v>
      </c>
      <c r="U6" s="178">
        <v>2</v>
      </c>
      <c r="V6" s="179">
        <v>2.5000000000000001E-2</v>
      </c>
      <c r="W6" s="179">
        <v>0.1</v>
      </c>
      <c r="X6" s="2154"/>
      <c r="Y6" s="180">
        <v>1</v>
      </c>
      <c r="Z6" s="181"/>
      <c r="AA6" s="174"/>
      <c r="AB6" s="174"/>
      <c r="AC6" s="2157"/>
      <c r="AD6" s="182"/>
      <c r="AE6" s="942">
        <f ca="1">IF(AN6="",0,SUMIF(INDIRECT("'"&amp;AN6&amp;"'"&amp;"!E:E"),$AE$5,INDIRECT("'"&amp;AN6&amp;"'"&amp;"!F:F")))</f>
        <v>66.87</v>
      </c>
      <c r="AF6" s="139"/>
      <c r="AG6" s="1159">
        <f>IF(AF6="",0,AE6-AF6)</f>
        <v>0</v>
      </c>
      <c r="AH6" s="139"/>
      <c r="AI6" s="185">
        <v>365</v>
      </c>
      <c r="AJ6" s="186"/>
      <c r="AK6" s="187">
        <v>0.01</v>
      </c>
      <c r="AL6" s="188">
        <v>1E-3</v>
      </c>
      <c r="AM6" s="2671">
        <v>0.02</v>
      </c>
      <c r="AN6" s="2200" t="s">
        <v>3159</v>
      </c>
      <c r="AO6" s="3000"/>
      <c r="AP6" s="1150">
        <f>ROUND(1-1/(1+H6)^F6,3)</f>
        <v>0.96499999999999997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地下车库</v>
      </c>
      <c r="B7" s="2170" t="str">
        <f t="shared" ref="B7:B13" si="1">IF(A7=0,"","经营性")</f>
        <v>经营性</v>
      </c>
      <c r="C7" s="171" t="s">
        <v>3151</v>
      </c>
      <c r="D7" s="2141">
        <f>SUMIF(项目基本情况!D$15:I$15,C7,项目基本情况!D$18:I$18)</f>
        <v>50</v>
      </c>
      <c r="E7" s="2142">
        <f>IF(B7="","",SUMIF(项目基本情况!D$15:I$15,C7,项目基本情况!D$17:I$17))</f>
        <v>62591</v>
      </c>
      <c r="F7" s="172">
        <f>SUMIF(项目基本情况!D$15:I$15,C7,项目基本情况!D$19:I$19)</f>
        <v>48.86</v>
      </c>
      <c r="G7" s="173">
        <f t="shared" ref="G7:G11" si="2">IF(ISERROR(ROUND(POWER(1+H7,D7-F7)*(POWER(1+H7,F7)-1)/(POWER(1+H7,D7)-1),3)),0,ROUND(POWER(1+H7,D7-F7)*(POWER(1+H7,F7)-1)/(POWER(1+H7,D7)-1),3))</f>
        <v>0.99399999999999999</v>
      </c>
      <c r="H7" s="2659">
        <v>4.4999999999999998E-2</v>
      </c>
      <c r="I7" s="2659">
        <v>0.05</v>
      </c>
      <c r="J7" s="174">
        <v>6.5000000000000002E-2</v>
      </c>
      <c r="K7" s="177">
        <f>SUMIF('数据-汇总表'!C$19:C$33,'数据-取费表'!A7,'数据-汇总表'!E$19:E$33)</f>
        <v>22085</v>
      </c>
      <c r="L7" s="2660">
        <v>3000</v>
      </c>
      <c r="M7" s="175">
        <f t="shared" si="0"/>
        <v>6626</v>
      </c>
      <c r="N7" s="2661">
        <v>0</v>
      </c>
      <c r="O7" s="175">
        <f t="shared" ref="O7:O14" si="3">IF($N$5="成新度","——",ROUND(M7*N7,0))</f>
        <v>0</v>
      </c>
      <c r="P7" s="176">
        <f t="shared" ref="P7:P14" si="4">IF($N$5="成新度","——",M7-O7)</f>
        <v>6626</v>
      </c>
      <c r="Q7" s="2662">
        <v>0.05</v>
      </c>
      <c r="R7" s="177">
        <f>SUMIF('数据-汇总表'!C$19:C$33,A7,'数据-汇总表'!R$19:R$33)</f>
        <v>8272.15</v>
      </c>
      <c r="S7" s="132">
        <f>IF('数据-汇总表'!$I$17="按面积比例",SUMIF('数据-汇总表'!C$19:C$33,A7,'数据-汇总表'!K$19:K$33),SUMIF('数据-汇总表'!C$19:C$33,A7,'数据-汇总表'!N$19:N$33))</f>
        <v>3264.42</v>
      </c>
      <c r="T7" s="2067">
        <f t="shared" ref="T7:T13" si="5">IF($T$4="按面积比例",IF(ISERROR(ROUND($M$14*S7/S$16,0)),"0",ROUND($M$14*S7/S$16,0)),"需自行计算录入")</f>
        <v>979</v>
      </c>
      <c r="U7" s="178">
        <v>700</v>
      </c>
      <c r="V7" s="179">
        <v>2.5000000000000001E-2</v>
      </c>
      <c r="W7" s="179">
        <v>0.1</v>
      </c>
      <c r="X7" s="2154"/>
      <c r="Y7" s="180">
        <v>1</v>
      </c>
      <c r="Z7" s="181"/>
      <c r="AA7" s="174"/>
      <c r="AB7" s="174"/>
      <c r="AC7" s="2157"/>
      <c r="AD7" s="182"/>
      <c r="AE7" s="942">
        <f t="shared" ref="AE7:AE13" ca="1" si="6">IF(AN7="",0,SUMIF(INDIRECT("'"&amp;AN7&amp;"'"&amp;"!E:E"),$AE$5,INDIRECT("'"&amp;AN7&amp;"'"&amp;"!F:F")))</f>
        <v>46.86</v>
      </c>
      <c r="AF7" s="139"/>
      <c r="AG7" s="1159">
        <f t="shared" ref="AG7:AG13" si="7">IF(AF7="",0,AE7-AF7)</f>
        <v>0</v>
      </c>
      <c r="AH7" s="139">
        <f>面积清单!F11</f>
        <v>631</v>
      </c>
      <c r="AI7" s="185">
        <v>12</v>
      </c>
      <c r="AJ7" s="186"/>
      <c r="AK7" s="187">
        <v>0.01</v>
      </c>
      <c r="AL7" s="188">
        <v>1E-3</v>
      </c>
      <c r="AM7" s="2198">
        <v>0.02</v>
      </c>
      <c r="AN7" s="2200" t="s">
        <v>3162</v>
      </c>
      <c r="AO7" s="3000"/>
      <c r="AP7" s="1150">
        <f t="shared" ref="AP7:AP13" si="8">ROUND(1-1/(1+H7)^F7,3)</f>
        <v>0.88400000000000001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12229.36</v>
      </c>
      <c r="L14" s="3492">
        <f>L7</f>
        <v>3000</v>
      </c>
      <c r="M14" s="175">
        <f t="shared" si="0"/>
        <v>3669</v>
      </c>
      <c r="N14" s="192"/>
      <c r="O14" s="175">
        <f t="shared" si="3"/>
        <v>0</v>
      </c>
      <c r="P14" s="176">
        <f t="shared" si="4"/>
        <v>3669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4000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0.997</v>
      </c>
      <c r="H16" s="201">
        <f>ROUND(SUMPRODUCT(H6:H13,K6:K13)/SUMPRODUCT((H6:H13&gt;0)*(K6:K13)),3)</f>
        <v>4.9000000000000002E-2</v>
      </c>
      <c r="I16" s="202"/>
      <c r="J16" s="202"/>
      <c r="K16" s="203">
        <f>SUM(K6:K15)</f>
        <v>98965.430000000008</v>
      </c>
      <c r="L16" s="204">
        <f>ROUND(M16*10000/SUM(K6:K14),0)</f>
        <v>4277</v>
      </c>
      <c r="M16" s="204">
        <f>SUM(M6:M14)</f>
        <v>40621</v>
      </c>
      <c r="N16" s="205">
        <f>ROUND(SUMPRODUCT(M6:M14,N6:N14)/M16,3)</f>
        <v>0</v>
      </c>
      <c r="O16" s="204">
        <f>SUM(O6:O14)</f>
        <v>0</v>
      </c>
      <c r="P16" s="204">
        <f>SUM(P6:P14)</f>
        <v>40621</v>
      </c>
      <c r="Q16" s="206">
        <f>ROUND(SUMPRODUCT(Q6:Q13,K6:K13)/SUMPRODUCT((Q6:Q13&gt;0)*(K6:K13)),2)</f>
        <v>0.16</v>
      </c>
      <c r="R16" s="2144">
        <f>SUM(R6:R13)</f>
        <v>32294.89</v>
      </c>
      <c r="S16" s="207">
        <f>SUM(S6:S13)</f>
        <v>12229.36</v>
      </c>
      <c r="T16" s="208">
        <f>IF(SUMIF(T6:T13,"&lt;9E307")=M14,SUMIF(T6:T13,"&lt;9E307"),"有误，请检查")</f>
        <v>3669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0.94299999999999995</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2</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2</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0</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160</v>
      </c>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200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f>E30/2</f>
        <v>157.5</v>
      </c>
      <c r="C30" s="3006"/>
      <c r="D30" s="3004"/>
      <c r="E30" s="3005">
        <v>315</v>
      </c>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85</v>
      </c>
      <c r="C31" s="3003"/>
      <c r="D31" s="3004"/>
      <c r="E31" s="3005">
        <f>70+60+25+15</f>
        <v>170</v>
      </c>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f>E32/2</f>
        <v>72.5</v>
      </c>
      <c r="C32" s="3006"/>
      <c r="D32" s="3001"/>
      <c r="E32" s="3000">
        <f>E30-E31</f>
        <v>145</v>
      </c>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0.05</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0.1</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3154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85" t="s">
        <v>1463</v>
      </c>
      <c r="B1" s="3586"/>
      <c r="C1" s="3586"/>
      <c r="D1" s="3586"/>
      <c r="E1" s="3586"/>
      <c r="F1" s="3586"/>
      <c r="G1" s="3586"/>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98965.430000000008</v>
      </c>
      <c r="C1" s="3102"/>
      <c r="D1" s="3102"/>
      <c r="E1" s="3102"/>
      <c r="F1" s="3102"/>
      <c r="G1" s="3103"/>
      <c r="H1" s="3103"/>
      <c r="I1" s="3103"/>
      <c r="J1" s="3103"/>
    </row>
    <row r="2" spans="1:10" ht="16.5">
      <c r="A2" s="3093" t="s">
        <v>2558</v>
      </c>
      <c r="B2" s="3093">
        <f>SUM(C14:C23)</f>
        <v>32294.89</v>
      </c>
      <c r="C2" s="3102"/>
      <c r="D2" s="3102"/>
      <c r="E2" s="3102"/>
      <c r="F2" s="3102"/>
      <c r="G2" s="3103"/>
      <c r="H2" s="3103"/>
      <c r="I2" s="3103"/>
      <c r="J2" s="3103"/>
    </row>
    <row r="3" spans="1:10" ht="16.5">
      <c r="A3" s="3093" t="s">
        <v>2559</v>
      </c>
      <c r="B3" s="3095">
        <f>项目基本情况!D3</f>
        <v>44756</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142328</v>
      </c>
      <c r="C5" s="3093">
        <f ca="1">ROUND(B5*10000/$B$1,0)</f>
        <v>14382</v>
      </c>
      <c r="D5" s="3093">
        <f ca="1">ROUND(B5*10000/$B$2,0)</f>
        <v>44071</v>
      </c>
      <c r="E5" s="3102"/>
      <c r="F5" s="3102"/>
      <c r="G5" s="3103"/>
      <c r="H5" s="3103"/>
      <c r="I5" s="3103"/>
      <c r="J5" s="3103"/>
    </row>
    <row r="6" spans="1:10" ht="16.5">
      <c r="A6" s="3093" t="s">
        <v>2565</v>
      </c>
      <c r="B6" s="3093">
        <f ca="1">SUM(G14:G23)</f>
        <v>140869</v>
      </c>
      <c r="C6" s="3093">
        <f t="shared" ref="C6:C8" ca="1" si="0">ROUND(B6*10000/$B$1,0)</f>
        <v>14234</v>
      </c>
      <c r="D6" s="3093">
        <f t="shared" ref="D6:D8" ca="1" si="1">ROUND(B6*10000/$B$2,0)</f>
        <v>43620</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98965.430000000008</v>
      </c>
      <c r="C14" s="3099">
        <f>结果表!K38</f>
        <v>32294.89</v>
      </c>
      <c r="D14" s="3099">
        <f ca="1">结果表!C42</f>
        <v>142328</v>
      </c>
      <c r="E14" s="3099">
        <f ca="1">ROUND(D14*10000/B14,0)</f>
        <v>14382</v>
      </c>
      <c r="F14" s="3099">
        <f ca="1">ROUND(D14*10000/C14,0)</f>
        <v>44071</v>
      </c>
      <c r="G14" s="3099">
        <f ca="1">结果表!C44</f>
        <v>140869</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70" zoomScaleNormal="100" zoomScaleSheetLayoutView="70" zoomScalePageLayoutView="80" workbookViewId="0">
      <selection activeCell="L18" sqref="L18"/>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31" t="str">
        <f>项目基本情况!K2</f>
        <v>北京市出让国有建设用地使用权</v>
      </c>
      <c r="B2" s="3632"/>
      <c r="C2" s="3633"/>
      <c r="D2" s="3633"/>
      <c r="E2" s="3633"/>
      <c r="F2" s="3633"/>
      <c r="G2" s="3632"/>
      <c r="H2" s="3632"/>
      <c r="I2" s="3634"/>
      <c r="J2" s="1866"/>
      <c r="K2" s="1865"/>
      <c r="L2" s="1865"/>
      <c r="M2" s="1865"/>
      <c r="N2" s="1865"/>
      <c r="O2" s="1865"/>
      <c r="P2" s="1865"/>
      <c r="Q2" s="1865"/>
      <c r="R2" s="1865"/>
      <c r="S2" s="1865"/>
      <c r="T2" s="1865"/>
      <c r="U2" s="1865"/>
      <c r="V2" s="1865"/>
    </row>
    <row r="3" spans="1:22" ht="14.25">
      <c r="A3" s="3624" t="s">
        <v>298</v>
      </c>
      <c r="B3" s="3625"/>
      <c r="C3" s="3625"/>
      <c r="D3" s="3625"/>
      <c r="E3" s="3625"/>
      <c r="F3" s="3625"/>
      <c r="G3" s="3625"/>
      <c r="H3" s="3625"/>
      <c r="I3" s="3625"/>
      <c r="J3" s="1866"/>
      <c r="K3" s="1865"/>
      <c r="L3" s="1865"/>
      <c r="M3" s="1865"/>
      <c r="N3" s="1865"/>
      <c r="O3" s="1865"/>
      <c r="P3" s="1865"/>
      <c r="Q3" s="1865"/>
      <c r="R3" s="1865"/>
      <c r="S3" s="1865"/>
      <c r="T3" s="1865"/>
      <c r="U3" s="1865"/>
      <c r="V3" s="1865"/>
    </row>
    <row r="4" spans="1:22" ht="14.25">
      <c r="A4" s="256" t="s">
        <v>299</v>
      </c>
      <c r="B4" s="257" t="s">
        <v>300</v>
      </c>
      <c r="C4" s="258" t="s">
        <v>3303</v>
      </c>
      <c r="D4" s="258" t="s">
        <v>3308</v>
      </c>
      <c r="E4" s="3590" t="s">
        <v>301</v>
      </c>
      <c r="F4" s="3591"/>
      <c r="G4" s="3591"/>
      <c r="H4" s="3591"/>
      <c r="I4" s="3626"/>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89" t="s">
        <v>302</v>
      </c>
      <c r="B5" s="3618">
        <v>25</v>
      </c>
      <c r="C5" s="3616"/>
      <c r="D5" s="3620"/>
      <c r="E5" s="259" t="s">
        <v>303</v>
      </c>
      <c r="F5" s="260"/>
      <c r="G5" s="260"/>
      <c r="H5" s="260"/>
      <c r="I5" s="261"/>
      <c r="J5" s="1866"/>
      <c r="K5" s="1865"/>
      <c r="L5" s="1865"/>
      <c r="M5" s="1865"/>
      <c r="N5" s="1865"/>
      <c r="O5" s="1865"/>
      <c r="P5" s="1865"/>
      <c r="Q5" s="1865"/>
      <c r="R5" s="1865"/>
      <c r="S5" s="1865"/>
      <c r="T5" s="1865"/>
      <c r="U5" s="1865"/>
      <c r="V5" s="1865"/>
    </row>
    <row r="6" spans="1:22" ht="14.25">
      <c r="A6" s="3589"/>
      <c r="B6" s="3618"/>
      <c r="C6" s="3619"/>
      <c r="D6" s="3620"/>
      <c r="E6" s="259" t="s">
        <v>304</v>
      </c>
      <c r="F6" s="260"/>
      <c r="G6" s="260"/>
      <c r="H6" s="260"/>
      <c r="I6" s="261"/>
      <c r="J6" s="1866"/>
      <c r="K6" s="1865"/>
      <c r="L6" s="1865"/>
      <c r="M6" s="1865"/>
      <c r="N6" s="1865"/>
      <c r="O6" s="1865"/>
      <c r="P6" s="1865"/>
      <c r="Q6" s="1865"/>
      <c r="R6" s="1865"/>
      <c r="S6" s="1865"/>
      <c r="T6" s="1865"/>
      <c r="U6" s="1865"/>
      <c r="V6" s="1865"/>
    </row>
    <row r="7" spans="1:22" ht="14.25">
      <c r="A7" s="3589"/>
      <c r="B7" s="3618"/>
      <c r="C7" s="3617"/>
      <c r="D7" s="3620"/>
      <c r="E7" s="259" t="s">
        <v>305</v>
      </c>
      <c r="F7" s="260"/>
      <c r="G7" s="260"/>
      <c r="H7" s="260"/>
      <c r="I7" s="261"/>
      <c r="J7" s="1866"/>
      <c r="K7" s="1865"/>
      <c r="L7" s="1865"/>
      <c r="M7" s="1865"/>
      <c r="N7" s="1865"/>
      <c r="O7" s="1865"/>
      <c r="P7" s="1865"/>
      <c r="Q7" s="1865"/>
      <c r="R7" s="1865"/>
      <c r="S7" s="1865"/>
      <c r="T7" s="1865"/>
      <c r="U7" s="1865"/>
      <c r="V7" s="1865"/>
    </row>
    <row r="8" spans="1:22" ht="14.25">
      <c r="A8" s="3589" t="s">
        <v>306</v>
      </c>
      <c r="B8" s="3618">
        <v>15</v>
      </c>
      <c r="C8" s="3616"/>
      <c r="D8" s="3620"/>
      <c r="E8" s="259" t="s">
        <v>307</v>
      </c>
      <c r="F8" s="260"/>
      <c r="G8" s="260"/>
      <c r="H8" s="260"/>
      <c r="I8" s="261"/>
      <c r="J8" s="1866"/>
      <c r="K8" s="1865"/>
      <c r="L8" s="1865"/>
      <c r="M8" s="1865"/>
      <c r="N8" s="1865"/>
      <c r="O8" s="1865"/>
      <c r="P8" s="1865"/>
      <c r="Q8" s="1865"/>
      <c r="R8" s="1865"/>
      <c r="S8" s="1865"/>
      <c r="T8" s="1865"/>
      <c r="U8" s="1865"/>
      <c r="V8" s="1865"/>
    </row>
    <row r="9" spans="1:22" ht="14.25">
      <c r="A9" s="3589"/>
      <c r="B9" s="3618"/>
      <c r="C9" s="3617"/>
      <c r="D9" s="3620"/>
      <c r="E9" s="259" t="s">
        <v>308</v>
      </c>
      <c r="F9" s="260"/>
      <c r="G9" s="260"/>
      <c r="H9" s="260"/>
      <c r="I9" s="261"/>
      <c r="J9" s="1866"/>
      <c r="K9" s="1865"/>
      <c r="L9" s="1865"/>
      <c r="M9" s="1865"/>
      <c r="N9" s="1865"/>
      <c r="O9" s="1865"/>
      <c r="P9" s="1865"/>
      <c r="Q9" s="1865"/>
      <c r="R9" s="1865"/>
      <c r="S9" s="1865"/>
      <c r="T9" s="1865"/>
      <c r="U9" s="1865"/>
      <c r="V9" s="1865"/>
    </row>
    <row r="10" spans="1:22" ht="14.25">
      <c r="A10" s="3589" t="s">
        <v>309</v>
      </c>
      <c r="B10" s="3618">
        <v>15</v>
      </c>
      <c r="C10" s="3616"/>
      <c r="D10" s="3620"/>
      <c r="E10" s="259" t="s">
        <v>310</v>
      </c>
      <c r="F10" s="260"/>
      <c r="G10" s="260"/>
      <c r="H10" s="260"/>
      <c r="I10" s="261"/>
      <c r="J10" s="1866"/>
      <c r="K10" s="1865"/>
      <c r="L10" s="1865"/>
      <c r="M10" s="1865"/>
      <c r="N10" s="1865"/>
      <c r="O10" s="1865"/>
      <c r="P10" s="1865"/>
      <c r="Q10" s="1865"/>
      <c r="R10" s="1865"/>
      <c r="S10" s="1865"/>
      <c r="T10" s="1865"/>
      <c r="U10" s="1865"/>
      <c r="V10" s="1865"/>
    </row>
    <row r="11" spans="1:22" ht="14.25">
      <c r="A11" s="3589"/>
      <c r="B11" s="3618"/>
      <c r="C11" s="3617"/>
      <c r="D11" s="3620"/>
      <c r="E11" s="259" t="s">
        <v>311</v>
      </c>
      <c r="F11" s="260"/>
      <c r="G11" s="260"/>
      <c r="H11" s="260"/>
      <c r="I11" s="261"/>
      <c r="J11" s="1866"/>
      <c r="K11" s="1865"/>
      <c r="L11" s="1865"/>
      <c r="M11" s="1865"/>
      <c r="N11" s="1865"/>
      <c r="O11" s="1865"/>
      <c r="P11" s="1865"/>
      <c r="Q11" s="1865"/>
      <c r="R11" s="1865"/>
      <c r="S11" s="1865"/>
      <c r="T11" s="1865"/>
      <c r="U11" s="1865"/>
      <c r="V11" s="1865"/>
    </row>
    <row r="12" spans="1:22" ht="14.25">
      <c r="A12" s="3589" t="s">
        <v>312</v>
      </c>
      <c r="B12" s="3618">
        <v>15</v>
      </c>
      <c r="C12" s="3616"/>
      <c r="D12" s="3620"/>
      <c r="E12" s="259" t="s">
        <v>313</v>
      </c>
      <c r="F12" s="260"/>
      <c r="G12" s="260"/>
      <c r="H12" s="260"/>
      <c r="I12" s="261"/>
      <c r="J12" s="1866"/>
      <c r="K12" s="1865"/>
      <c r="L12" s="1865"/>
      <c r="M12" s="1865"/>
      <c r="N12" s="1865"/>
      <c r="O12" s="1865"/>
      <c r="P12" s="1865"/>
      <c r="Q12" s="1865"/>
      <c r="R12" s="1865"/>
      <c r="S12" s="1865"/>
      <c r="T12" s="1865"/>
      <c r="U12" s="1865"/>
      <c r="V12" s="1865"/>
    </row>
    <row r="13" spans="1:22" ht="14.25">
      <c r="A13" s="3589"/>
      <c r="B13" s="3618"/>
      <c r="C13" s="3617"/>
      <c r="D13" s="3620"/>
      <c r="E13" s="259" t="s">
        <v>314</v>
      </c>
      <c r="F13" s="260"/>
      <c r="G13" s="260"/>
      <c r="H13" s="260"/>
      <c r="I13" s="261"/>
      <c r="J13" s="1866"/>
      <c r="K13" s="1865"/>
      <c r="L13" s="1865"/>
      <c r="M13" s="1865"/>
      <c r="N13" s="1865"/>
      <c r="O13" s="1865"/>
      <c r="P13" s="1865"/>
      <c r="Q13" s="1865"/>
      <c r="R13" s="1865"/>
      <c r="S13" s="1865"/>
      <c r="T13" s="1865"/>
      <c r="U13" s="1865"/>
      <c r="V13" s="1865"/>
    </row>
    <row r="14" spans="1:22" ht="14.25">
      <c r="A14" s="3589" t="s">
        <v>315</v>
      </c>
      <c r="B14" s="3618">
        <v>30</v>
      </c>
      <c r="C14" s="3616">
        <v>5</v>
      </c>
      <c r="D14" s="3620">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89"/>
      <c r="B15" s="3618"/>
      <c r="C15" s="3619"/>
      <c r="D15" s="3620"/>
      <c r="E15" s="259" t="s">
        <v>317</v>
      </c>
      <c r="F15" s="260"/>
      <c r="G15" s="260"/>
      <c r="H15" s="260"/>
      <c r="I15" s="261"/>
      <c r="J15" s="1866"/>
      <c r="K15" s="1865"/>
      <c r="L15" s="1865"/>
      <c r="M15" s="1865"/>
      <c r="N15" s="1865"/>
      <c r="O15" s="1865"/>
      <c r="P15" s="1865"/>
      <c r="Q15" s="1865"/>
      <c r="R15" s="1865"/>
      <c r="S15" s="1865"/>
      <c r="T15" s="1865"/>
      <c r="U15" s="1865"/>
      <c r="V15" s="1865"/>
    </row>
    <row r="16" spans="1:22" ht="14.25">
      <c r="A16" s="3589"/>
      <c r="B16" s="3618"/>
      <c r="C16" s="3617"/>
      <c r="D16" s="362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21" t="s">
        <v>2695</v>
      </c>
      <c r="F18" s="3622"/>
      <c r="G18" s="3622"/>
      <c r="H18" s="3622"/>
      <c r="I18" s="3622"/>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133447</v>
      </c>
      <c r="D19" s="269">
        <f ca="1">SUMIF(INDIRECT("'"&amp;D4&amp;"'"&amp;"!A:A"),结果表!B19,INDIRECT("'"&amp;D4&amp;"'"&amp;"!B:B"))</f>
        <v>151208</v>
      </c>
      <c r="E19" s="266" t="s">
        <v>323</v>
      </c>
      <c r="F19" s="267" t="s">
        <v>322</v>
      </c>
      <c r="G19" s="270">
        <f ca="1">ROUND(C19*$C$18+D19*$D$18,0)</f>
        <v>142328</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13484</v>
      </c>
      <c r="D20" s="275">
        <f ca="1">SUMIF(INDIRECT("'"&amp;D4&amp;"'"&amp;"!A:A"),结果表!B20,INDIRECT("'"&amp;D4&amp;"'"&amp;"!B:B"))</f>
        <v>15279</v>
      </c>
      <c r="E20" s="272"/>
      <c r="F20" s="273" t="s">
        <v>325</v>
      </c>
      <c r="G20" s="276">
        <f ca="1">ROUND(C20*$C$18+D20*$D$18,0)</f>
        <v>14382</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41321</v>
      </c>
      <c r="D21" s="149">
        <f ca="1">SUMIF(INDIRECT("'"&amp;D4&amp;"'"&amp;"!A:A"),结果表!B21,INDIRECT("'"&amp;D4&amp;"'"&amp;"!B:B"))</f>
        <v>46821</v>
      </c>
      <c r="E21" s="272"/>
      <c r="F21" s="278" t="s">
        <v>327</v>
      </c>
      <c r="G21" s="280">
        <f ca="1">ROUND(C21*$C$18+D21*$D$18,0)</f>
        <v>44071</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0.13309403733317349</v>
      </c>
      <c r="E22" s="282"/>
      <c r="F22" s="283"/>
      <c r="G22" s="284">
        <f ca="1">ROUND(G19/('数据-汇总表'!D3/666.67),0)</f>
        <v>2938</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95"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596"/>
      <c r="B25" s="1238" t="s">
        <v>331</v>
      </c>
      <c r="C25" s="288">
        <f>IF(B30=0,0,C30)</f>
        <v>0</v>
      </c>
      <c r="D25" s="289"/>
      <c r="E25" s="309"/>
      <c r="F25" s="309"/>
      <c r="G25" s="309"/>
      <c r="H25" s="309"/>
      <c r="I25" s="309"/>
      <c r="J25" s="1865"/>
      <c r="K25" s="1172" t="str">
        <f ca="1">项目基本情况!B16&amp;"国有建设用地使用权价格："&amp;O38&amp;"万元"</f>
        <v>出让国有建设用地使用权价格：142328万元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大写金额：人民币壹拾肆亿贰仟叁佰贰拾捌万元整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单位面积地价：44071元/平方米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楼面地价：14382元/平方米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抵押价格：140869万元</v>
      </c>
      <c r="L29" s="1169"/>
      <c r="M29" s="1169"/>
      <c r="N29" s="1169"/>
      <c r="O29" s="1168"/>
      <c r="P29" s="1865"/>
      <c r="V29" s="1865"/>
    </row>
    <row r="30" spans="1:26" ht="18.75" thickBot="1">
      <c r="A30" s="2718" t="s">
        <v>336</v>
      </c>
      <c r="B30" s="307"/>
      <c r="C30" s="307"/>
      <c r="D30" s="308"/>
      <c r="E30" s="2911" t="s">
        <v>2696</v>
      </c>
      <c r="F30" s="309"/>
      <c r="G30" s="309"/>
      <c r="H30" s="309"/>
      <c r="I30" s="309"/>
      <c r="J30" s="1865"/>
      <c r="K30" s="1175" t="str">
        <f ca="1">IF(K29="——","——","大写金额：人民币"&amp;NUMBERSTRING(INT(O39*10000),2)&amp;"元整")</f>
        <v>大写金额：人民币壹拾肆亿零捌佰陆拾玖万元整</v>
      </c>
      <c r="L30" s="1169"/>
      <c r="M30" s="1169"/>
      <c r="N30" s="1169"/>
      <c r="O30" s="1168"/>
      <c r="P30" s="1865"/>
      <c r="V30" s="1865"/>
    </row>
    <row r="31" spans="1:26" ht="24" customHeight="1" thickBot="1">
      <c r="A31" s="3623" t="s">
        <v>2697</v>
      </c>
      <c r="B31" s="3623"/>
      <c r="C31" s="3623"/>
      <c r="D31" s="3623"/>
      <c r="E31" s="3623"/>
      <c r="F31" s="3623"/>
      <c r="G31" s="3623"/>
      <c r="H31" s="3623"/>
      <c r="I31" s="3623"/>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142328</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14382</v>
      </c>
      <c r="D33" s="1289" t="s">
        <v>1491</v>
      </c>
      <c r="E33" s="3595"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44071</v>
      </c>
      <c r="D34" s="1291" t="s">
        <v>1491</v>
      </c>
      <c r="E34" s="3639"/>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2938</v>
      </c>
      <c r="D35" s="1294" t="s">
        <v>1493</v>
      </c>
      <c r="E35" s="3640"/>
      <c r="F35" s="299" t="s">
        <v>342</v>
      </c>
      <c r="G35" s="952">
        <f>E37</f>
        <v>1459</v>
      </c>
      <c r="H35" s="951" t="s">
        <v>343</v>
      </c>
      <c r="I35" s="309"/>
      <c r="J35" s="1865"/>
      <c r="K35" s="3613" t="s">
        <v>350</v>
      </c>
      <c r="L35" s="3613" t="s">
        <v>351</v>
      </c>
      <c r="M35" s="1181" t="s">
        <v>352</v>
      </c>
      <c r="N35" s="3613" t="s">
        <v>353</v>
      </c>
      <c r="O35" s="3613" t="s">
        <v>354</v>
      </c>
      <c r="P35" s="1865"/>
      <c r="V35" s="1865"/>
    </row>
    <row r="36" spans="1:26" ht="16.5" customHeight="1">
      <c r="A36" s="301" t="s">
        <v>344</v>
      </c>
      <c r="B36" s="302" t="s">
        <v>333</v>
      </c>
      <c r="C36" s="303" t="s">
        <v>345</v>
      </c>
      <c r="D36" s="303" t="s">
        <v>346</v>
      </c>
      <c r="E36" s="304" t="s">
        <v>347</v>
      </c>
      <c r="F36" s="309"/>
      <c r="G36" s="309"/>
      <c r="H36" s="309"/>
      <c r="I36" s="309"/>
      <c r="J36" s="1867"/>
      <c r="K36" s="3614"/>
      <c r="L36" s="3614"/>
      <c r="M36" s="1183" t="s">
        <v>355</v>
      </c>
      <c r="N36" s="3614"/>
      <c r="O36" s="3614"/>
      <c r="P36" s="1865"/>
      <c r="V36" s="1865"/>
    </row>
    <row r="37" spans="1:26" ht="16.5" customHeight="1" thickBot="1">
      <c r="A37" s="1177" t="s">
        <v>348</v>
      </c>
      <c r="B37" s="305">
        <f>结果表新!C24</f>
        <v>22085</v>
      </c>
      <c r="C37" s="292">
        <f>结果表新!D24</f>
        <v>641</v>
      </c>
      <c r="D37" s="3479">
        <v>3.0499999999999999E-2</v>
      </c>
      <c r="E37" s="293">
        <f>ROUND(B37*C37*(1+D37)/10000,0)</f>
        <v>1459</v>
      </c>
      <c r="F37" s="309"/>
      <c r="G37" s="309"/>
      <c r="H37" s="309"/>
      <c r="I37" s="309"/>
      <c r="J37" s="1867"/>
      <c r="K37" s="3615"/>
      <c r="L37" s="3615"/>
      <c r="M37" s="1184"/>
      <c r="N37" s="3615"/>
      <c r="O37" s="3615"/>
      <c r="P37" s="1865"/>
      <c r="V37" s="1865"/>
    </row>
    <row r="38" spans="1:26" ht="16.5" customHeight="1" thickBot="1">
      <c r="A38" s="1177" t="s">
        <v>349</v>
      </c>
      <c r="B38" s="305"/>
      <c r="C38" s="292"/>
      <c r="D38" s="292"/>
      <c r="E38" s="293"/>
      <c r="F38" s="309"/>
      <c r="G38" s="309"/>
      <c r="H38" s="309"/>
      <c r="I38" s="309"/>
      <c r="J38" s="1867"/>
      <c r="K38" s="1185">
        <f>'数据-汇总表'!D3</f>
        <v>32294.89</v>
      </c>
      <c r="L38" s="1186">
        <f>'数据-汇总表'!E3</f>
        <v>98965.430000000008</v>
      </c>
      <c r="M38" s="1186">
        <f ca="1">C34</f>
        <v>44071</v>
      </c>
      <c r="N38" s="1186">
        <f ca="1">C33</f>
        <v>14382</v>
      </c>
      <c r="O38" s="1187">
        <f ca="1">C32</f>
        <v>142328</v>
      </c>
      <c r="P38" s="1865"/>
      <c r="V38" s="1865"/>
    </row>
    <row r="39" spans="1:26" ht="16.5" customHeight="1" thickBot="1">
      <c r="A39" s="1182"/>
      <c r="B39" s="306"/>
      <c r="C39" s="307"/>
      <c r="D39" s="307"/>
      <c r="E39" s="308"/>
      <c r="F39" s="309"/>
      <c r="G39" s="309"/>
      <c r="H39" s="309"/>
      <c r="I39" s="309"/>
      <c r="J39" s="1867"/>
      <c r="K39" s="3653" t="str">
        <f>MID(A44,3,LEN(A44)-2)</f>
        <v>抵押价格</v>
      </c>
      <c r="L39" s="3654"/>
      <c r="M39" s="3654"/>
      <c r="N39" s="3655"/>
      <c r="O39" s="1296">
        <f ca="1">C44</f>
        <v>140869</v>
      </c>
      <c r="P39" s="1865"/>
      <c r="V39" s="1865"/>
    </row>
    <row r="40" spans="1:26" ht="19.5" thickBot="1">
      <c r="A40" s="104" t="s">
        <v>852</v>
      </c>
      <c r="B40" s="309"/>
      <c r="C40" s="309"/>
      <c r="D40" s="309"/>
      <c r="E40" s="309"/>
      <c r="F40" s="309"/>
      <c r="G40" s="309"/>
      <c r="H40" s="309"/>
      <c r="I40" s="309"/>
      <c r="J40" s="1867"/>
      <c r="K40" s="3653" t="str">
        <f t="shared" ref="K40:K41" si="0">MID(A45,3,LEN(A45)-2)</f>
        <v/>
      </c>
      <c r="L40" s="3654"/>
      <c r="M40" s="3654"/>
      <c r="N40" s="3655"/>
      <c r="O40" s="1296" t="str">
        <f>C45</f>
        <v>——</v>
      </c>
      <c r="P40" s="1865"/>
      <c r="V40" s="1865"/>
    </row>
    <row r="41" spans="1:26" ht="16.5" thickBot="1">
      <c r="A41" s="310" t="s">
        <v>356</v>
      </c>
      <c r="B41" s="311"/>
      <c r="C41" s="312" t="s">
        <v>357</v>
      </c>
      <c r="D41" s="313" t="s">
        <v>358</v>
      </c>
      <c r="E41" s="313" t="s">
        <v>359</v>
      </c>
      <c r="F41" s="314" t="s">
        <v>360</v>
      </c>
      <c r="G41" s="309"/>
      <c r="H41" s="309"/>
      <c r="I41" s="309"/>
      <c r="J41" s="1867"/>
      <c r="K41" s="3653" t="str">
        <f t="shared" si="0"/>
        <v/>
      </c>
      <c r="L41" s="3654"/>
      <c r="M41" s="3654"/>
      <c r="N41" s="3655"/>
      <c r="O41" s="1296" t="str">
        <f>C46</f>
        <v>——</v>
      </c>
      <c r="P41" s="1865"/>
      <c r="V41" s="1865"/>
    </row>
    <row r="42" spans="1:26" ht="29.25">
      <c r="A42" s="3597" t="s">
        <v>1859</v>
      </c>
      <c r="B42" s="3598"/>
      <c r="C42" s="262">
        <f ca="1">C32</f>
        <v>142328</v>
      </c>
      <c r="D42" s="315">
        <f ca="1">C33</f>
        <v>14382</v>
      </c>
      <c r="E42" s="315">
        <f ca="1">C34</f>
        <v>44071</v>
      </c>
      <c r="F42" s="316">
        <f ca="1">C35</f>
        <v>2938</v>
      </c>
      <c r="G42" s="309"/>
      <c r="H42" s="309"/>
      <c r="I42" s="317"/>
      <c r="J42" s="1867"/>
      <c r="K42" s="1188" t="s">
        <v>361</v>
      </c>
      <c r="L42" s="1884" t="s">
        <v>362</v>
      </c>
      <c r="M42" s="1189" t="s">
        <v>363</v>
      </c>
      <c r="N42" s="1885" t="s">
        <v>364</v>
      </c>
      <c r="O42" s="1886" t="s">
        <v>365</v>
      </c>
      <c r="P42" s="1865"/>
      <c r="V42" s="1865"/>
    </row>
    <row r="43" spans="1:26" ht="30">
      <c r="A43" s="3608" t="s">
        <v>2447</v>
      </c>
      <c r="B43" s="3609"/>
      <c r="C43" s="262">
        <f>IF(H33="正常操作",G33+G34+G35,G34+G35)</f>
        <v>1459</v>
      </c>
      <c r="D43" s="315" t="s">
        <v>43</v>
      </c>
      <c r="E43" s="315" t="s">
        <v>44</v>
      </c>
      <c r="F43" s="316" t="s">
        <v>44</v>
      </c>
      <c r="G43" s="2505" t="s">
        <v>931</v>
      </c>
      <c r="H43" s="309"/>
      <c r="I43" s="317"/>
      <c r="J43" s="1867"/>
      <c r="K43" s="1190" t="str">
        <f>C4</f>
        <v>比较法-住宅、综合</v>
      </c>
      <c r="L43" s="1191">
        <f ca="1">IF(L42="估价结果/万元",C19,C20)</f>
        <v>133447</v>
      </c>
      <c r="M43" s="1192">
        <f>C18</f>
        <v>0.5</v>
      </c>
      <c r="N43" s="1193">
        <f ca="1">IF(N42="测算结果/万元",G19,G20)</f>
        <v>142328</v>
      </c>
      <c r="O43" s="1194">
        <f ca="1">IF(O42="最终结果/万元",C32,C33)</f>
        <v>142328</v>
      </c>
      <c r="P43" s="1865"/>
      <c r="V43" s="1865"/>
    </row>
    <row r="44" spans="1:26" ht="30.75" thickBot="1">
      <c r="A44" s="3597" t="str">
        <f>IF(OR(项目基本情况!E8="抵押价格",项目基本情况!E8="已注销及未注销"),"3.抵押价格","——")</f>
        <v>3.抵押价格</v>
      </c>
      <c r="B44" s="3598"/>
      <c r="C44" s="262">
        <f ca="1">IF(A44="——","——",C42-C43)</f>
        <v>140869</v>
      </c>
      <c r="D44" s="315">
        <f ca="1">ROUND(C44*10000/'数据-汇总表'!E3,0)</f>
        <v>14234</v>
      </c>
      <c r="E44" s="315">
        <f ca="1">ROUND(C44*10000/'数据-汇总表'!D3,0)</f>
        <v>43620</v>
      </c>
      <c r="F44" s="316">
        <f ca="1">ROUND(C44/('数据-汇总表'!D3/666.67),0)</f>
        <v>2908</v>
      </c>
      <c r="G44" s="309"/>
      <c r="H44" s="309"/>
      <c r="I44" s="317"/>
      <c r="J44" s="1867"/>
      <c r="K44" s="1195" t="str">
        <f>D4</f>
        <v>剩余法-待开发</v>
      </c>
      <c r="L44" s="1196">
        <f ca="1">IF(L42="估价结果/万元",D19,D20)</f>
        <v>151208</v>
      </c>
      <c r="M44" s="1197">
        <f>D18</f>
        <v>0.5</v>
      </c>
      <c r="N44" s="1198"/>
      <c r="O44" s="1199"/>
      <c r="P44" s="1865"/>
      <c r="V44" s="1865"/>
    </row>
    <row r="45" spans="1:26" ht="15">
      <c r="A45" s="3603" t="str">
        <f>IF(项目基本情况!E8="已注销及未注销","4.抵押担保权已注销时的抵押价格",IF(项目基本情况!E8="已注销","3.抵押担保权已注销时的抵押价格","——"))</f>
        <v>——</v>
      </c>
      <c r="B45" s="3604"/>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599" t="str">
        <f>IF(项目基本情况!E9="抵押净值",IF(A45="——","4.抵押净值","5.抵押净值"),"——")</f>
        <v>——</v>
      </c>
      <c r="B46" s="3600"/>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本次评估估价师知悉的法定优先受偿款为人民币1459万元整。</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47" t="s">
        <v>374</v>
      </c>
      <c r="B63" s="3648"/>
      <c r="C63" s="3649"/>
      <c r="D63" s="339">
        <f ca="1">ROUND(C42*F63,0)</f>
        <v>142328</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05" t="s">
        <v>378</v>
      </c>
      <c r="B64" s="3606"/>
      <c r="C64" s="3606"/>
      <c r="D64" s="3606"/>
      <c r="E64" s="3606"/>
      <c r="F64" s="3606"/>
      <c r="G64" s="3607"/>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601" t="s">
        <v>386</v>
      </c>
      <c r="B66" s="3602"/>
      <c r="C66" s="360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662" t="s">
        <v>385</v>
      </c>
      <c r="M66" s="3663"/>
      <c r="N66" s="2266"/>
      <c r="O66" s="2267"/>
      <c r="P66" s="2268"/>
      <c r="Q66" s="1865"/>
      <c r="R66" s="1865"/>
      <c r="S66" s="1865"/>
      <c r="T66" s="1865"/>
      <c r="U66" s="1865"/>
      <c r="V66" s="1865"/>
    </row>
    <row r="67" spans="1:22" ht="25.5" customHeight="1">
      <c r="A67" s="350" t="s">
        <v>389</v>
      </c>
      <c r="B67" s="3592" t="s">
        <v>390</v>
      </c>
      <c r="C67" s="3592"/>
      <c r="D67" s="351">
        <v>0</v>
      </c>
      <c r="E67" s="41" t="s">
        <v>391</v>
      </c>
      <c r="F67" s="62" t="s">
        <v>21</v>
      </c>
      <c r="G67" s="3650"/>
      <c r="H67" s="2914" t="s">
        <v>2698</v>
      </c>
      <c r="I67" s="2916"/>
      <c r="J67" s="1872"/>
      <c r="K67" s="1844">
        <v>2</v>
      </c>
      <c r="L67" s="3656" t="s">
        <v>388</v>
      </c>
      <c r="M67" s="3656"/>
      <c r="N67" s="1242">
        <f>'数据-取费表'!B2</f>
        <v>44756</v>
      </c>
      <c r="O67" s="1242"/>
      <c r="P67" s="1242"/>
      <c r="Q67" s="1865"/>
      <c r="R67" s="1865"/>
      <c r="S67" s="1865"/>
      <c r="T67" s="1865"/>
      <c r="U67" s="1865"/>
      <c r="V67" s="1865"/>
    </row>
    <row r="68" spans="1:22" ht="25.5" customHeight="1">
      <c r="A68" s="352"/>
      <c r="B68" s="3592" t="s">
        <v>393</v>
      </c>
      <c r="C68" s="3592"/>
      <c r="D68" s="353"/>
      <c r="E68" s="77"/>
      <c r="F68" s="354"/>
      <c r="G68" s="3651"/>
      <c r="H68" s="2915" t="s">
        <v>2699</v>
      </c>
      <c r="I68" s="2916"/>
      <c r="J68" s="1872"/>
      <c r="K68" s="1844">
        <v>3</v>
      </c>
      <c r="L68" s="3656" t="s">
        <v>392</v>
      </c>
      <c r="M68" s="3656"/>
      <c r="N68" s="1210">
        <f ca="1">C42</f>
        <v>142328</v>
      </c>
      <c r="O68" s="1210"/>
      <c r="P68" s="1210"/>
      <c r="Q68" s="1865"/>
      <c r="R68" s="1865"/>
      <c r="S68" s="1865"/>
      <c r="T68" s="1865"/>
      <c r="U68" s="1865"/>
      <c r="V68" s="1865"/>
    </row>
    <row r="69" spans="1:22" ht="23.45" customHeight="1">
      <c r="A69" s="355"/>
      <c r="B69" s="3592" t="s">
        <v>394</v>
      </c>
      <c r="C69" s="3592"/>
      <c r="D69" s="356"/>
      <c r="E69" s="73"/>
      <c r="F69" s="354"/>
      <c r="G69" s="3652"/>
      <c r="H69" s="2915" t="s">
        <v>2700</v>
      </c>
      <c r="I69" s="2916"/>
      <c r="J69" s="1872"/>
      <c r="K69" s="1211">
        <v>4</v>
      </c>
      <c r="L69" s="3666" t="s">
        <v>2596</v>
      </c>
      <c r="M69" s="3667"/>
      <c r="N69" s="1212">
        <f ca="1">C44</f>
        <v>140869</v>
      </c>
      <c r="O69" s="1212"/>
      <c r="P69" s="1212"/>
      <c r="Q69" s="1865"/>
      <c r="R69" s="1865"/>
      <c r="S69" s="1865"/>
      <c r="T69" s="1865"/>
      <c r="U69" s="1865"/>
      <c r="V69" s="1865"/>
    </row>
    <row r="70" spans="1:22" ht="24" customHeight="1">
      <c r="A70" s="357" t="s">
        <v>395</v>
      </c>
      <c r="B70" s="3592" t="s">
        <v>396</v>
      </c>
      <c r="C70" s="3592"/>
      <c r="D70" s="356">
        <f ca="1">ROUND(D63*'数据-取费表'!B41/(1+'数据-取费表'!C42),0)</f>
        <v>7455</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593" t="s">
        <v>2728</v>
      </c>
      <c r="C71" s="3594"/>
      <c r="D71" s="356">
        <f ca="1">ROUND(D63*'数据-取费表'!B41/(1+'数据-取费表'!C42),0)</f>
        <v>7455</v>
      </c>
      <c r="E71" s="17" t="s">
        <v>397</v>
      </c>
      <c r="F71" s="358">
        <f>'数据-取费表'!B41</f>
        <v>5.5000000000000007E-2</v>
      </c>
      <c r="G71" s="359"/>
      <c r="H71" s="309"/>
      <c r="I71" s="1209"/>
      <c r="J71" s="1872"/>
      <c r="K71" s="2682" t="s">
        <v>398</v>
      </c>
      <c r="L71" s="3668" t="s">
        <v>399</v>
      </c>
      <c r="M71" s="3668"/>
      <c r="N71" s="2682" t="s">
        <v>400</v>
      </c>
      <c r="O71" s="2682" t="s">
        <v>401</v>
      </c>
      <c r="P71" s="2682" t="s">
        <v>402</v>
      </c>
      <c r="Q71" s="1865"/>
      <c r="R71" s="1865"/>
      <c r="S71" s="1865"/>
      <c r="T71" s="1865"/>
      <c r="U71" s="1865"/>
      <c r="V71" s="1865"/>
    </row>
    <row r="72" spans="1:22" ht="12" customHeight="1">
      <c r="A72" s="357" t="s">
        <v>405</v>
      </c>
      <c r="B72" s="3593" t="s">
        <v>2729</v>
      </c>
      <c r="C72" s="3594"/>
      <c r="D72" s="356">
        <f ca="1">C86</f>
        <v>7455</v>
      </c>
      <c r="E72" s="73" t="s">
        <v>406</v>
      </c>
      <c r="F72" s="358">
        <f>'数据-取费表'!B41</f>
        <v>5.5000000000000007E-2</v>
      </c>
      <c r="G72" s="359"/>
      <c r="H72" s="1215"/>
      <c r="I72" s="1209"/>
      <c r="J72" s="1872"/>
      <c r="K72" s="1844">
        <v>1</v>
      </c>
      <c r="L72" s="3643" t="s">
        <v>404</v>
      </c>
      <c r="M72" s="3643"/>
      <c r="N72" s="1213" t="b">
        <f>D66</f>
        <v>0</v>
      </c>
      <c r="O72" s="1728" t="str">
        <f>E66</f>
        <v>销售额×税（费）率</v>
      </c>
      <c r="P72" s="1214">
        <f>F66</f>
        <v>5.5000000000000007E-2</v>
      </c>
      <c r="Q72" s="1865"/>
      <c r="R72" s="1865"/>
      <c r="S72" s="1865"/>
      <c r="T72" s="1865"/>
      <c r="U72" s="1865"/>
      <c r="V72" s="1865"/>
    </row>
    <row r="73" spans="1:22" ht="24" customHeight="1">
      <c r="A73" s="3638" t="s">
        <v>408</v>
      </c>
      <c r="B73" s="3602"/>
      <c r="C73" s="3602"/>
      <c r="D73" s="360">
        <f ca="1">IF(H73="个人住宅",0,ROUND(D63*I73,0))</f>
        <v>71</v>
      </c>
      <c r="E73" s="17" t="s">
        <v>409</v>
      </c>
      <c r="F73" s="358" t="str">
        <f>IF(H73="正常",I73,"免征")</f>
        <v>免征</v>
      </c>
      <c r="G73" s="359"/>
      <c r="H73" s="189"/>
      <c r="I73" s="358">
        <f>'数据-取费表'!B49</f>
        <v>5.0000000000000001E-4</v>
      </c>
      <c r="J73" s="1872"/>
      <c r="K73" s="1844">
        <v>2</v>
      </c>
      <c r="L73" s="3643" t="s">
        <v>407</v>
      </c>
      <c r="M73" s="3643"/>
      <c r="N73" s="1213">
        <f t="shared" ref="N73:P74" ca="1" si="1">D73</f>
        <v>71</v>
      </c>
      <c r="O73" s="1728" t="str">
        <f t="shared" si="1"/>
        <v>销售额×税（费）率</v>
      </c>
      <c r="P73" s="1214" t="str">
        <f t="shared" si="1"/>
        <v>免征</v>
      </c>
      <c r="Q73" s="1865"/>
      <c r="R73" s="1865"/>
      <c r="S73" s="1865"/>
      <c r="T73" s="1865"/>
      <c r="U73" s="1865"/>
      <c r="V73" s="1865"/>
    </row>
    <row r="74" spans="1:22" ht="24.75">
      <c r="A74" s="3638" t="s">
        <v>411</v>
      </c>
      <c r="B74" s="3602"/>
      <c r="C74" s="3602"/>
      <c r="D74" s="360">
        <f ca="1">IF(H74="个人住宅",D75,D76)</f>
        <v>80686</v>
      </c>
      <c r="E74" s="17" t="s">
        <v>412</v>
      </c>
      <c r="F74" s="358" t="str">
        <f>IF(H74="正常",F76,"免征")</f>
        <v>免征</v>
      </c>
      <c r="G74" s="953" t="s">
        <v>413</v>
      </c>
      <c r="H74" s="361"/>
      <c r="I74" s="42"/>
      <c r="J74" s="1872"/>
      <c r="K74" s="1844">
        <v>3</v>
      </c>
      <c r="L74" s="3643" t="s">
        <v>410</v>
      </c>
      <c r="M74" s="3643"/>
      <c r="N74" s="1213">
        <f t="shared" ca="1" si="1"/>
        <v>80686</v>
      </c>
      <c r="O74" s="1728" t="str">
        <f t="shared" si="1"/>
        <v>增值额×税（费）率</v>
      </c>
      <c r="P74" s="1216" t="str">
        <f t="shared" si="1"/>
        <v>免征</v>
      </c>
      <c r="Q74" s="1865"/>
      <c r="R74" s="1865"/>
      <c r="S74" s="1865"/>
      <c r="T74" s="1865"/>
      <c r="U74" s="1865"/>
      <c r="V74" s="1865"/>
    </row>
    <row r="75" spans="1:22" ht="12.75">
      <c r="A75" s="357" t="s">
        <v>414</v>
      </c>
      <c r="B75" s="3590" t="s">
        <v>415</v>
      </c>
      <c r="C75" s="3626"/>
      <c r="D75" s="362">
        <v>0</v>
      </c>
      <c r="E75" s="41" t="s">
        <v>416</v>
      </c>
      <c r="F75" s="363"/>
      <c r="G75" s="359"/>
      <c r="H75" s="42"/>
      <c r="I75" s="42"/>
      <c r="J75" s="1872"/>
      <c r="K75" s="2676">
        <f>IF(H77="非个人房产","",4)</f>
        <v>4</v>
      </c>
      <c r="L75" s="3643" t="str">
        <f>IF(H77="非个人房产","——","个人所得税")</f>
        <v>个人所得税</v>
      </c>
      <c r="M75" s="3643"/>
      <c r="N75" s="1217">
        <f>D77</f>
        <v>0</v>
      </c>
      <c r="O75" s="1741" t="str">
        <f>E77</f>
        <v>差额计税</v>
      </c>
      <c r="P75" s="1218">
        <f>F77</f>
        <v>0.01</v>
      </c>
      <c r="Q75" s="1865"/>
      <c r="R75" s="1865"/>
      <c r="S75" s="1865"/>
      <c r="T75" s="1865"/>
      <c r="U75" s="1865"/>
      <c r="V75" s="1865"/>
    </row>
    <row r="76" spans="1:22" ht="24.75">
      <c r="A76" s="357" t="s">
        <v>395</v>
      </c>
      <c r="B76" s="3590" t="s">
        <v>418</v>
      </c>
      <c r="C76" s="3591"/>
      <c r="D76" s="360">
        <f ca="1">IF(H76="转让取得",C99,C115)</f>
        <v>80686</v>
      </c>
      <c r="E76" s="17" t="s">
        <v>419</v>
      </c>
      <c r="F76" s="53" t="s">
        <v>21</v>
      </c>
      <c r="G76" s="359"/>
      <c r="H76" s="361"/>
      <c r="I76" s="42"/>
      <c r="J76" s="1872"/>
      <c r="K76" s="2676" t="str">
        <f>IF(项目基本情况!K6="上海银行",IF(K75="",4,K75+1),"")</f>
        <v/>
      </c>
      <c r="L76" s="3658" t="str">
        <f>IF(项目基本情况!K6="上海银行","其他处置费用","")</f>
        <v/>
      </c>
      <c r="M76" s="3659"/>
      <c r="N76" s="1213" t="str">
        <f>IF(项目基本情况!K6="上海银行",N89,"")</f>
        <v/>
      </c>
      <c r="O76" s="3660" t="str">
        <f>IF(项目基本情况!K6="上海银行","包含处置中涉及的律师、诉讼、拍卖、评估等费用","")</f>
        <v/>
      </c>
      <c r="P76" s="3661"/>
      <c r="Q76" s="1865"/>
      <c r="R76" s="1865"/>
      <c r="S76" s="1865"/>
      <c r="T76" s="1865"/>
      <c r="U76" s="1865"/>
      <c r="V76" s="1865"/>
    </row>
    <row r="77" spans="1:22" ht="24.75" thickBot="1">
      <c r="A77" s="3645" t="s">
        <v>421</v>
      </c>
      <c r="B77" s="3646"/>
      <c r="C77" s="3646"/>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644">
        <f>IF(AND(K75="",K76=""),4,IF(项目基本情况!K6="上海银行",K76+1,K75+1))</f>
        <v>5</v>
      </c>
      <c r="L77" s="3643" t="s">
        <v>2597</v>
      </c>
      <c r="M77" s="2681" t="s">
        <v>417</v>
      </c>
      <c r="N77" s="1219"/>
      <c r="O77" s="1220">
        <f ca="1">SUMIF(N72:N76,"&lt;9e307")</f>
        <v>80757</v>
      </c>
      <c r="P77" s="1221"/>
      <c r="Q77" s="2679">
        <f ca="1">O77/N69</f>
        <v>0.57327730018669831</v>
      </c>
      <c r="R77" s="1865"/>
      <c r="S77" s="1865"/>
      <c r="T77" s="1865"/>
      <c r="U77" s="1865"/>
      <c r="V77" s="1865"/>
    </row>
    <row r="78" spans="1:22" ht="12" customHeight="1">
      <c r="A78" s="1222"/>
      <c r="B78" s="309"/>
      <c r="C78" s="309"/>
      <c r="D78" s="309"/>
      <c r="E78" s="42"/>
      <c r="F78" s="42"/>
      <c r="G78" s="42"/>
      <c r="H78" s="973"/>
      <c r="I78" s="309"/>
      <c r="J78" s="1872"/>
      <c r="K78" s="3644"/>
      <c r="L78" s="3643"/>
      <c r="M78" s="2681" t="s">
        <v>420</v>
      </c>
      <c r="N78" s="1219"/>
      <c r="O78" s="1220" t="str">
        <f ca="1">NUMBERSTRING(INT(O77*10000),2)&amp;"元整"</f>
        <v>捌亿零柒佰伍拾柒万元整</v>
      </c>
      <c r="P78" s="1221"/>
      <c r="Q78" s="1865"/>
      <c r="R78" s="1865"/>
      <c r="S78" s="1865"/>
      <c r="T78" s="1865"/>
      <c r="U78" s="1865"/>
      <c r="V78" s="1865"/>
    </row>
    <row r="79" spans="1:22" ht="13.5" thickBot="1">
      <c r="A79" s="3610" t="s">
        <v>422</v>
      </c>
      <c r="B79" s="3610"/>
      <c r="C79" s="3610"/>
      <c r="D79" s="3610"/>
      <c r="E79" s="3610"/>
      <c r="F79" s="42"/>
      <c r="G79" s="42"/>
      <c r="H79" s="973"/>
      <c r="I79" s="309"/>
      <c r="J79" s="1872"/>
      <c r="K79" s="3664">
        <f>K77+1</f>
        <v>6</v>
      </c>
      <c r="L79" s="3643" t="s">
        <v>2598</v>
      </c>
      <c r="M79" s="2681" t="s">
        <v>417</v>
      </c>
      <c r="N79" s="1219"/>
      <c r="O79" s="1220">
        <f ca="1">N69-O77</f>
        <v>60112</v>
      </c>
      <c r="P79" s="1221"/>
      <c r="Q79" s="1865"/>
      <c r="R79" s="1865"/>
      <c r="S79" s="1865"/>
      <c r="T79" s="1865"/>
      <c r="U79" s="1865"/>
      <c r="V79" s="1865"/>
    </row>
    <row r="80" spans="1:22" ht="25.5">
      <c r="A80" s="3611" t="s">
        <v>423</v>
      </c>
      <c r="B80" s="3612"/>
      <c r="C80" s="964"/>
      <c r="D80" s="964" t="s">
        <v>424</v>
      </c>
      <c r="E80" s="364" t="s">
        <v>425</v>
      </c>
      <c r="F80" s="42"/>
      <c r="G80" s="42"/>
      <c r="H80" s="973"/>
      <c r="I80" s="309"/>
      <c r="J80" s="1865"/>
      <c r="K80" s="3665"/>
      <c r="L80" s="3643"/>
      <c r="M80" s="2681" t="s">
        <v>420</v>
      </c>
      <c r="N80" s="1219"/>
      <c r="O80" s="1220" t="str">
        <f ca="1">NUMBERSTRING(INT(O79*10000),2)&amp;"元整"</f>
        <v>陆亿零壹佰壹拾贰万元整</v>
      </c>
      <c r="P80" s="1221"/>
      <c r="Q80" s="1865"/>
      <c r="R80" s="1865"/>
      <c r="S80" s="1865"/>
      <c r="T80" s="1865"/>
      <c r="U80" s="1865"/>
      <c r="V80" s="1865"/>
    </row>
    <row r="81" spans="1:26" ht="13.5" thickBot="1">
      <c r="A81" s="375" t="s">
        <v>1623</v>
      </c>
      <c r="B81" s="365" t="s">
        <v>426</v>
      </c>
      <c r="C81" s="366">
        <f ca="1">ROUND((C82+C83)/(1+'数据-取费表'!C42),0)</f>
        <v>135550</v>
      </c>
      <c r="D81" s="367"/>
      <c r="E81" s="368"/>
      <c r="F81" s="42"/>
      <c r="G81" s="42"/>
      <c r="H81" s="973"/>
      <c r="I81" s="309"/>
      <c r="J81" s="1865"/>
      <c r="K81" s="2676">
        <f>K79+1</f>
        <v>7</v>
      </c>
      <c r="L81" s="3641" t="s">
        <v>2599</v>
      </c>
      <c r="M81" s="3642"/>
      <c r="N81" s="1223"/>
      <c r="O81" s="1224">
        <f ca="1">ROUND(O79*10000/'数据-汇总表'!E3,0)</f>
        <v>6074</v>
      </c>
      <c r="P81" s="1225"/>
      <c r="Q81" s="1865"/>
      <c r="R81" s="1865"/>
      <c r="S81" s="1865"/>
      <c r="T81" s="1865"/>
      <c r="U81" s="1865"/>
      <c r="V81" s="1865"/>
    </row>
    <row r="82" spans="1:26" ht="13.5" thickTop="1">
      <c r="A82" s="369" t="s">
        <v>1624</v>
      </c>
      <c r="B82" s="370" t="s">
        <v>427</v>
      </c>
      <c r="C82" s="371">
        <f ca="1">D63</f>
        <v>142328</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57" t="s">
        <v>2587</v>
      </c>
      <c r="L83" s="2687" t="s">
        <v>2588</v>
      </c>
      <c r="M83" s="2677">
        <f ca="1">IF(N69&gt;10000,N69*0.5%,IF(AND(N69&gt;1000,N69&lt;=10000),N69*1%,IF(AND(N69&gt;100,N69&lt;=1000),N69*3%,IF(AND(N69&gt;10,N69&lt;=100),N69*5%,N69*8%))))</f>
        <v>704.34500000000003</v>
      </c>
      <c r="N83" s="53">
        <f ca="1">ROUND(M83,1)</f>
        <v>704.3</v>
      </c>
      <c r="O83" s="2680"/>
      <c r="P83" s="1865"/>
      <c r="Q83" s="1865"/>
      <c r="R83" s="1865"/>
      <c r="S83" s="1865"/>
      <c r="T83" s="1865"/>
      <c r="U83" s="1865"/>
      <c r="V83" s="1865"/>
    </row>
    <row r="84" spans="1:26" ht="12.75">
      <c r="A84" s="375" t="s">
        <v>1626</v>
      </c>
      <c r="B84" s="376" t="s">
        <v>429</v>
      </c>
      <c r="C84" s="377"/>
      <c r="D84" s="378" t="s">
        <v>19</v>
      </c>
      <c r="E84" s="2705" t="s">
        <v>2642</v>
      </c>
      <c r="F84" s="42"/>
      <c r="G84" s="42"/>
      <c r="H84" s="973"/>
      <c r="I84" s="309"/>
      <c r="J84" s="1865"/>
      <c r="K84" s="3657"/>
      <c r="L84" s="2687" t="s">
        <v>2589</v>
      </c>
      <c r="M84" s="2677">
        <f ca="1">IF(N69&gt;2000,N69*0.5%,IF(AND(N69&gt;1000,N69&lt;=2000),N69*0.6%,IF(AND(N69&gt;500,N69&lt;=1000),N69*0.7%,IF(AND(N69&gt;200,N69&lt;=500),N69*0.8%,IF(AND(N69&gt;100,N69&lt;=200),N69*0.9%,IF(AND(N69&gt;50,N69&lt;=100),N69*1%,IF(AND(N69&gt;20,N69&lt;=50),N69*1.5%,IF(AND(N69&gt;10,N69&lt;=20),N69*2%,IF(AND(N69&gt;1,N69&lt;=10),N69*2.5%)))))))))</f>
        <v>704.34500000000003</v>
      </c>
      <c r="N84" s="53">
        <f t="shared" ref="N84:N85" ca="1" si="2">ROUND(M84,1)</f>
        <v>704.3</v>
      </c>
      <c r="O84" s="1865" t="s">
        <v>2590</v>
      </c>
      <c r="P84" s="1865"/>
      <c r="Q84" s="1865"/>
      <c r="R84" s="1865"/>
      <c r="S84" s="1865"/>
      <c r="T84" s="1865"/>
      <c r="U84" s="1865"/>
      <c r="V84" s="1865"/>
    </row>
    <row r="85" spans="1:26" ht="12.75">
      <c r="A85" s="375" t="s">
        <v>1627</v>
      </c>
      <c r="B85" s="376" t="s">
        <v>430</v>
      </c>
      <c r="C85" s="379">
        <f ca="1">C81-C84</f>
        <v>135550</v>
      </c>
      <c r="D85" s="372" t="s">
        <v>19</v>
      </c>
      <c r="E85" s="373"/>
      <c r="F85" s="42"/>
      <c r="G85" s="42"/>
      <c r="H85" s="973"/>
      <c r="I85" s="309"/>
      <c r="J85" s="1865"/>
      <c r="K85" s="3657"/>
      <c r="L85" s="2687" t="s">
        <v>2591</v>
      </c>
      <c r="M85" s="2677">
        <f ca="1">IF(N69&gt;1000,N69*0.1%,IF(AND(N69&gt;500,N69&lt;=1000),N69*0.5%,IF(AND(N69&gt;50,N69&lt;=500),N69*1%,IF(AND(N69&gt;1,N69&lt;=50),N69*1.5%))))</f>
        <v>140.869</v>
      </c>
      <c r="N85" s="53">
        <f t="shared" ca="1" si="2"/>
        <v>140.9</v>
      </c>
      <c r="O85" s="1865" t="s">
        <v>2590</v>
      </c>
      <c r="P85" s="1865"/>
      <c r="Q85" s="1865"/>
      <c r="R85" s="1865"/>
      <c r="S85" s="1865"/>
      <c r="T85" s="1865"/>
      <c r="U85" s="1865"/>
      <c r="V85" s="1865"/>
    </row>
    <row r="86" spans="1:26" ht="13.5" thickBot="1">
      <c r="A86" s="380" t="s">
        <v>1628</v>
      </c>
      <c r="B86" s="381" t="s">
        <v>431</v>
      </c>
      <c r="C86" s="382">
        <f ca="1">IF(C85&lt;=0,0,ROUND(C85*D86,0))</f>
        <v>7455</v>
      </c>
      <c r="D86" s="383">
        <f>'数据-取费表'!B41</f>
        <v>5.5000000000000007E-2</v>
      </c>
      <c r="E86" s="384"/>
      <c r="F86" s="42"/>
      <c r="G86" s="42"/>
      <c r="H86" s="973"/>
      <c r="I86" s="309"/>
      <c r="J86" s="1865"/>
      <c r="K86" s="3657"/>
      <c r="L86" s="2687" t="s">
        <v>2592</v>
      </c>
      <c r="M86" s="2677">
        <f ca="1">N69*0.5%</f>
        <v>704.34500000000003</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57"/>
      <c r="L87" s="2687" t="s">
        <v>2594</v>
      </c>
      <c r="M87" s="2677">
        <f ca="1">IF(N69&gt;=10000,(8.25+(N69-10000)*0.01%),IF(AND(N69&gt;=8000,N69&lt;10000),(7.85+(N69-8000)*0.02%),IF(AND(N69&gt;=5000,N69&lt;8000),(6.65+(N69-5000)*0.04%),IF(AND(N69&gt;=2000,N69&lt;5000),(4.25+(PN69-2000)*0.08%),IF(AND(N69&gt;=1000,N69&lt;2000),(2.75+(N69-1000)*0.15%),IF(AND(N69&gt;=100,N69&lt;1000),(0.5+(N69-100)*0.25%),IF(AND(N69&gt;0,N69&lt;100),N69*0.5%)))))))</f>
        <v>21.3369</v>
      </c>
      <c r="N87" s="53">
        <f ca="1">ROUND(M87*0.9,1)</f>
        <v>19.2</v>
      </c>
      <c r="O87" s="2680"/>
      <c r="P87" s="1865"/>
      <c r="Q87" s="1865"/>
      <c r="R87" s="1865"/>
      <c r="S87" s="1865"/>
      <c r="T87" s="1865"/>
      <c r="U87" s="1865"/>
      <c r="V87" s="1865"/>
      <c r="W87" s="290"/>
      <c r="X87" s="290"/>
      <c r="Y87" s="290"/>
      <c r="Z87" s="290"/>
    </row>
    <row r="88" spans="1:26" s="1231" customFormat="1" ht="15" thickBot="1">
      <c r="A88" s="3636" t="s">
        <v>432</v>
      </c>
      <c r="B88" s="3637"/>
      <c r="C88" s="3637"/>
      <c r="D88" s="3637"/>
      <c r="E88" s="3637"/>
      <c r="F88" s="3637"/>
      <c r="G88" s="3637"/>
      <c r="H88" s="3637"/>
      <c r="I88" s="1232"/>
      <c r="J88" s="1873"/>
      <c r="K88" s="3657"/>
      <c r="L88" s="2687" t="s">
        <v>2595</v>
      </c>
      <c r="M88" s="2677">
        <f ca="1">IF(N69&gt;10000,N69*0.5%,IF(AND(N69&gt;5000,N69&lt;=10000),N69*1%,IF(AND(N69&gt;1000,N69&lt;=5000),N69*2%,IF(AND(N69&gt;200,N69&lt;=1000),N69*3%,N69*5%))))</f>
        <v>704.34500000000003</v>
      </c>
      <c r="N88" s="53">
        <f ca="1">ROUND(M88,1)</f>
        <v>704.3</v>
      </c>
      <c r="O88" s="2680"/>
      <c r="P88" s="1870"/>
      <c r="Q88" s="1870"/>
      <c r="R88" s="1870"/>
      <c r="S88" s="1870"/>
      <c r="T88" s="1870"/>
      <c r="U88" s="1870"/>
      <c r="V88" s="1870"/>
      <c r="W88" s="1874"/>
      <c r="X88" s="1874"/>
      <c r="Y88" s="1874"/>
      <c r="Z88" s="1874"/>
    </row>
    <row r="89" spans="1:26" s="1231" customFormat="1" ht="14.25">
      <c r="A89" s="3611" t="s">
        <v>423</v>
      </c>
      <c r="B89" s="3612"/>
      <c r="C89" s="964"/>
      <c r="D89" s="964" t="s">
        <v>424</v>
      </c>
      <c r="E89" s="385" t="s">
        <v>433</v>
      </c>
      <c r="F89" s="386"/>
      <c r="G89" s="386"/>
      <c r="H89" s="387"/>
      <c r="I89" s="1233"/>
      <c r="J89" s="1875"/>
      <c r="K89" s="3657"/>
      <c r="L89" s="2687" t="s">
        <v>27</v>
      </c>
      <c r="M89" s="2678"/>
      <c r="N89" s="53">
        <f ca="1">ROUND(SUM(N83:N88),0)</f>
        <v>2274</v>
      </c>
      <c r="O89" s="2688">
        <f ca="1">N89/N69</f>
        <v>1.614265736251411E-2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135550</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678</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593" t="s">
        <v>441</v>
      </c>
      <c r="F94" s="3592"/>
      <c r="G94" s="3592"/>
      <c r="H94" s="3635"/>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678</v>
      </c>
      <c r="D96" s="400">
        <f>'数据-取费表'!B43</f>
        <v>5.000000000000001E-3</v>
      </c>
      <c r="E96" s="3627" t="s">
        <v>2215</v>
      </c>
      <c r="F96" s="3628"/>
      <c r="G96" s="3628"/>
      <c r="H96" s="3629"/>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134872</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198.92625368731564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80686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36" t="s">
        <v>448</v>
      </c>
      <c r="B101" s="3637"/>
      <c r="C101" s="3637"/>
      <c r="D101" s="3637"/>
      <c r="E101" s="3637"/>
      <c r="F101" s="3637"/>
      <c r="G101" s="3637"/>
      <c r="H101" s="3637"/>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11" t="s">
        <v>423</v>
      </c>
      <c r="B102" s="3612"/>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135550</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678</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587" t="s">
        <v>2693</v>
      </c>
      <c r="H108" s="3588"/>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30" t="s">
        <v>456</v>
      </c>
      <c r="F109" s="3628"/>
      <c r="G109" s="3628"/>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30" t="s">
        <v>458</v>
      </c>
      <c r="F110" s="3628"/>
      <c r="G110" s="3628"/>
      <c r="H110" s="3629"/>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678</v>
      </c>
      <c r="D111" s="400">
        <f>'数据-取费表'!B43</f>
        <v>5.000000000000001E-3</v>
      </c>
      <c r="E111" s="3627" t="s">
        <v>2215</v>
      </c>
      <c r="F111" s="3628"/>
      <c r="G111" s="3628"/>
      <c r="H111" s="3629"/>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30" t="s">
        <v>2234</v>
      </c>
      <c r="F112" s="3628"/>
      <c r="G112" s="3628"/>
      <c r="H112" s="3629"/>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134872</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198.92625368731564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80686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40621</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2031</v>
      </c>
      <c r="D14" s="444"/>
      <c r="E14" s="363"/>
      <c r="F14" s="446">
        <f>'数据-取费表'!B33</f>
        <v>0.05</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3033</v>
      </c>
      <c r="D15" s="444"/>
      <c r="E15" s="363"/>
      <c r="F15" s="446">
        <f>'数据-取费表'!B34</f>
        <v>0.1</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1979</v>
      </c>
      <c r="D16" s="444">
        <f ca="1">IF(B1="",'数据-汇总表'!E3,INDIRECT("'数据-取费表'!K"&amp;$K$1)+INDIRECT("'数据-取费表'!S"&amp;$K$1))</f>
        <v>98965.430000000008</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609</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48273</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965</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2068</v>
      </c>
      <c r="D20" s="455">
        <f ca="1">ROUND(((1+F20)^'数据-取费表'!B20)-1,4)</f>
        <v>8.5800000000000001E-2</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1">
        <f ca="1">ROUND((C18+C19)*F21,0)</f>
        <v>7878</v>
      </c>
      <c r="D21" s="3195"/>
      <c r="E21" s="455"/>
      <c r="F21" s="472">
        <f ca="1">IF(B1="",'数据-取费表'!Q16,INDIRECT("'数据-取费表'!q"&amp;$K$1))</f>
        <v>0.16</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69" t="s">
        <v>1665</v>
      </c>
      <c r="B24" s="3670"/>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69" t="s">
        <v>2738</v>
      </c>
      <c r="B25" s="3670"/>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69" t="s">
        <v>2739</v>
      </c>
      <c r="B26" s="3670"/>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71" t="s">
        <v>2737</v>
      </c>
      <c r="B27" s="3672"/>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5" zoomScale="60" zoomScaleNormal="95" workbookViewId="0">
      <selection activeCell="N32" sqref="N3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133447</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13484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41321</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2755</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80" t="s">
        <v>505</v>
      </c>
      <c r="D6" s="3681"/>
      <c r="E6" s="3680" t="s">
        <v>506</v>
      </c>
      <c r="F6" s="3681"/>
      <c r="G6" s="3680" t="s">
        <v>507</v>
      </c>
      <c r="H6" s="3681"/>
      <c r="I6" s="3680" t="s">
        <v>508</v>
      </c>
      <c r="J6" s="3681"/>
      <c r="K6" s="491" t="s">
        <v>509</v>
      </c>
      <c r="L6" s="1969"/>
      <c r="M6" s="1968"/>
      <c r="N6" s="1968"/>
      <c r="O6" s="1970"/>
      <c r="P6" s="3682" t="s">
        <v>510</v>
      </c>
      <c r="Q6" s="3683"/>
      <c r="R6" s="3688" t="s">
        <v>506</v>
      </c>
      <c r="S6" s="3689"/>
      <c r="T6" s="3688" t="s">
        <v>507</v>
      </c>
      <c r="U6" s="3689"/>
      <c r="V6" s="3675" t="s">
        <v>508</v>
      </c>
      <c r="W6" s="3675"/>
      <c r="X6" s="1457"/>
      <c r="Y6" s="3688" t="s">
        <v>510</v>
      </c>
      <c r="Z6" s="3689"/>
      <c r="AA6" s="3677" t="s">
        <v>506</v>
      </c>
      <c r="AB6" s="3678" t="s">
        <v>507</v>
      </c>
      <c r="AC6" s="3677" t="s">
        <v>508</v>
      </c>
    </row>
    <row r="7" spans="1:30" ht="20.25">
      <c r="A7" s="492"/>
      <c r="B7" s="493"/>
      <c r="C7" s="3696" t="s">
        <v>2631</v>
      </c>
      <c r="D7" s="3697"/>
      <c r="E7" s="3696" t="str">
        <f>土地案例!$A$17</f>
        <v>北京市通州区台湖镇亦庄新城站前区YZ00-0401-0056、YZ00-0401-L0055-02地块R2二类居住用地、A334托幼用地</v>
      </c>
      <c r="F7" s="3697"/>
      <c r="G7" s="3696" t="str">
        <f>土地案例!$A$18</f>
        <v>北京市通州区马驹桥镇亦庄新城0500街区YZ00-0500-6007等地块R2二类居住用地、A334托幼用地</v>
      </c>
      <c r="H7" s="3697"/>
      <c r="I7" s="3696" t="str">
        <f>土地案例!$A$20</f>
        <v>北京市通州区马驹桥镇国家环保产业园区YZ00-0703-6004、6005、6006地块R2二类居住用地及A33基础教育用地</v>
      </c>
      <c r="J7" s="3697"/>
      <c r="K7" s="491"/>
      <c r="L7" s="1969"/>
      <c r="M7" s="1968"/>
      <c r="N7" s="1968"/>
      <c r="O7" s="1970"/>
      <c r="P7" s="3684"/>
      <c r="Q7" s="3685"/>
      <c r="R7" s="3690"/>
      <c r="S7" s="3691"/>
      <c r="T7" s="3690"/>
      <c r="U7" s="3691"/>
      <c r="V7" s="3675"/>
      <c r="W7" s="3675"/>
      <c r="X7" s="1457"/>
      <c r="Y7" s="3690"/>
      <c r="Z7" s="3691"/>
      <c r="AA7" s="3678"/>
      <c r="AB7" s="3678"/>
      <c r="AC7" s="3678"/>
    </row>
    <row r="8" spans="1:30" ht="21" thickBot="1">
      <c r="A8" s="492"/>
      <c r="B8" s="493"/>
      <c r="C8" s="3698" t="s">
        <v>2635</v>
      </c>
      <c r="D8" s="3699"/>
      <c r="E8" s="3698" t="s">
        <v>2635</v>
      </c>
      <c r="F8" s="3699"/>
      <c r="G8" s="3694" t="s">
        <v>2635</v>
      </c>
      <c r="H8" s="3695"/>
      <c r="I8" s="3694" t="s">
        <v>2635</v>
      </c>
      <c r="J8" s="3695"/>
      <c r="K8" s="491" t="s">
        <v>511</v>
      </c>
      <c r="L8" s="1969"/>
      <c r="M8" s="1968"/>
      <c r="N8" s="1968"/>
      <c r="O8" s="1970"/>
      <c r="P8" s="3686"/>
      <c r="Q8" s="3687"/>
      <c r="R8" s="3690"/>
      <c r="S8" s="3691"/>
      <c r="T8" s="3692"/>
      <c r="U8" s="3693"/>
      <c r="V8" s="3675"/>
      <c r="W8" s="3675"/>
      <c r="X8" s="1457"/>
      <c r="Y8" s="3692"/>
      <c r="Z8" s="3693"/>
      <c r="AA8" s="3679"/>
      <c r="AB8" s="3679"/>
      <c r="AC8" s="3679"/>
    </row>
    <row r="9" spans="1:30" s="1166" customFormat="1" ht="21" thickBot="1">
      <c r="A9" s="2551"/>
      <c r="B9" s="2558" t="s">
        <v>512</v>
      </c>
      <c r="C9" s="2550">
        <f>'数据-取费表'!B2</f>
        <v>44756</v>
      </c>
      <c r="D9" s="497">
        <v>100</v>
      </c>
      <c r="E9" s="498">
        <f>土地案例!$L$17</f>
        <v>43879.000497685185</v>
      </c>
      <c r="F9" s="499">
        <f>SUMIF(71:71,YEAR(E9)&amp;"-"&amp;INT((MONTH(E9)+2)/3),72:72)</f>
        <v>95</v>
      </c>
      <c r="G9" s="500">
        <f>土地案例!$L$18</f>
        <v>43872.000497685185</v>
      </c>
      <c r="H9" s="497">
        <f>SUMIF(71:71,YEAR(G9)&amp;"-"&amp;INT((MONTH(G9)+2)/3),72:72)</f>
        <v>95</v>
      </c>
      <c r="I9" s="500">
        <f>土地案例!$L$20</f>
        <v>43753.000497685185</v>
      </c>
      <c r="J9" s="497">
        <f>SUMIF(71:71,YEAR(I9)&amp;"-"&amp;INT((MONTH(I9)+2)/3),72:72)</f>
        <v>94.5</v>
      </c>
      <c r="K9" s="501"/>
      <c r="L9" s="1971"/>
      <c r="M9" s="1968"/>
      <c r="N9" s="1968"/>
      <c r="O9" s="1972"/>
      <c r="P9" s="3704" t="s">
        <v>513</v>
      </c>
      <c r="Q9" s="3706"/>
      <c r="R9" s="1458" t="s">
        <v>8</v>
      </c>
      <c r="S9" s="1459">
        <f t="shared" ref="S9:S17" si="0">F9</f>
        <v>95</v>
      </c>
      <c r="T9" s="1458" t="s">
        <v>8</v>
      </c>
      <c r="U9" s="1459">
        <f t="shared" ref="U9:U17" si="1">H9</f>
        <v>95</v>
      </c>
      <c r="V9" s="1458" t="s">
        <v>8</v>
      </c>
      <c r="W9" s="1459">
        <f t="shared" ref="W9:W17" si="2">J9</f>
        <v>94.5</v>
      </c>
      <c r="X9" s="1460"/>
      <c r="Y9" s="3704" t="s">
        <v>513</v>
      </c>
      <c r="Z9" s="3705"/>
      <c r="AA9" s="1461">
        <f>D9/F9</f>
        <v>1.0526315789473684</v>
      </c>
      <c r="AB9" s="1461">
        <f>D9/H9</f>
        <v>1.0526315789473684</v>
      </c>
      <c r="AC9" s="1461">
        <f>D9/J9</f>
        <v>1.0582010582010581</v>
      </c>
    </row>
    <row r="10" spans="1:30" s="1166" customFormat="1" ht="21" thickBot="1">
      <c r="A10" s="2552"/>
      <c r="B10" s="2559" t="s">
        <v>514</v>
      </c>
      <c r="C10" s="828" t="s">
        <v>515</v>
      </c>
      <c r="D10" s="497">
        <v>100</v>
      </c>
      <c r="E10" s="3458" t="s">
        <v>3280</v>
      </c>
      <c r="F10" s="499">
        <f>SUMIF(74:74,E10,75:75)-SUMIF(74:74,C10,75:75)+100</f>
        <v>100</v>
      </c>
      <c r="G10" s="3458" t="s">
        <v>3280</v>
      </c>
      <c r="H10" s="497">
        <f>SUMIF(74:74,G10,75:75)-SUMIF(74:74,C10,75:75)+100</f>
        <v>100</v>
      </c>
      <c r="I10" s="3458" t="s">
        <v>3280</v>
      </c>
      <c r="J10" s="497">
        <f>SUMIF(74:74,I10,75:75)-SUMIF(74:74,C10,75:75)+100</f>
        <v>100</v>
      </c>
      <c r="K10" s="501"/>
      <c r="L10" s="1971"/>
      <c r="M10" s="1968"/>
      <c r="N10" s="1968"/>
      <c r="O10" s="1972"/>
      <c r="P10" s="3704" t="s">
        <v>516</v>
      </c>
      <c r="Q10" s="3705"/>
      <c r="R10" s="1458" t="s">
        <v>8</v>
      </c>
      <c r="S10" s="1459">
        <f t="shared" si="0"/>
        <v>100</v>
      </c>
      <c r="T10" s="1458" t="s">
        <v>8</v>
      </c>
      <c r="U10" s="1459">
        <f t="shared" si="1"/>
        <v>100</v>
      </c>
      <c r="V10" s="1458" t="s">
        <v>8</v>
      </c>
      <c r="W10" s="1459">
        <f t="shared" si="2"/>
        <v>100</v>
      </c>
      <c r="X10" s="1460"/>
      <c r="Y10" s="3704" t="s">
        <v>516</v>
      </c>
      <c r="Z10" s="3705"/>
      <c r="AA10" s="1461">
        <f t="shared" ref="AA10:AA47" si="3">D10/F10</f>
        <v>1</v>
      </c>
      <c r="AB10" s="1461">
        <f t="shared" ref="AB10:AB47" si="4">D10/H10</f>
        <v>1</v>
      </c>
      <c r="AC10" s="1461">
        <f t="shared" ref="AC10:AC47" si="5">D10/J10</f>
        <v>1</v>
      </c>
    </row>
    <row r="11" spans="1:30" s="1166" customFormat="1" ht="20.25">
      <c r="A11" s="2553"/>
      <c r="B11" s="2560" t="s">
        <v>2473</v>
      </c>
      <c r="C11" s="2547"/>
      <c r="D11" s="252">
        <v>100</v>
      </c>
      <c r="E11" s="503"/>
      <c r="F11" s="252">
        <f>SUMIF(76:76,E11,77:77)-SUMIF(76:76,C11,77:77)+100</f>
        <v>100</v>
      </c>
      <c r="G11" s="503"/>
      <c r="H11" s="252">
        <f>SUMIF(76:76,G11,77:77)-SUMIF(76:76,C11,77:77)+100</f>
        <v>100</v>
      </c>
      <c r="I11" s="503"/>
      <c r="J11" s="252">
        <f>SUMIF(76:76,I11,77:77)-SUMIF(76:76,C11,77:77)+100</f>
        <v>100</v>
      </c>
      <c r="K11" s="501"/>
      <c r="L11" s="1971"/>
      <c r="M11" s="1968"/>
      <c r="N11" s="1968"/>
      <c r="O11" s="1973"/>
      <c r="P11" s="3674" t="s">
        <v>518</v>
      </c>
      <c r="Q11" s="1097" t="str">
        <f t="shared" ref="Q11:Q17" si="6">B11</f>
        <v>用途</v>
      </c>
      <c r="R11" s="1458" t="s">
        <v>8</v>
      </c>
      <c r="S11" s="1459">
        <f t="shared" si="0"/>
        <v>100</v>
      </c>
      <c r="T11" s="1458" t="s">
        <v>8</v>
      </c>
      <c r="U11" s="1459">
        <f t="shared" si="1"/>
        <v>100</v>
      </c>
      <c r="V11" s="1458" t="s">
        <v>8</v>
      </c>
      <c r="W11" s="1459">
        <f t="shared" si="2"/>
        <v>100</v>
      </c>
      <c r="X11" s="1460"/>
      <c r="Y11" s="3618" t="s">
        <v>519</v>
      </c>
      <c r="Z11" s="1096" t="str">
        <f t="shared" ref="Z11:Z17" si="7">Q11</f>
        <v>用途</v>
      </c>
      <c r="AA11" s="1461">
        <f t="shared" si="3"/>
        <v>1</v>
      </c>
      <c r="AB11" s="1461">
        <f t="shared" si="4"/>
        <v>1</v>
      </c>
      <c r="AC11" s="1461">
        <f t="shared" si="5"/>
        <v>1</v>
      </c>
    </row>
    <row r="12" spans="1:30" s="1247" customFormat="1" ht="27">
      <c r="A12" s="2554"/>
      <c r="B12" s="2559" t="s">
        <v>2474</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74"/>
      <c r="Q12" s="1097" t="str">
        <f t="shared" si="6"/>
        <v>土地使用年限（年）</v>
      </c>
      <c r="R12" s="1458" t="s">
        <v>8</v>
      </c>
      <c r="S12" s="1459">
        <f t="shared" si="0"/>
        <v>100</v>
      </c>
      <c r="T12" s="1458" t="s">
        <v>8</v>
      </c>
      <c r="U12" s="1459">
        <f t="shared" si="1"/>
        <v>100</v>
      </c>
      <c r="V12" s="1458" t="s">
        <v>8</v>
      </c>
      <c r="W12" s="1459">
        <f t="shared" si="2"/>
        <v>100</v>
      </c>
      <c r="X12" s="1460"/>
      <c r="Y12" s="3618"/>
      <c r="Z12" s="1096" t="str">
        <f t="shared" si="7"/>
        <v>土地使用年限（年）</v>
      </c>
      <c r="AA12" s="1461">
        <f t="shared" si="3"/>
        <v>1</v>
      </c>
      <c r="AB12" s="1461">
        <f t="shared" si="4"/>
        <v>1</v>
      </c>
      <c r="AC12" s="1461">
        <f t="shared" si="5"/>
        <v>1</v>
      </c>
    </row>
    <row r="13" spans="1:30" ht="20.25">
      <c r="A13" s="2555"/>
      <c r="B13" s="2559" t="s">
        <v>2475</v>
      </c>
      <c r="C13" s="511">
        <v>2</v>
      </c>
      <c r="D13" s="253">
        <v>100</v>
      </c>
      <c r="E13" s="510">
        <v>2</v>
      </c>
      <c r="F13" s="253">
        <f>LOOKUP(E13,81:81,82:82)-LOOKUP(C13,81:81,82:82)+100</f>
        <v>100</v>
      </c>
      <c r="G13" s="511">
        <v>2.4</v>
      </c>
      <c r="H13" s="253">
        <f>LOOKUP(G13,81:81,82:82)-LOOKUP(C13,81:81,82:82)+100</f>
        <v>100</v>
      </c>
      <c r="I13" s="510">
        <v>2.2000000000000002</v>
      </c>
      <c r="J13" s="253">
        <f>LOOKUP(I13,81:81,82:82)-LOOKUP(C13,81:81,82:82)+100</f>
        <v>100</v>
      </c>
      <c r="K13" s="512">
        <v>2</v>
      </c>
      <c r="L13" s="1976"/>
      <c r="M13" s="1968"/>
      <c r="N13" s="1968"/>
      <c r="O13" s="1977"/>
      <c r="P13" s="3674"/>
      <c r="Q13" s="1097" t="str">
        <f t="shared" si="6"/>
        <v>容积率</v>
      </c>
      <c r="R13" s="1458" t="s">
        <v>8</v>
      </c>
      <c r="S13" s="1459">
        <f t="shared" si="0"/>
        <v>100</v>
      </c>
      <c r="T13" s="1458" t="s">
        <v>8</v>
      </c>
      <c r="U13" s="1459">
        <f t="shared" si="1"/>
        <v>100</v>
      </c>
      <c r="V13" s="1458" t="s">
        <v>8</v>
      </c>
      <c r="W13" s="1459">
        <f t="shared" si="2"/>
        <v>100</v>
      </c>
      <c r="X13" s="1460"/>
      <c r="Y13" s="3618"/>
      <c r="Z13" s="1096" t="str">
        <f t="shared" si="7"/>
        <v>容积率</v>
      </c>
      <c r="AA13" s="1461">
        <f t="shared" si="3"/>
        <v>1</v>
      </c>
      <c r="AB13" s="1461">
        <f t="shared" si="4"/>
        <v>1</v>
      </c>
      <c r="AC13" s="1461">
        <f t="shared" si="5"/>
        <v>1</v>
      </c>
    </row>
    <row r="14" spans="1:30" s="1166" customFormat="1" ht="20.25">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74"/>
      <c r="Q14" s="1097" t="str">
        <f t="shared" si="6"/>
        <v>配建</v>
      </c>
      <c r="R14" s="1458" t="s">
        <v>8</v>
      </c>
      <c r="S14" s="1459">
        <f t="shared" si="0"/>
        <v>100</v>
      </c>
      <c r="T14" s="1458" t="s">
        <v>8</v>
      </c>
      <c r="U14" s="1459">
        <f t="shared" si="1"/>
        <v>100</v>
      </c>
      <c r="V14" s="1458" t="s">
        <v>8</v>
      </c>
      <c r="W14" s="1459">
        <f t="shared" si="2"/>
        <v>100</v>
      </c>
      <c r="X14" s="1460"/>
      <c r="Y14" s="3618"/>
      <c r="Z14" s="1096" t="str">
        <f t="shared" si="7"/>
        <v>配建</v>
      </c>
      <c r="AA14" s="1461">
        <f>D14/F14</f>
        <v>1</v>
      </c>
      <c r="AB14" s="1461">
        <f>D14/H14</f>
        <v>1</v>
      </c>
      <c r="AC14" s="1461">
        <f>D14/J14</f>
        <v>1</v>
      </c>
    </row>
    <row r="15" spans="1:30" ht="20.25">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74"/>
      <c r="Q15" s="1097">
        <f t="shared" si="6"/>
        <v>111</v>
      </c>
      <c r="R15" s="1458" t="s">
        <v>8</v>
      </c>
      <c r="S15" s="1459">
        <f t="shared" si="0"/>
        <v>100</v>
      </c>
      <c r="T15" s="1458" t="s">
        <v>8</v>
      </c>
      <c r="U15" s="1459">
        <f t="shared" si="1"/>
        <v>100</v>
      </c>
      <c r="V15" s="1458" t="s">
        <v>8</v>
      </c>
      <c r="W15" s="1459">
        <f t="shared" si="2"/>
        <v>100</v>
      </c>
      <c r="X15" s="1460"/>
      <c r="Y15" s="3618"/>
      <c r="Z15" s="1096">
        <f t="shared" si="7"/>
        <v>111</v>
      </c>
      <c r="AA15" s="1461">
        <f>D15/F15</f>
        <v>1</v>
      </c>
      <c r="AB15" s="1461">
        <f>D15/H15</f>
        <v>1</v>
      </c>
      <c r="AC15" s="1461">
        <f>D15/J15</f>
        <v>1</v>
      </c>
    </row>
    <row r="16" spans="1:30" ht="2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74"/>
      <c r="Q16" s="1097">
        <f t="shared" si="6"/>
        <v>111</v>
      </c>
      <c r="R16" s="1458" t="s">
        <v>8</v>
      </c>
      <c r="S16" s="1459">
        <f t="shared" si="0"/>
        <v>100</v>
      </c>
      <c r="T16" s="1458" t="s">
        <v>8</v>
      </c>
      <c r="U16" s="1459">
        <f t="shared" si="1"/>
        <v>100</v>
      </c>
      <c r="V16" s="1458" t="s">
        <v>8</v>
      </c>
      <c r="W16" s="1459">
        <f t="shared" si="2"/>
        <v>100</v>
      </c>
      <c r="X16" s="1460"/>
      <c r="Y16" s="3618"/>
      <c r="Z16" s="1096">
        <f t="shared" si="7"/>
        <v>111</v>
      </c>
      <c r="AA16" s="1461">
        <f>D16/F16</f>
        <v>1</v>
      </c>
      <c r="AB16" s="1461">
        <f>D16/H16</f>
        <v>1</v>
      </c>
      <c r="AC16" s="1461">
        <f>D16/J16</f>
        <v>1</v>
      </c>
    </row>
    <row r="17" spans="1:29" ht="99.75">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105</v>
      </c>
      <c r="G17" s="527"/>
      <c r="H17" s="526">
        <f>SUMIF(89:89,G18,90:90)-SUMIF(89:89,C18,90:90)+100</f>
        <v>100</v>
      </c>
      <c r="I17" s="529"/>
      <c r="J17" s="526">
        <f>SUMIF(89:89,I18,90:90)-SUMIF(89:89,C18,90:90)+100</f>
        <v>100</v>
      </c>
      <c r="K17" s="512">
        <v>5</v>
      </c>
      <c r="L17" s="1978"/>
      <c r="M17" s="1968"/>
      <c r="N17" s="1968"/>
      <c r="O17" s="1977"/>
      <c r="P17" s="3707" t="s">
        <v>523</v>
      </c>
      <c r="Q17" s="1462" t="str">
        <f t="shared" si="6"/>
        <v>居住社区成熟度</v>
      </c>
      <c r="R17" s="1463" t="s">
        <v>8</v>
      </c>
      <c r="S17" s="1464">
        <f t="shared" si="0"/>
        <v>105</v>
      </c>
      <c r="T17" s="1463" t="s">
        <v>8</v>
      </c>
      <c r="U17" s="1464">
        <f t="shared" si="1"/>
        <v>100</v>
      </c>
      <c r="V17" s="1463" t="s">
        <v>8</v>
      </c>
      <c r="W17" s="1464">
        <f t="shared" si="2"/>
        <v>100</v>
      </c>
      <c r="X17" s="1457"/>
      <c r="Y17" s="3707" t="s">
        <v>523</v>
      </c>
      <c r="Z17" s="1465" t="str">
        <f t="shared" si="7"/>
        <v>居住社区成熟度</v>
      </c>
      <c r="AA17" s="1466">
        <f t="shared" si="3"/>
        <v>0.95238095238095233</v>
      </c>
      <c r="AB17" s="1466">
        <f t="shared" si="4"/>
        <v>1</v>
      </c>
      <c r="AC17" s="1466">
        <f t="shared" si="5"/>
        <v>1</v>
      </c>
    </row>
    <row r="18" spans="1:29" ht="20.25">
      <c r="A18" s="509"/>
      <c r="B18" s="530"/>
      <c r="C18" s="531" t="s">
        <v>3281</v>
      </c>
      <c r="D18" s="534"/>
      <c r="E18" s="3459" t="s">
        <v>3284</v>
      </c>
      <c r="F18" s="532"/>
      <c r="G18" s="3460" t="s">
        <v>3283</v>
      </c>
      <c r="H18" s="536"/>
      <c r="I18" s="3459" t="s">
        <v>3282</v>
      </c>
      <c r="J18" s="532"/>
      <c r="K18" s="508"/>
      <c r="L18" s="1978"/>
      <c r="M18" s="1968"/>
      <c r="N18" s="1968"/>
      <c r="O18" s="1977"/>
      <c r="P18" s="3708"/>
      <c r="Q18" s="1462"/>
      <c r="R18" s="1463"/>
      <c r="S18" s="1464"/>
      <c r="T18" s="1463"/>
      <c r="U18" s="1464"/>
      <c r="V18" s="1463"/>
      <c r="W18" s="1464"/>
      <c r="X18" s="1457"/>
      <c r="Y18" s="3708"/>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08"/>
      <c r="Q19" s="1462" t="str">
        <f>B19</f>
        <v>商业繁华度</v>
      </c>
      <c r="R19" s="1463" t="s">
        <v>8</v>
      </c>
      <c r="S19" s="1464">
        <f>F19</f>
        <v>100</v>
      </c>
      <c r="T19" s="1463" t="s">
        <v>8</v>
      </c>
      <c r="U19" s="1464">
        <f>H19</f>
        <v>100</v>
      </c>
      <c r="V19" s="1463" t="s">
        <v>8</v>
      </c>
      <c r="W19" s="1464">
        <f>J19</f>
        <v>100</v>
      </c>
      <c r="X19" s="1457"/>
      <c r="Y19" s="3708"/>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08"/>
      <c r="Q20" s="1462"/>
      <c r="R20" s="1463"/>
      <c r="S20" s="1464"/>
      <c r="T20" s="1463"/>
      <c r="U20" s="1464"/>
      <c r="V20" s="1463"/>
      <c r="W20" s="1464"/>
      <c r="X20" s="1457"/>
      <c r="Y20" s="3708"/>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08"/>
      <c r="Q21" s="1462" t="str">
        <f>B21</f>
        <v>办公集聚程度</v>
      </c>
      <c r="R21" s="1463" t="s">
        <v>8</v>
      </c>
      <c r="S21" s="1464">
        <f>F21</f>
        <v>100</v>
      </c>
      <c r="T21" s="1463" t="s">
        <v>8</v>
      </c>
      <c r="U21" s="1464">
        <f>H21</f>
        <v>100</v>
      </c>
      <c r="V21" s="1463" t="s">
        <v>8</v>
      </c>
      <c r="W21" s="1464">
        <f>J21</f>
        <v>100</v>
      </c>
      <c r="X21" s="1457"/>
      <c r="Y21" s="3708"/>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08"/>
      <c r="Q22" s="1462"/>
      <c r="R22" s="1463"/>
      <c r="S22" s="1464"/>
      <c r="T22" s="1463"/>
      <c r="U22" s="1464"/>
      <c r="V22" s="1463"/>
      <c r="W22" s="1464"/>
      <c r="X22" s="1457"/>
      <c r="Y22" s="3708"/>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95</v>
      </c>
      <c r="I23" s="541"/>
      <c r="J23" s="536">
        <f>SUMIF(95:95,I24,96:96)-SUMIF(95:95,C24,96:96)+100</f>
        <v>95</v>
      </c>
      <c r="K23" s="512">
        <v>5</v>
      </c>
      <c r="L23" s="1978"/>
      <c r="M23" s="1968"/>
      <c r="N23" s="1968"/>
      <c r="O23" s="1977"/>
      <c r="P23" s="3708"/>
      <c r="Q23" s="1462" t="str">
        <f>B23</f>
        <v>交通便捷度</v>
      </c>
      <c r="R23" s="1463" t="s">
        <v>8</v>
      </c>
      <c r="S23" s="1464">
        <f>F23</f>
        <v>100</v>
      </c>
      <c r="T23" s="1463" t="s">
        <v>8</v>
      </c>
      <c r="U23" s="1464">
        <f>H23</f>
        <v>95</v>
      </c>
      <c r="V23" s="1463" t="s">
        <v>8</v>
      </c>
      <c r="W23" s="1464">
        <f>J23</f>
        <v>95</v>
      </c>
      <c r="X23" s="1457"/>
      <c r="Y23" s="3708"/>
      <c r="Z23" s="1465" t="str">
        <f>Q23</f>
        <v>交通便捷度</v>
      </c>
      <c r="AA23" s="1466">
        <f t="shared" si="3"/>
        <v>1</v>
      </c>
      <c r="AB23" s="1466">
        <f t="shared" si="4"/>
        <v>1.0526315789473684</v>
      </c>
      <c r="AC23" s="1466">
        <f t="shared" si="5"/>
        <v>1.0526315789473684</v>
      </c>
    </row>
    <row r="24" spans="1:29" ht="20.25">
      <c r="A24" s="509"/>
      <c r="B24" s="555"/>
      <c r="C24" s="3461" t="s">
        <v>3285</v>
      </c>
      <c r="D24" s="534"/>
      <c r="E24" s="3459" t="s">
        <v>3284</v>
      </c>
      <c r="F24" s="532"/>
      <c r="G24" s="3460" t="s">
        <v>3282</v>
      </c>
      <c r="H24" s="532"/>
      <c r="I24" s="3459" t="s">
        <v>3282</v>
      </c>
      <c r="J24" s="532"/>
      <c r="K24" s="508"/>
      <c r="L24" s="1978"/>
      <c r="M24" s="1968"/>
      <c r="N24" s="1968"/>
      <c r="O24" s="1977"/>
      <c r="P24" s="3708"/>
      <c r="Q24" s="1462"/>
      <c r="R24" s="1463"/>
      <c r="S24" s="1464"/>
      <c r="T24" s="1463"/>
      <c r="U24" s="1464"/>
      <c r="V24" s="1463"/>
      <c r="W24" s="1464"/>
      <c r="X24" s="1457"/>
      <c r="Y24" s="3708"/>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5</v>
      </c>
      <c r="L25" s="1978"/>
      <c r="M25" s="1968"/>
      <c r="N25" s="1968"/>
      <c r="O25" s="1977"/>
      <c r="P25" s="3708"/>
      <c r="Q25" s="1462" t="str">
        <f t="shared" ref="Q25:Q39" si="8">B25</f>
        <v>区域土地利用方向</v>
      </c>
      <c r="R25" s="1463" t="s">
        <v>8</v>
      </c>
      <c r="S25" s="1464">
        <f>F25</f>
        <v>100</v>
      </c>
      <c r="T25" s="1463" t="s">
        <v>8</v>
      </c>
      <c r="U25" s="1464">
        <f>H25</f>
        <v>100</v>
      </c>
      <c r="V25" s="1463" t="s">
        <v>8</v>
      </c>
      <c r="W25" s="1464">
        <f>J25</f>
        <v>100</v>
      </c>
      <c r="X25" s="1457"/>
      <c r="Y25" s="3708"/>
      <c r="Z25" s="1465" t="str">
        <f>Q25</f>
        <v>区域土地利用方向</v>
      </c>
      <c r="AA25" s="1466">
        <f t="shared" si="3"/>
        <v>1</v>
      </c>
      <c r="AB25" s="1466">
        <f t="shared" si="4"/>
        <v>1</v>
      </c>
      <c r="AC25" s="1466">
        <f t="shared" si="5"/>
        <v>1</v>
      </c>
    </row>
    <row r="26" spans="1:29" ht="20.25">
      <c r="A26" s="492"/>
      <c r="B26" s="976"/>
      <c r="C26" s="3461" t="s">
        <v>3285</v>
      </c>
      <c r="D26" s="534"/>
      <c r="E26" s="3459" t="s">
        <v>3286</v>
      </c>
      <c r="F26" s="532"/>
      <c r="G26" s="3460" t="s">
        <v>3285</v>
      </c>
      <c r="H26" s="532"/>
      <c r="I26" s="3459" t="s">
        <v>3285</v>
      </c>
      <c r="J26" s="532"/>
      <c r="K26" s="508"/>
      <c r="L26" s="1978"/>
      <c r="M26" s="1968"/>
      <c r="N26" s="1968"/>
      <c r="O26" s="1977"/>
      <c r="P26" s="3708"/>
      <c r="Q26" s="1462"/>
      <c r="R26" s="1463"/>
      <c r="S26" s="1464"/>
      <c r="T26" s="1463"/>
      <c r="U26" s="1464"/>
      <c r="V26" s="1463"/>
      <c r="W26" s="1464"/>
      <c r="X26" s="1457"/>
      <c r="Y26" s="3708"/>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5</v>
      </c>
      <c r="L27" s="1978"/>
      <c r="M27" s="1968"/>
      <c r="N27" s="1968"/>
      <c r="O27" s="1977"/>
      <c r="P27" s="3708"/>
      <c r="Q27" s="1462" t="str">
        <f t="shared" si="8"/>
        <v>自然及人文环境状况</v>
      </c>
      <c r="R27" s="1463" t="s">
        <v>8</v>
      </c>
      <c r="S27" s="1464">
        <f>F27</f>
        <v>100</v>
      </c>
      <c r="T27" s="1463" t="s">
        <v>8</v>
      </c>
      <c r="U27" s="1464">
        <f>H27</f>
        <v>100</v>
      </c>
      <c r="V27" s="1463" t="s">
        <v>8</v>
      </c>
      <c r="W27" s="1464">
        <f>J27</f>
        <v>100</v>
      </c>
      <c r="X27" s="1457"/>
      <c r="Y27" s="3708"/>
      <c r="Z27" s="1465" t="str">
        <f>Q27</f>
        <v>自然及人文环境状况</v>
      </c>
      <c r="AA27" s="1466">
        <f t="shared" si="3"/>
        <v>1</v>
      </c>
      <c r="AB27" s="1466">
        <f t="shared" si="4"/>
        <v>1</v>
      </c>
      <c r="AC27" s="1466">
        <f t="shared" si="5"/>
        <v>1</v>
      </c>
    </row>
    <row r="28" spans="1:29" ht="20.25">
      <c r="A28" s="492"/>
      <c r="B28" s="543"/>
      <c r="C28" s="3461" t="s">
        <v>3283</v>
      </c>
      <c r="D28" s="534"/>
      <c r="E28" s="3462" t="s">
        <v>3282</v>
      </c>
      <c r="F28" s="532"/>
      <c r="G28" s="3461" t="s">
        <v>3282</v>
      </c>
      <c r="H28" s="532"/>
      <c r="I28" s="3462" t="s">
        <v>3283</v>
      </c>
      <c r="J28" s="532"/>
      <c r="K28" s="508"/>
      <c r="L28" s="1978"/>
      <c r="M28" s="1968"/>
      <c r="N28" s="1968"/>
      <c r="O28" s="1977"/>
      <c r="P28" s="3708"/>
      <c r="Q28" s="1462"/>
      <c r="R28" s="1463"/>
      <c r="S28" s="1464"/>
      <c r="T28" s="1463"/>
      <c r="U28" s="1464"/>
      <c r="V28" s="1463"/>
      <c r="W28" s="1464"/>
      <c r="X28" s="1457"/>
      <c r="Y28" s="3708"/>
      <c r="Z28" s="1465"/>
      <c r="AA28" s="1466">
        <v>1</v>
      </c>
      <c r="AB28" s="1466">
        <v>1</v>
      </c>
      <c r="AC28" s="1466">
        <v>1</v>
      </c>
    </row>
    <row r="29" spans="1:29" s="1166" customFormat="1" ht="42.75">
      <c r="A29" s="554"/>
      <c r="B29" s="2357"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5</v>
      </c>
      <c r="L29" s="1971"/>
      <c r="M29" s="1968"/>
      <c r="N29" s="1968"/>
      <c r="O29" s="1973"/>
      <c r="P29" s="3708"/>
      <c r="Q29" s="1097" t="str">
        <f t="shared" si="8"/>
        <v>公共配套设施</v>
      </c>
      <c r="R29" s="1458" t="s">
        <v>8</v>
      </c>
      <c r="S29" s="1459">
        <f>F29</f>
        <v>100</v>
      </c>
      <c r="T29" s="1458" t="s">
        <v>8</v>
      </c>
      <c r="U29" s="1459">
        <f>H29</f>
        <v>100</v>
      </c>
      <c r="V29" s="1458" t="s">
        <v>8</v>
      </c>
      <c r="W29" s="1459">
        <f>J29</f>
        <v>100</v>
      </c>
      <c r="X29" s="1460"/>
      <c r="Y29" s="3708"/>
      <c r="Z29" s="1096" t="str">
        <f>Q29</f>
        <v>公共配套设施</v>
      </c>
      <c r="AA29" s="1466">
        <f>D29/F29</f>
        <v>1</v>
      </c>
      <c r="AB29" s="1466">
        <f>D29/H29</f>
        <v>1</v>
      </c>
      <c r="AC29" s="1466">
        <f>D29/J29</f>
        <v>1</v>
      </c>
    </row>
    <row r="30" spans="1:29" s="1166" customFormat="1" ht="20.25">
      <c r="A30" s="554"/>
      <c r="B30" s="543"/>
      <c r="C30" s="3463" t="s">
        <v>3285</v>
      </c>
      <c r="D30" s="534"/>
      <c r="E30" s="3462" t="s">
        <v>3285</v>
      </c>
      <c r="F30" s="532"/>
      <c r="G30" s="3461" t="s">
        <v>3285</v>
      </c>
      <c r="H30" s="532"/>
      <c r="I30" s="3462" t="s">
        <v>3286</v>
      </c>
      <c r="J30" s="532"/>
      <c r="K30" s="508"/>
      <c r="L30" s="1971"/>
      <c r="M30" s="1968"/>
      <c r="N30" s="1968"/>
      <c r="O30" s="1973"/>
      <c r="P30" s="3708"/>
      <c r="Q30" s="1097"/>
      <c r="R30" s="1458"/>
      <c r="S30" s="1459"/>
      <c r="T30" s="1458"/>
      <c r="U30" s="1459"/>
      <c r="V30" s="1458"/>
      <c r="W30" s="1459"/>
      <c r="X30" s="1460"/>
      <c r="Y30" s="3708"/>
      <c r="Z30" s="1096"/>
      <c r="AA30" s="1466">
        <v>1</v>
      </c>
      <c r="AB30" s="1466">
        <v>1</v>
      </c>
      <c r="AC30" s="1466">
        <v>1</v>
      </c>
    </row>
    <row r="31" spans="1:29" s="1166" customFormat="1" ht="28.5">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1"/>
      <c r="M31" s="1968"/>
      <c r="N31" s="1968"/>
      <c r="O31" s="1973"/>
      <c r="P31" s="3708"/>
      <c r="Q31" s="2350" t="str">
        <f t="shared" ref="Q31" si="9">B31</f>
        <v>基础设施水平</v>
      </c>
      <c r="R31" s="1458" t="s">
        <v>8</v>
      </c>
      <c r="S31" s="1459">
        <f>F31</f>
        <v>100</v>
      </c>
      <c r="T31" s="1458" t="s">
        <v>8</v>
      </c>
      <c r="U31" s="1459">
        <f>H31</f>
        <v>100</v>
      </c>
      <c r="V31" s="1458" t="s">
        <v>8</v>
      </c>
      <c r="W31" s="1459">
        <f>J31</f>
        <v>100</v>
      </c>
      <c r="X31" s="1460"/>
      <c r="Y31" s="3708"/>
      <c r="Z31" s="2349" t="str">
        <f>Q31</f>
        <v>基础设施水平</v>
      </c>
      <c r="AA31" s="1466">
        <f>D31/F31</f>
        <v>1</v>
      </c>
      <c r="AB31" s="1466">
        <f>D31/H31</f>
        <v>1</v>
      </c>
      <c r="AC31" s="1466">
        <f>D31/J31</f>
        <v>1</v>
      </c>
    </row>
    <row r="32" spans="1:29" s="1166" customFormat="1" ht="20.25">
      <c r="A32" s="554"/>
      <c r="B32" s="543"/>
      <c r="C32" s="3463" t="s">
        <v>3287</v>
      </c>
      <c r="D32" s="534"/>
      <c r="E32" s="3464" t="s">
        <v>3287</v>
      </c>
      <c r="F32" s="532"/>
      <c r="G32" s="3463" t="s">
        <v>3287</v>
      </c>
      <c r="H32" s="532"/>
      <c r="I32" s="3463" t="s">
        <v>3288</v>
      </c>
      <c r="J32" s="532"/>
      <c r="K32" s="508"/>
      <c r="L32" s="1971"/>
      <c r="M32" s="1968"/>
      <c r="N32" s="1968"/>
      <c r="O32" s="1973"/>
      <c r="P32" s="3708"/>
      <c r="Q32" s="2350"/>
      <c r="R32" s="1458"/>
      <c r="S32" s="1459"/>
      <c r="T32" s="1458"/>
      <c r="U32" s="1459"/>
      <c r="V32" s="1458"/>
      <c r="W32" s="1459"/>
      <c r="X32" s="1460"/>
      <c r="Y32" s="3708"/>
      <c r="Z32" s="2349"/>
      <c r="AA32" s="1466">
        <v>1</v>
      </c>
      <c r="AB32" s="1466">
        <v>1</v>
      </c>
      <c r="AC32" s="1466">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08"/>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08"/>
      <c r="Z33" s="1465" t="str">
        <f t="shared" ref="Z33:Z47" si="13">Q33</f>
        <v>临街状况</v>
      </c>
      <c r="AA33" s="1466">
        <f t="shared" si="3"/>
        <v>1</v>
      </c>
      <c r="AB33" s="1466">
        <f t="shared" si="4"/>
        <v>1</v>
      </c>
      <c r="AC33" s="1466">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08"/>
      <c r="Q34" s="1462" t="str">
        <f t="shared" si="8"/>
        <v>毗邻道路的类型与等级</v>
      </c>
      <c r="R34" s="1463" t="s">
        <v>8</v>
      </c>
      <c r="S34" s="1464">
        <f t="shared" si="10"/>
        <v>100</v>
      </c>
      <c r="T34" s="1463" t="s">
        <v>8</v>
      </c>
      <c r="U34" s="1464">
        <f t="shared" si="11"/>
        <v>100</v>
      </c>
      <c r="V34" s="1463" t="s">
        <v>8</v>
      </c>
      <c r="W34" s="1464">
        <f t="shared" si="12"/>
        <v>100</v>
      </c>
      <c r="X34" s="1457"/>
      <c r="Y34" s="3708"/>
      <c r="Z34" s="1465" t="str">
        <f t="shared" si="13"/>
        <v>毗邻道路的类型与等级</v>
      </c>
      <c r="AA34" s="1466">
        <f t="shared" si="3"/>
        <v>1</v>
      </c>
      <c r="AB34" s="1466">
        <f t="shared" si="4"/>
        <v>1</v>
      </c>
      <c r="AC34" s="1466">
        <f t="shared" si="5"/>
        <v>1</v>
      </c>
    </row>
    <row r="35" spans="1:29" ht="20.25">
      <c r="A35" s="509"/>
      <c r="B35" s="543"/>
      <c r="C35" s="531"/>
      <c r="D35" s="534"/>
      <c r="E35" s="553"/>
      <c r="F35" s="532"/>
      <c r="G35" s="531"/>
      <c r="H35" s="532"/>
      <c r="I35" s="553"/>
      <c r="J35" s="532"/>
      <c r="K35" s="558"/>
      <c r="L35" s="1978"/>
      <c r="M35" s="1968"/>
      <c r="N35" s="1968"/>
      <c r="O35" s="1977"/>
      <c r="P35" s="3708"/>
      <c r="Q35" s="1462"/>
      <c r="R35" s="1463"/>
      <c r="S35" s="1464"/>
      <c r="T35" s="1463"/>
      <c r="U35" s="1464"/>
      <c r="V35" s="1463"/>
      <c r="W35" s="1464"/>
      <c r="X35" s="1457"/>
      <c r="Y35" s="3708"/>
      <c r="Z35" s="1465"/>
      <c r="AA35" s="1466">
        <v>1</v>
      </c>
      <c r="AB35" s="1466">
        <v>1</v>
      </c>
      <c r="AC35" s="1466">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08"/>
      <c r="Q36" s="1462" t="str">
        <f t="shared" si="8"/>
        <v>土地级别</v>
      </c>
      <c r="R36" s="1463" t="s">
        <v>8</v>
      </c>
      <c r="S36" s="1464">
        <f t="shared" si="10"/>
        <v>100</v>
      </c>
      <c r="T36" s="1463" t="s">
        <v>8</v>
      </c>
      <c r="U36" s="1464">
        <f t="shared" si="11"/>
        <v>100</v>
      </c>
      <c r="V36" s="1463" t="s">
        <v>8</v>
      </c>
      <c r="W36" s="1464">
        <f t="shared" si="12"/>
        <v>100</v>
      </c>
      <c r="X36" s="1457"/>
      <c r="Y36" s="3708"/>
      <c r="Z36" s="1465" t="str">
        <f t="shared" si="13"/>
        <v>土地级别</v>
      </c>
      <c r="AA36" s="1466">
        <f t="shared" si="3"/>
        <v>1</v>
      </c>
      <c r="AB36" s="1466">
        <f t="shared" si="4"/>
        <v>1</v>
      </c>
      <c r="AC36" s="1466">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08"/>
      <c r="Q37" s="1462">
        <f t="shared" si="8"/>
        <v>111</v>
      </c>
      <c r="R37" s="1463" t="s">
        <v>8</v>
      </c>
      <c r="S37" s="1464">
        <f t="shared" si="10"/>
        <v>100</v>
      </c>
      <c r="T37" s="1463" t="s">
        <v>8</v>
      </c>
      <c r="U37" s="1464">
        <f t="shared" si="11"/>
        <v>100</v>
      </c>
      <c r="V37" s="1463" t="s">
        <v>8</v>
      </c>
      <c r="W37" s="1464">
        <f t="shared" si="12"/>
        <v>100</v>
      </c>
      <c r="X37" s="1457"/>
      <c r="Y37" s="3708"/>
      <c r="Z37" s="1465">
        <f t="shared" si="13"/>
        <v>111</v>
      </c>
      <c r="AA37" s="1466">
        <f t="shared" si="3"/>
        <v>1</v>
      </c>
      <c r="AB37" s="1466">
        <f t="shared" si="4"/>
        <v>1</v>
      </c>
      <c r="AC37" s="1466">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09" t="s">
        <v>533</v>
      </c>
      <c r="Q38" s="1462">
        <f t="shared" si="8"/>
        <v>111</v>
      </c>
      <c r="R38" s="1463" t="s">
        <v>8</v>
      </c>
      <c r="S38" s="1464">
        <f t="shared" si="10"/>
        <v>100</v>
      </c>
      <c r="T38" s="1463" t="s">
        <v>8</v>
      </c>
      <c r="U38" s="1464">
        <f t="shared" si="11"/>
        <v>100</v>
      </c>
      <c r="V38" s="1463" t="s">
        <v>8</v>
      </c>
      <c r="W38" s="1464">
        <f t="shared" si="12"/>
        <v>100</v>
      </c>
      <c r="X38" s="1457"/>
      <c r="Y38" s="3710" t="s">
        <v>533</v>
      </c>
      <c r="Z38" s="1465">
        <f t="shared" si="13"/>
        <v>111</v>
      </c>
      <c r="AA38" s="1466">
        <f t="shared" si="3"/>
        <v>1</v>
      </c>
      <c r="AB38" s="1466">
        <f t="shared" si="4"/>
        <v>1</v>
      </c>
      <c r="AC38" s="1466">
        <f t="shared" si="5"/>
        <v>1</v>
      </c>
    </row>
    <row r="39" spans="1:29" s="1248"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10"/>
      <c r="Q39" s="1462">
        <f t="shared" si="8"/>
        <v>111</v>
      </c>
      <c r="R39" s="1467" t="s">
        <v>8</v>
      </c>
      <c r="S39" s="1468">
        <f t="shared" si="10"/>
        <v>100</v>
      </c>
      <c r="T39" s="1467" t="s">
        <v>8</v>
      </c>
      <c r="U39" s="1468">
        <f t="shared" si="11"/>
        <v>100</v>
      </c>
      <c r="V39" s="1467" t="s">
        <v>8</v>
      </c>
      <c r="W39" s="1468">
        <f t="shared" si="12"/>
        <v>100</v>
      </c>
      <c r="X39" s="1469"/>
      <c r="Y39" s="3710"/>
      <c r="Z39" s="1470">
        <f t="shared" si="13"/>
        <v>111</v>
      </c>
      <c r="AA39" s="1466">
        <f t="shared" si="3"/>
        <v>1</v>
      </c>
      <c r="AB39" s="1466">
        <f t="shared" si="4"/>
        <v>1</v>
      </c>
      <c r="AC39" s="1466">
        <f t="shared" si="5"/>
        <v>1</v>
      </c>
    </row>
    <row r="40" spans="1:29" ht="20.25">
      <c r="A40" s="2546" t="s">
        <v>2472</v>
      </c>
      <c r="B40" s="572" t="s">
        <v>535</v>
      </c>
      <c r="C40" s="573">
        <f>'数据-基础表'!A3</f>
        <v>32294.89</v>
      </c>
      <c r="D40" s="574">
        <v>100</v>
      </c>
      <c r="E40" s="573">
        <f>土地案例!E17</f>
        <v>27525.64</v>
      </c>
      <c r="F40" s="574">
        <f>LOOKUP(E40,118:118,119:119)-LOOKUP(C40,118:118,119:119)+100</f>
        <v>98</v>
      </c>
      <c r="G40" s="573">
        <f>土地案例!E18</f>
        <v>99023.27</v>
      </c>
      <c r="H40" s="574">
        <f>LOOKUP(G40,118:118,119:119)-LOOKUP(C40,118:118,119:119)+100</f>
        <v>104</v>
      </c>
      <c r="I40" s="575">
        <f>土地案例!E20</f>
        <v>73240.63</v>
      </c>
      <c r="J40" s="574">
        <f>LOOKUP(I40,118:118,119:119)-LOOKUP(C40,118:118,119:119)+100</f>
        <v>102</v>
      </c>
      <c r="K40" s="558"/>
      <c r="L40" s="1978"/>
      <c r="M40" s="1968"/>
      <c r="N40" s="1968"/>
      <c r="O40" s="1977"/>
      <c r="P40" s="3710"/>
      <c r="Q40" s="1462" t="str">
        <f>B40</f>
        <v>宗地面积</v>
      </c>
      <c r="R40" s="1463" t="s">
        <v>8</v>
      </c>
      <c r="S40" s="1464">
        <f t="shared" si="10"/>
        <v>98</v>
      </c>
      <c r="T40" s="1463" t="s">
        <v>8</v>
      </c>
      <c r="U40" s="1464">
        <f t="shared" si="11"/>
        <v>104</v>
      </c>
      <c r="V40" s="1463" t="s">
        <v>8</v>
      </c>
      <c r="W40" s="1464">
        <f t="shared" si="12"/>
        <v>102</v>
      </c>
      <c r="X40" s="1457"/>
      <c r="Y40" s="3710"/>
      <c r="Z40" s="1465" t="str">
        <f t="shared" si="13"/>
        <v>宗地面积</v>
      </c>
      <c r="AA40" s="1466">
        <f t="shared" si="3"/>
        <v>1.0204081632653061</v>
      </c>
      <c r="AB40" s="1466">
        <f t="shared" si="4"/>
        <v>0.96153846153846156</v>
      </c>
      <c r="AC40" s="1466">
        <f t="shared" si="5"/>
        <v>0.98039215686274506</v>
      </c>
    </row>
    <row r="41" spans="1:29" ht="20.25">
      <c r="A41" s="571"/>
      <c r="B41" s="504" t="s">
        <v>536</v>
      </c>
      <c r="C41" s="3465" t="s">
        <v>3289</v>
      </c>
      <c r="D41" s="517">
        <v>100</v>
      </c>
      <c r="E41" s="3465" t="s">
        <v>3289</v>
      </c>
      <c r="F41" s="517">
        <f>SUMIF(120:120,E41,121:121)-SUMIF(120:120,C41,121:121)+100</f>
        <v>100</v>
      </c>
      <c r="G41" s="3465" t="s">
        <v>3290</v>
      </c>
      <c r="H41" s="517">
        <f>SUMIF(120:120,G41,121:121)-SUMIF(120:120,C41,121:121)+100</f>
        <v>100</v>
      </c>
      <c r="I41" s="3465" t="s">
        <v>3289</v>
      </c>
      <c r="J41" s="517">
        <f>SUMIF(120:120,I41,121:121)-SUMIF(120:120,C41,121:121)+100</f>
        <v>100</v>
      </c>
      <c r="K41" s="561"/>
      <c r="L41" s="1978"/>
      <c r="M41" s="1968"/>
      <c r="N41" s="1968"/>
      <c r="O41" s="1977"/>
      <c r="P41" s="3710"/>
      <c r="Q41" s="1462" t="str">
        <f t="shared" ref="Q41:Q47" si="14">B41</f>
        <v>宗地形状</v>
      </c>
      <c r="R41" s="1463" t="s">
        <v>8</v>
      </c>
      <c r="S41" s="1464">
        <f t="shared" si="10"/>
        <v>100</v>
      </c>
      <c r="T41" s="1463" t="s">
        <v>8</v>
      </c>
      <c r="U41" s="1464">
        <f t="shared" si="11"/>
        <v>100</v>
      </c>
      <c r="V41" s="1463" t="s">
        <v>8</v>
      </c>
      <c r="W41" s="1464">
        <f t="shared" si="12"/>
        <v>100</v>
      </c>
      <c r="X41" s="1457"/>
      <c r="Y41" s="3710"/>
      <c r="Z41" s="1465" t="str">
        <f t="shared" si="13"/>
        <v>宗地形状</v>
      </c>
      <c r="AA41" s="1466">
        <f t="shared" si="3"/>
        <v>1</v>
      </c>
      <c r="AB41" s="1466">
        <f t="shared" si="4"/>
        <v>1</v>
      </c>
      <c r="AC41" s="1466">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710"/>
      <c r="Q42" s="1462" t="str">
        <f t="shared" si="14"/>
        <v>临街宽度及深度</v>
      </c>
      <c r="R42" s="1463" t="s">
        <v>8</v>
      </c>
      <c r="S42" s="1464">
        <f t="shared" si="10"/>
        <v>100</v>
      </c>
      <c r="T42" s="1463" t="s">
        <v>8</v>
      </c>
      <c r="U42" s="1464">
        <f t="shared" si="11"/>
        <v>100</v>
      </c>
      <c r="V42" s="1463" t="s">
        <v>8</v>
      </c>
      <c r="W42" s="1464">
        <f t="shared" si="12"/>
        <v>100</v>
      </c>
      <c r="X42" s="1457"/>
      <c r="Y42" s="3710"/>
      <c r="Z42" s="1465" t="str">
        <f t="shared" si="13"/>
        <v>临街宽度及深度</v>
      </c>
      <c r="AA42" s="1466">
        <f t="shared" si="3"/>
        <v>1</v>
      </c>
      <c r="AB42" s="1466">
        <f t="shared" si="4"/>
        <v>1</v>
      </c>
      <c r="AC42" s="1466">
        <f t="shared" si="5"/>
        <v>1</v>
      </c>
    </row>
    <row r="43" spans="1:29" s="1166" customFormat="1" ht="20.25">
      <c r="A43" s="577"/>
      <c r="B43" s="1764" t="s">
        <v>2211</v>
      </c>
      <c r="C43" s="3466" t="s">
        <v>3291</v>
      </c>
      <c r="D43" s="253">
        <v>100</v>
      </c>
      <c r="E43" s="3466" t="s">
        <v>3291</v>
      </c>
      <c r="F43" s="517">
        <f>SUMIF(124:124,E43,125:125)-SUMIF(124:124,C43,125:125)+100</f>
        <v>100</v>
      </c>
      <c r="G43" s="3466" t="s">
        <v>3291</v>
      </c>
      <c r="H43" s="517">
        <f>SUMIF(124:124,G43,125:125)-SUMIF(124:124,C43,125:125)+100</f>
        <v>100</v>
      </c>
      <c r="I43" s="3466" t="s">
        <v>3292</v>
      </c>
      <c r="J43" s="517">
        <f>SUMIF(124:124,I43,125:125)-SUMIF(124:124,C43,125:125)+100</f>
        <v>100</v>
      </c>
      <c r="K43" s="561"/>
      <c r="L43" s="1971"/>
      <c r="M43" s="1968"/>
      <c r="N43" s="1968"/>
      <c r="O43" s="1973"/>
      <c r="P43" s="3710"/>
      <c r="Q43" s="1462" t="str">
        <f t="shared" si="14"/>
        <v>宗地开发程度</v>
      </c>
      <c r="R43" s="1458" t="s">
        <v>8</v>
      </c>
      <c r="S43" s="1459">
        <f t="shared" si="10"/>
        <v>100</v>
      </c>
      <c r="T43" s="1458" t="s">
        <v>8</v>
      </c>
      <c r="U43" s="1459">
        <f t="shared" si="11"/>
        <v>100</v>
      </c>
      <c r="V43" s="1458" t="s">
        <v>8</v>
      </c>
      <c r="W43" s="1459">
        <f t="shared" si="12"/>
        <v>100</v>
      </c>
      <c r="X43" s="1460"/>
      <c r="Y43" s="3710"/>
      <c r="Z43" s="1096" t="str">
        <f t="shared" si="13"/>
        <v>宗地开发程度</v>
      </c>
      <c r="AA43" s="1461">
        <f t="shared" si="3"/>
        <v>1</v>
      </c>
      <c r="AB43" s="1461">
        <f t="shared" si="4"/>
        <v>1</v>
      </c>
      <c r="AC43" s="1461">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8"/>
      <c r="M44" s="1968"/>
      <c r="N44" s="1968"/>
      <c r="O44" s="1977"/>
      <c r="P44" s="3710" t="s">
        <v>533</v>
      </c>
      <c r="Q44" s="1462" t="str">
        <f t="shared" si="14"/>
        <v>工程地质条件</v>
      </c>
      <c r="R44" s="1463" t="s">
        <v>8</v>
      </c>
      <c r="S44" s="1464">
        <f t="shared" si="10"/>
        <v>100</v>
      </c>
      <c r="T44" s="1463" t="s">
        <v>8</v>
      </c>
      <c r="U44" s="1464">
        <f t="shared" si="11"/>
        <v>100</v>
      </c>
      <c r="V44" s="1463" t="s">
        <v>8</v>
      </c>
      <c r="W44" s="1464">
        <f t="shared" si="12"/>
        <v>100</v>
      </c>
      <c r="X44" s="1457"/>
      <c r="Y44" s="3710" t="s">
        <v>533</v>
      </c>
      <c r="Z44" s="1465" t="str">
        <f t="shared" si="13"/>
        <v>工程地质条件</v>
      </c>
      <c r="AA44" s="1466">
        <f t="shared" si="3"/>
        <v>1</v>
      </c>
      <c r="AB44" s="1466">
        <f t="shared" si="4"/>
        <v>1</v>
      </c>
      <c r="AC44" s="1466">
        <f t="shared" si="5"/>
        <v>1</v>
      </c>
    </row>
    <row r="45" spans="1:29" ht="20.25">
      <c r="A45" s="571"/>
      <c r="B45" s="3467" t="s">
        <v>3301</v>
      </c>
      <c r="C45" s="519">
        <v>20</v>
      </c>
      <c r="D45" s="517">
        <v>100</v>
      </c>
      <c r="E45" s="519">
        <v>0</v>
      </c>
      <c r="F45" s="517">
        <f>SUMIF(128:128,E45,129:129)-SUMIF(128:128,C45,129:129)+100</f>
        <v>113</v>
      </c>
      <c r="G45" s="519">
        <v>0</v>
      </c>
      <c r="H45" s="517">
        <f>SUMIF(128:128,G45,129:129)-SUMIF(128:128,C45,129:129)+100</f>
        <v>113</v>
      </c>
      <c r="I45" s="518">
        <v>0</v>
      </c>
      <c r="J45" s="517">
        <f>SUMIF(128:128,I45,129:129)-SUMIF(128:128,C45,129:129)+100</f>
        <v>113</v>
      </c>
      <c r="K45" s="558"/>
      <c r="L45" s="1978"/>
      <c r="M45" s="1968"/>
      <c r="N45" s="1968"/>
      <c r="O45" s="1977"/>
      <c r="P45" s="3710"/>
      <c r="Q45" s="1462" t="str">
        <f t="shared" si="14"/>
        <v>自持年限</v>
      </c>
      <c r="R45" s="1463" t="s">
        <v>8</v>
      </c>
      <c r="S45" s="1464">
        <f t="shared" si="10"/>
        <v>113</v>
      </c>
      <c r="T45" s="1463" t="s">
        <v>8</v>
      </c>
      <c r="U45" s="1464">
        <f t="shared" si="11"/>
        <v>113</v>
      </c>
      <c r="V45" s="1463" t="s">
        <v>8</v>
      </c>
      <c r="W45" s="1464">
        <f t="shared" si="12"/>
        <v>113</v>
      </c>
      <c r="X45" s="1457"/>
      <c r="Y45" s="3710"/>
      <c r="Z45" s="1465" t="str">
        <f t="shared" si="13"/>
        <v>自持年限</v>
      </c>
      <c r="AA45" s="1466">
        <f t="shared" si="3"/>
        <v>0.88495575221238942</v>
      </c>
      <c r="AB45" s="1466">
        <f t="shared" si="4"/>
        <v>0.88495575221238942</v>
      </c>
      <c r="AC45" s="1466">
        <f t="shared" si="5"/>
        <v>0.88495575221238942</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10"/>
      <c r="Q46" s="1462">
        <f t="shared" si="14"/>
        <v>111</v>
      </c>
      <c r="R46" s="1463" t="s">
        <v>8</v>
      </c>
      <c r="S46" s="1464">
        <f t="shared" si="10"/>
        <v>100</v>
      </c>
      <c r="T46" s="1463" t="s">
        <v>8</v>
      </c>
      <c r="U46" s="1464">
        <f t="shared" si="11"/>
        <v>100</v>
      </c>
      <c r="V46" s="1463" t="s">
        <v>8</v>
      </c>
      <c r="W46" s="1464">
        <f t="shared" si="12"/>
        <v>100</v>
      </c>
      <c r="X46" s="1457"/>
      <c r="Y46" s="3710"/>
      <c r="Z46" s="1465">
        <f t="shared" si="13"/>
        <v>111</v>
      </c>
      <c r="AA46" s="1466">
        <f t="shared" si="3"/>
        <v>1</v>
      </c>
      <c r="AB46" s="1466">
        <f t="shared" si="4"/>
        <v>1</v>
      </c>
      <c r="AC46" s="1466">
        <f t="shared" si="5"/>
        <v>1</v>
      </c>
    </row>
    <row r="47" spans="1:29" s="1248"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3468" t="s">
        <v>3294</v>
      </c>
      <c r="N47" s="1968"/>
      <c r="O47" s="1979"/>
      <c r="P47" s="3710"/>
      <c r="Q47" s="1462">
        <f t="shared" si="14"/>
        <v>111</v>
      </c>
      <c r="R47" s="1467" t="s">
        <v>8</v>
      </c>
      <c r="S47" s="1468">
        <f t="shared" si="10"/>
        <v>100</v>
      </c>
      <c r="T47" s="1467" t="s">
        <v>8</v>
      </c>
      <c r="U47" s="1468">
        <f t="shared" si="11"/>
        <v>100</v>
      </c>
      <c r="V47" s="1467" t="s">
        <v>8</v>
      </c>
      <c r="W47" s="1468">
        <f t="shared" si="12"/>
        <v>100</v>
      </c>
      <c r="X47" s="1469"/>
      <c r="Y47" s="3710"/>
      <c r="Z47" s="1470">
        <f t="shared" si="13"/>
        <v>111</v>
      </c>
      <c r="AA47" s="1466">
        <f t="shared" si="3"/>
        <v>1</v>
      </c>
      <c r="AB47" s="1466">
        <f t="shared" si="4"/>
        <v>1</v>
      </c>
      <c r="AC47" s="1466">
        <f t="shared" si="5"/>
        <v>1</v>
      </c>
    </row>
    <row r="48" spans="1:29" ht="20.25">
      <c r="A48" s="584" t="s">
        <v>539</v>
      </c>
      <c r="B48" s="585" t="s">
        <v>3293</v>
      </c>
      <c r="C48" s="586" t="s">
        <v>1</v>
      </c>
      <c r="D48" s="587"/>
      <c r="E48" s="588">
        <f>ROUND(土地案例!S17*M48,0)</f>
        <v>26825</v>
      </c>
      <c r="F48" s="589"/>
      <c r="G48" s="590">
        <f>ROUND(土地案例!S18*M48,0)</f>
        <v>21209</v>
      </c>
      <c r="H48" s="591"/>
      <c r="I48" s="588">
        <f>ROUND(土地案例!S20*M48,0)</f>
        <v>21560</v>
      </c>
      <c r="J48" s="591"/>
      <c r="K48" s="1249"/>
      <c r="L48" s="1980"/>
      <c r="M48" s="1968">
        <v>1</v>
      </c>
      <c r="N48" s="1968"/>
      <c r="O48" s="1981"/>
      <c r="P48" s="3674" t="str">
        <f>A48</f>
        <v>成交单价</v>
      </c>
      <c r="Q48" s="3674"/>
      <c r="R48" s="3675">
        <f>E48</f>
        <v>26825</v>
      </c>
      <c r="S48" s="3675"/>
      <c r="T48" s="3675">
        <f>G48</f>
        <v>21209</v>
      </c>
      <c r="U48" s="3675"/>
      <c r="V48" s="3675">
        <f>I48</f>
        <v>21560</v>
      </c>
      <c r="W48" s="3675"/>
      <c r="X48" s="1452"/>
      <c r="Y48" s="1471"/>
      <c r="Z48" s="1452"/>
      <c r="AA48" s="1452"/>
      <c r="AB48" s="1452"/>
      <c r="AC48" s="1452"/>
    </row>
    <row r="49" spans="1:29" ht="21" thickBot="1">
      <c r="A49" s="592" t="s">
        <v>2410</v>
      </c>
      <c r="B49" s="593"/>
      <c r="C49" s="594">
        <f>R50</f>
        <v>21706</v>
      </c>
      <c r="D49" s="2922" t="s">
        <v>2702</v>
      </c>
      <c r="E49" s="594">
        <f>R49</f>
        <v>24284</v>
      </c>
      <c r="F49" s="2923"/>
      <c r="G49" s="595">
        <f>T49</f>
        <v>19997</v>
      </c>
      <c r="H49" s="2923"/>
      <c r="I49" s="594">
        <f>V49</f>
        <v>20836</v>
      </c>
      <c r="J49" s="2923"/>
      <c r="K49" s="2924">
        <f>F49+H49+J49</f>
        <v>0</v>
      </c>
      <c r="L49" s="1980"/>
      <c r="M49" s="1968"/>
      <c r="N49" s="1968"/>
      <c r="O49" s="1981"/>
      <c r="P49" s="3674" t="str">
        <f>A49</f>
        <v>比较价格（元/平方米）</v>
      </c>
      <c r="Q49" s="3674"/>
      <c r="R49" s="3676">
        <f>ROUND(PRODUCT(R48,AA9:AA47),0)</f>
        <v>24284</v>
      </c>
      <c r="S49" s="3676"/>
      <c r="T49" s="3676">
        <f>ROUND(PRODUCT(T48,AB9:AB47),0)</f>
        <v>19997</v>
      </c>
      <c r="U49" s="3676"/>
      <c r="V49" s="3676">
        <f>ROUND(PRODUCT(V48,AC9:AC47),0)</f>
        <v>20836</v>
      </c>
      <c r="W49" s="3676"/>
      <c r="X49" s="1452"/>
      <c r="Y49" s="1452"/>
      <c r="Z49" s="1452"/>
      <c r="AA49" s="1452"/>
      <c r="AB49" s="1452"/>
      <c r="AC49" s="1452"/>
    </row>
    <row r="50" spans="1:29" ht="21" thickBot="1">
      <c r="A50" s="596" t="s">
        <v>2637</v>
      </c>
      <c r="B50" s="597"/>
      <c r="C50" s="598">
        <f>R50</f>
        <v>21706</v>
      </c>
      <c r="D50" s="598"/>
      <c r="E50" s="598"/>
      <c r="F50" s="598"/>
      <c r="G50" s="598"/>
      <c r="H50" s="598"/>
      <c r="I50" s="598"/>
      <c r="J50" s="598"/>
      <c r="K50" s="1250"/>
      <c r="L50" s="1980"/>
      <c r="M50" s="1968"/>
      <c r="N50" s="1968"/>
      <c r="O50" s="1981"/>
      <c r="P50" s="3711" t="str">
        <f>A50</f>
        <v>估价对象XX用房的比较价格（楼面单价，元/平方米）</v>
      </c>
      <c r="Q50" s="3712"/>
      <c r="R50" s="3673">
        <f>ROUND(IF(D49="简单平均",AVERAGE(R49:W49),R49*F49+T49*H49+V49*J49),0)</f>
        <v>21706</v>
      </c>
      <c r="S50" s="3673"/>
      <c r="T50" s="3673"/>
      <c r="U50" s="3673"/>
      <c r="V50" s="3673"/>
      <c r="W50" s="3673"/>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0.10463679789161584</v>
      </c>
      <c r="F53" s="602" t="str">
        <f>IF(OR(E53&gt;=0.3,E53&lt;=-0.3),"超过30%","")</f>
        <v/>
      </c>
      <c r="G53" s="601">
        <f>IF(G48&lt;G49,G49/G48-1,G48/G49-1)</f>
        <v>6.0609091363704515E-2</v>
      </c>
      <c r="H53" s="602" t="str">
        <f>IF(OR(G53&gt;=0.3,G53&lt;=-0.3),"超过30%","")</f>
        <v/>
      </c>
      <c r="I53" s="601">
        <f>IF(I48&lt;I49,I49/I48-1,I48/I49-1)</f>
        <v>3.4747552313303842E-2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0.21438215732359844</v>
      </c>
      <c r="F54" s="602" t="str">
        <f>IF(OR(E54&gt;=0.2,E54&lt;=-0.2),"超过20%","")</f>
        <v>超过20%</v>
      </c>
      <c r="G54" s="601">
        <f>IF(G49&lt;I49,I49/G49-1,G49/I49-1)</f>
        <v>4.1956293444016524E-2</v>
      </c>
      <c r="H54" s="602" t="str">
        <f>IF(OR(G54&gt;=0.2,G54&lt;=-0.2),"超过20%","")</f>
        <v/>
      </c>
      <c r="I54" s="601">
        <f>IF(I49&lt;E49,E49/I49-1,I49/E49-1)</f>
        <v>0.16548281819927046</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0.26479324814937044</v>
      </c>
      <c r="F55" s="602" t="str">
        <f>IF(OR(E55&gt;=0.3,E55&lt;=-0.3),"超过30%","")</f>
        <v/>
      </c>
      <c r="G55" s="601">
        <f>IF(G48&lt;I48,I48/G48-1,G48/I48-1)</f>
        <v>1.6549578009335653E-2</v>
      </c>
      <c r="H55" s="602" t="str">
        <f>IF(OR(G55&gt;=0.3,G55&lt;=-0.3),"超过30%","")</f>
        <v/>
      </c>
      <c r="I55" s="601">
        <f>IF(I48&lt;E48,E48/I48-1,I48/E48-1)</f>
        <v>0.2442022263450836</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700" t="s">
        <v>2072</v>
      </c>
      <c r="H57" s="3701"/>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21706</v>
      </c>
      <c r="C58" s="610">
        <v>1</v>
      </c>
      <c r="D58" s="2062">
        <v>1</v>
      </c>
      <c r="E58" s="610">
        <f>'数据-汇总表'!E8+'数据-汇总表'!E9</f>
        <v>60651.07</v>
      </c>
      <c r="F58" s="611">
        <f t="shared" ref="F58:F66" si="15">ROUND(B58*E58/10000,0)</f>
        <v>131649</v>
      </c>
      <c r="G58" s="3702"/>
      <c r="H58" s="3703"/>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814</v>
      </c>
      <c r="C64" s="372">
        <f t="shared" si="16"/>
        <v>0.15</v>
      </c>
      <c r="D64" s="2063">
        <v>0.25</v>
      </c>
      <c r="E64" s="616">
        <f>'数据-汇总表'!E13</f>
        <v>22085</v>
      </c>
      <c r="F64" s="611">
        <f t="shared" si="15"/>
        <v>1798</v>
      </c>
      <c r="G64" s="1815" t="s">
        <v>902</v>
      </c>
      <c r="H64" s="1813" t="str">
        <f>IF(G64="商业",项目基本情况!B43,IF(G64="办公",项目基本情况!C43,IF(G64="住宅",项目基本情况!D43,项目基本情况!E43)))</f>
        <v>六级</v>
      </c>
      <c r="I64" s="1450">
        <f>SUMIF(修正!$A$57:$A$68,H64,修正!G57:G68)</f>
        <v>0.15</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82736.070000000007</v>
      </c>
      <c r="F67" s="619">
        <f>IF(B48="楼面地价",SUM(F58:F66),ROUND(C50*E67/10000,0))</f>
        <v>133447</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2" t="str">
        <f>"北京市平均增长率"&amp;TEXT(SUMIF(基准地价!N21:N25,A72,基准地价!P21:P25),"0.00%")</f>
        <v>北京市平均增长率1.55%</v>
      </c>
      <c r="C72" s="865">
        <v>100</v>
      </c>
      <c r="D72" s="705">
        <v>99.5</v>
      </c>
      <c r="E72" s="705">
        <v>99</v>
      </c>
      <c r="F72" s="705">
        <v>98.5</v>
      </c>
      <c r="G72" s="705">
        <v>98</v>
      </c>
      <c r="H72" s="705">
        <v>97.5</v>
      </c>
      <c r="I72" s="705">
        <v>97</v>
      </c>
      <c r="J72" s="705">
        <v>96.5</v>
      </c>
      <c r="K72" s="705">
        <v>96</v>
      </c>
      <c r="L72" s="705">
        <v>95.5</v>
      </c>
      <c r="M72" s="2433">
        <v>95</v>
      </c>
      <c r="N72" s="2434">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575"/>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v>
      </c>
      <c r="H80" s="657" t="str">
        <f t="shared" si="20"/>
        <v>（含）-</v>
      </c>
      <c r="I80" s="657" t="str">
        <f t="shared" si="20"/>
        <v>（含）-</v>
      </c>
      <c r="J80" s="657" t="str">
        <f t="shared" si="20"/>
        <v>（含）-</v>
      </c>
      <c r="K80" s="657" t="str">
        <f t="shared" si="20"/>
        <v>（含）-</v>
      </c>
      <c r="L80" s="657" t="str">
        <f t="shared" si="20"/>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95</v>
      </c>
      <c r="E98" s="654">
        <f>D98-$K25</f>
        <v>90</v>
      </c>
      <c r="F98" s="654">
        <f>E98-$K25</f>
        <v>85</v>
      </c>
      <c r="G98" s="654">
        <f>F98-$K25</f>
        <v>80</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95</v>
      </c>
      <c r="E100" s="654">
        <f>D100-$K27</f>
        <v>90</v>
      </c>
      <c r="F100" s="654">
        <f>E100-$K27</f>
        <v>85</v>
      </c>
      <c r="G100" s="654">
        <f>F100-$K27</f>
        <v>80</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95</v>
      </c>
      <c r="E102" s="654">
        <f>D102-$K29</f>
        <v>90</v>
      </c>
      <c r="F102" s="654">
        <f>E102-$K29</f>
        <v>85</v>
      </c>
      <c r="G102" s="654">
        <f>F102-$K29</f>
        <v>80</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5">C118&amp;"(含)"&amp;"-"&amp;D118</f>
        <v>0(含)-30000</v>
      </c>
      <c r="D117" s="679" t="str">
        <f t="shared" si="25"/>
        <v>30000(含)-60000</v>
      </c>
      <c r="E117" s="679" t="str">
        <f t="shared" si="25"/>
        <v>60000(含)-90000</v>
      </c>
      <c r="F117" s="679" t="str">
        <f t="shared" si="25"/>
        <v>90000(含)-120000</v>
      </c>
      <c r="G117" s="679" t="str">
        <f t="shared" si="25"/>
        <v>120000(含)-150000</v>
      </c>
      <c r="H117" s="679" t="str">
        <f t="shared" si="25"/>
        <v>150000(含)-</v>
      </c>
      <c r="I117" s="679"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30000</v>
      </c>
      <c r="E118" s="705">
        <v>60000</v>
      </c>
      <c r="F118" s="705">
        <v>90000</v>
      </c>
      <c r="G118" s="705">
        <v>120000</v>
      </c>
      <c r="H118" s="705">
        <v>150000</v>
      </c>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102</v>
      </c>
      <c r="E119" s="701">
        <v>104</v>
      </c>
      <c r="F119" s="701">
        <v>106</v>
      </c>
      <c r="G119" s="701">
        <v>108</v>
      </c>
      <c r="H119" s="701">
        <v>110</v>
      </c>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693"/>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t="str">
        <f>B45</f>
        <v>自持年限</v>
      </c>
      <c r="C128" s="663">
        <v>20</v>
      </c>
      <c r="D128" s="663">
        <v>0</v>
      </c>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v>87</v>
      </c>
      <c r="D129" s="667">
        <v>100</v>
      </c>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8" priority="18" stopIfTrue="1" operator="containsText" text="超过">
      <formula>NOT(ISERROR(SEARCH("超过",F53)))</formula>
    </cfRule>
  </conditionalFormatting>
  <conditionalFormatting sqref="J55">
    <cfRule type="containsText" dxfId="197" priority="17" stopIfTrue="1" operator="containsText" text="超过">
      <formula>NOT(ISERROR(SEARCH("超过",J55)))</formula>
    </cfRule>
  </conditionalFormatting>
  <conditionalFormatting sqref="H55">
    <cfRule type="containsText" dxfId="196" priority="16" stopIfTrue="1" operator="containsText" text="超过">
      <formula>NOT(ISERROR(SEARCH("超过",H55)))</formula>
    </cfRule>
  </conditionalFormatting>
  <conditionalFormatting sqref="F55">
    <cfRule type="containsText" dxfId="195" priority="15" stopIfTrue="1" operator="containsText" text="超过">
      <formula>NOT(ISERROR(SEARCH("超过",F55)))</formula>
    </cfRule>
  </conditionalFormatting>
  <conditionalFormatting sqref="F54 H54 J54">
    <cfRule type="containsText" dxfId="194" priority="14" stopIfTrue="1" operator="containsText" text="超过">
      <formula>NOT(ISERROR(SEARCH("超过",F54)))</formula>
    </cfRule>
  </conditionalFormatting>
  <conditionalFormatting sqref="E53">
    <cfRule type="expression" dxfId="193" priority="13" stopIfTrue="1">
      <formula>$F$53="超过30%"</formula>
    </cfRule>
  </conditionalFormatting>
  <conditionalFormatting sqref="G55">
    <cfRule type="expression" dxfId="192" priority="12" stopIfTrue="1">
      <formula>$H$55="超过30%"</formula>
    </cfRule>
  </conditionalFormatting>
  <conditionalFormatting sqref="E54">
    <cfRule type="expression" dxfId="191" priority="11" stopIfTrue="1">
      <formula>$F$54="超过20%"</formula>
    </cfRule>
  </conditionalFormatting>
  <conditionalFormatting sqref="E55">
    <cfRule type="expression" dxfId="190" priority="10" stopIfTrue="1">
      <formula>$F$55="超过30%"</formula>
    </cfRule>
  </conditionalFormatting>
  <conditionalFormatting sqref="G53">
    <cfRule type="expression" dxfId="189" priority="9" stopIfTrue="1">
      <formula>$H$55+$H$53="超过30%"</formula>
    </cfRule>
  </conditionalFormatting>
  <conditionalFormatting sqref="G54">
    <cfRule type="expression" dxfId="188" priority="8" stopIfTrue="1">
      <formula>$H$54="超过20%"</formula>
    </cfRule>
  </conditionalFormatting>
  <conditionalFormatting sqref="I53">
    <cfRule type="expression" dxfId="187" priority="7" stopIfTrue="1">
      <formula>$J$53="超过30%"</formula>
    </cfRule>
  </conditionalFormatting>
  <conditionalFormatting sqref="I54">
    <cfRule type="expression" dxfId="186" priority="6" stopIfTrue="1">
      <formula>$J$54="超过20%"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9:F47 H9:H47 J9:J47">
    <cfRule type="cellIs" dxfId="18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96" t="str">
        <f>项目基本情况!B1</f>
        <v>北京市出让国有建设用地使用权抵押价格预评估</v>
      </c>
      <c r="C37" s="3496"/>
      <c r="D37" s="3496"/>
      <c r="E37" s="3496"/>
      <c r="F37" s="3496"/>
      <c r="G37" s="3496"/>
      <c r="H37" s="3496"/>
      <c r="I37" s="3496"/>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80" t="s">
        <v>505</v>
      </c>
      <c r="D6" s="3681"/>
      <c r="E6" s="3715" t="s">
        <v>506</v>
      </c>
      <c r="F6" s="3716"/>
      <c r="G6" s="3680" t="s">
        <v>507</v>
      </c>
      <c r="H6" s="3681"/>
      <c r="I6" s="3680" t="s">
        <v>508</v>
      </c>
      <c r="J6" s="3681"/>
      <c r="K6" s="491" t="s">
        <v>509</v>
      </c>
      <c r="L6" s="1969"/>
      <c r="M6" s="1970"/>
      <c r="N6" s="1970"/>
      <c r="O6" s="1970"/>
      <c r="P6" s="3682" t="s">
        <v>510</v>
      </c>
      <c r="Q6" s="3683"/>
      <c r="R6" s="3688" t="s">
        <v>506</v>
      </c>
      <c r="S6" s="3689"/>
      <c r="T6" s="3688" t="s">
        <v>507</v>
      </c>
      <c r="U6" s="3689"/>
      <c r="V6" s="3675" t="s">
        <v>508</v>
      </c>
      <c r="W6" s="3675"/>
      <c r="X6" s="1457"/>
      <c r="Y6" s="3688" t="s">
        <v>510</v>
      </c>
      <c r="Z6" s="3689"/>
      <c r="AA6" s="3677" t="s">
        <v>506</v>
      </c>
      <c r="AB6" s="3678" t="s">
        <v>507</v>
      </c>
      <c r="AC6" s="3677" t="s">
        <v>508</v>
      </c>
    </row>
    <row r="7" spans="1:29" ht="15">
      <c r="A7" s="492"/>
      <c r="B7" s="493"/>
      <c r="C7" s="3696" t="s">
        <v>2631</v>
      </c>
      <c r="D7" s="3697"/>
      <c r="E7" s="3717" t="s">
        <v>2632</v>
      </c>
      <c r="F7" s="3718"/>
      <c r="G7" s="3696" t="s">
        <v>2633</v>
      </c>
      <c r="H7" s="3697"/>
      <c r="I7" s="3696" t="s">
        <v>2634</v>
      </c>
      <c r="J7" s="3697"/>
      <c r="K7" s="491"/>
      <c r="L7" s="1969"/>
      <c r="M7" s="1970"/>
      <c r="N7" s="1970"/>
      <c r="O7" s="1970"/>
      <c r="P7" s="3684"/>
      <c r="Q7" s="3685"/>
      <c r="R7" s="3690"/>
      <c r="S7" s="3691"/>
      <c r="T7" s="3690"/>
      <c r="U7" s="3691"/>
      <c r="V7" s="3675"/>
      <c r="W7" s="3675"/>
      <c r="X7" s="1457"/>
      <c r="Y7" s="3690"/>
      <c r="Z7" s="3691"/>
      <c r="AA7" s="3678"/>
      <c r="AB7" s="3678"/>
      <c r="AC7" s="3678"/>
    </row>
    <row r="8" spans="1:29" ht="15.75" thickBot="1">
      <c r="A8" s="494"/>
      <c r="B8" s="495"/>
      <c r="C8" s="3694" t="s">
        <v>2635</v>
      </c>
      <c r="D8" s="3695"/>
      <c r="E8" s="3713" t="s">
        <v>2635</v>
      </c>
      <c r="F8" s="3714"/>
      <c r="G8" s="3694" t="s">
        <v>2635</v>
      </c>
      <c r="H8" s="3695"/>
      <c r="I8" s="3694" t="s">
        <v>2635</v>
      </c>
      <c r="J8" s="3695"/>
      <c r="K8" s="491" t="s">
        <v>511</v>
      </c>
      <c r="L8" s="1969"/>
      <c r="M8" s="1970"/>
      <c r="N8" s="1970"/>
      <c r="O8" s="1970"/>
      <c r="P8" s="3686"/>
      <c r="Q8" s="3687"/>
      <c r="R8" s="3690"/>
      <c r="S8" s="3691"/>
      <c r="T8" s="3692"/>
      <c r="U8" s="3693"/>
      <c r="V8" s="3675"/>
      <c r="W8" s="3675"/>
      <c r="X8" s="1457"/>
      <c r="Y8" s="3692"/>
      <c r="Z8" s="3693"/>
      <c r="AA8" s="3679"/>
      <c r="AB8" s="3679"/>
      <c r="AC8" s="3679"/>
    </row>
    <row r="9" spans="1:29" s="1166" customFormat="1" ht="15.75" thickBot="1">
      <c r="A9" s="2551"/>
      <c r="B9" s="2558" t="s">
        <v>512</v>
      </c>
      <c r="C9" s="496">
        <f>'数据-取费表'!B2</f>
        <v>44756</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04" t="s">
        <v>513</v>
      </c>
      <c r="Q9" s="3706"/>
      <c r="R9" s="1458" t="s">
        <v>8</v>
      </c>
      <c r="S9" s="1459">
        <f t="shared" ref="S9:S17" si="0">F9</f>
        <v>0</v>
      </c>
      <c r="T9" s="1458" t="s">
        <v>8</v>
      </c>
      <c r="U9" s="1459">
        <f t="shared" ref="U9:U17" si="1">H9</f>
        <v>0</v>
      </c>
      <c r="V9" s="1458" t="s">
        <v>8</v>
      </c>
      <c r="W9" s="1459">
        <f t="shared" ref="W9:W17" si="2">J9</f>
        <v>0</v>
      </c>
      <c r="X9" s="1460"/>
      <c r="Y9" s="3704" t="s">
        <v>513</v>
      </c>
      <c r="Z9" s="3705"/>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04" t="s">
        <v>516</v>
      </c>
      <c r="Q10" s="3705"/>
      <c r="R10" s="1458" t="s">
        <v>8</v>
      </c>
      <c r="S10" s="1459">
        <f t="shared" si="0"/>
        <v>0</v>
      </c>
      <c r="T10" s="1458" t="s">
        <v>8</v>
      </c>
      <c r="U10" s="1459">
        <f t="shared" si="1"/>
        <v>0</v>
      </c>
      <c r="V10" s="1458" t="s">
        <v>8</v>
      </c>
      <c r="W10" s="1459">
        <f t="shared" si="2"/>
        <v>0</v>
      </c>
      <c r="X10" s="1460"/>
      <c r="Y10" s="3704" t="s">
        <v>516</v>
      </c>
      <c r="Z10" s="3705"/>
      <c r="AA10" s="1461" t="e">
        <f t="shared" ref="AA10:AA42" si="3">D10/F10</f>
        <v>#DIV/0!</v>
      </c>
      <c r="AB10" s="1461" t="e">
        <f t="shared" ref="AB10:AB42" si="4">D10/H10</f>
        <v>#DIV/0!</v>
      </c>
      <c r="AC10" s="1461" t="e">
        <f t="shared" ref="AC10:AC42" si="5">D10/J10</f>
        <v>#DIV/0!</v>
      </c>
    </row>
    <row r="11" spans="1:29" s="1166"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74" t="s">
        <v>518</v>
      </c>
      <c r="Q11" s="1097" t="str">
        <f t="shared" ref="Q11:Q17" si="6">B11</f>
        <v>用途</v>
      </c>
      <c r="R11" s="1458" t="s">
        <v>8</v>
      </c>
      <c r="S11" s="1459">
        <f t="shared" si="0"/>
        <v>100</v>
      </c>
      <c r="T11" s="1458" t="s">
        <v>8</v>
      </c>
      <c r="U11" s="1459">
        <f t="shared" si="1"/>
        <v>100</v>
      </c>
      <c r="V11" s="1458" t="s">
        <v>8</v>
      </c>
      <c r="W11" s="1459">
        <f t="shared" si="2"/>
        <v>100</v>
      </c>
      <c r="X11" s="1460"/>
      <c r="Y11" s="3618" t="s">
        <v>519</v>
      </c>
      <c r="Z11" s="1096" t="str">
        <f t="shared" ref="Z11:Z17" si="7">Q11</f>
        <v>用途</v>
      </c>
      <c r="AA11" s="1461">
        <f t="shared" si="3"/>
        <v>1</v>
      </c>
      <c r="AB11" s="1461">
        <f t="shared" si="4"/>
        <v>1</v>
      </c>
      <c r="AC11" s="1461">
        <f t="shared" si="5"/>
        <v>1</v>
      </c>
    </row>
    <row r="12" spans="1:29" s="1247" customFormat="1" ht="27">
      <c r="A12" s="2554"/>
      <c r="B12" s="2559" t="s">
        <v>2474</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74"/>
      <c r="Q12" s="1097" t="str">
        <f t="shared" si="6"/>
        <v>土地使用年限（年）</v>
      </c>
      <c r="R12" s="1458" t="s">
        <v>8</v>
      </c>
      <c r="S12" s="1459">
        <f t="shared" si="0"/>
        <v>100</v>
      </c>
      <c r="T12" s="1458" t="s">
        <v>8</v>
      </c>
      <c r="U12" s="1459">
        <f t="shared" si="1"/>
        <v>100</v>
      </c>
      <c r="V12" s="1458" t="s">
        <v>8</v>
      </c>
      <c r="W12" s="1459">
        <f t="shared" si="2"/>
        <v>100</v>
      </c>
      <c r="X12" s="1460"/>
      <c r="Y12" s="3618"/>
      <c r="Z12" s="1096" t="str">
        <f t="shared" si="7"/>
        <v>土地使用年限（年）</v>
      </c>
      <c r="AA12" s="1461">
        <f t="shared" si="3"/>
        <v>1</v>
      </c>
      <c r="AB12" s="1461">
        <f t="shared" si="4"/>
        <v>1</v>
      </c>
      <c r="AC12" s="1461">
        <f t="shared" si="5"/>
        <v>1</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74"/>
      <c r="Q13" s="1097" t="str">
        <f t="shared" si="6"/>
        <v>容积率</v>
      </c>
      <c r="R13" s="1458" t="s">
        <v>8</v>
      </c>
      <c r="S13" s="1459" t="e">
        <f t="shared" si="0"/>
        <v>#N/A</v>
      </c>
      <c r="T13" s="1458" t="s">
        <v>8</v>
      </c>
      <c r="U13" s="1459" t="e">
        <f t="shared" si="1"/>
        <v>#N/A</v>
      </c>
      <c r="V13" s="1458" t="s">
        <v>8</v>
      </c>
      <c r="W13" s="1459" t="e">
        <f t="shared" si="2"/>
        <v>#N/A</v>
      </c>
      <c r="X13" s="1460"/>
      <c r="Y13" s="3618"/>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74"/>
      <c r="Q14" s="1097">
        <f t="shared" si="6"/>
        <v>111</v>
      </c>
      <c r="R14" s="1458" t="s">
        <v>8</v>
      </c>
      <c r="S14" s="1459">
        <f t="shared" si="0"/>
        <v>100</v>
      </c>
      <c r="T14" s="1458" t="s">
        <v>8</v>
      </c>
      <c r="U14" s="1459">
        <f t="shared" si="1"/>
        <v>100</v>
      </c>
      <c r="V14" s="1458" t="s">
        <v>8</v>
      </c>
      <c r="W14" s="1459">
        <f t="shared" si="2"/>
        <v>100</v>
      </c>
      <c r="X14" s="1460"/>
      <c r="Y14" s="3618"/>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74"/>
      <c r="Q15" s="1097">
        <f t="shared" si="6"/>
        <v>111</v>
      </c>
      <c r="R15" s="1458" t="s">
        <v>8</v>
      </c>
      <c r="S15" s="1459">
        <f t="shared" si="0"/>
        <v>100</v>
      </c>
      <c r="T15" s="1458" t="s">
        <v>8</v>
      </c>
      <c r="U15" s="1459">
        <f t="shared" si="1"/>
        <v>100</v>
      </c>
      <c r="V15" s="1458" t="s">
        <v>8</v>
      </c>
      <c r="W15" s="1459">
        <f t="shared" si="2"/>
        <v>100</v>
      </c>
      <c r="X15" s="1460"/>
      <c r="Y15" s="3618"/>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74"/>
      <c r="Q16" s="1097">
        <f t="shared" si="6"/>
        <v>111</v>
      </c>
      <c r="R16" s="1458" t="s">
        <v>8</v>
      </c>
      <c r="S16" s="1459">
        <f t="shared" si="0"/>
        <v>100</v>
      </c>
      <c r="T16" s="1458" t="s">
        <v>8</v>
      </c>
      <c r="U16" s="1459">
        <f t="shared" si="1"/>
        <v>100</v>
      </c>
      <c r="V16" s="1458" t="s">
        <v>8</v>
      </c>
      <c r="W16" s="1459">
        <f t="shared" si="2"/>
        <v>100</v>
      </c>
      <c r="X16" s="1460"/>
      <c r="Y16" s="3618"/>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07" t="s">
        <v>523</v>
      </c>
      <c r="Q17" s="1462" t="str">
        <f t="shared" si="6"/>
        <v>产业集聚程度</v>
      </c>
      <c r="R17" s="1463" t="s">
        <v>8</v>
      </c>
      <c r="S17" s="1464">
        <f t="shared" si="0"/>
        <v>100</v>
      </c>
      <c r="T17" s="1463" t="s">
        <v>8</v>
      </c>
      <c r="U17" s="1464">
        <f t="shared" si="1"/>
        <v>100</v>
      </c>
      <c r="V17" s="1463" t="s">
        <v>8</v>
      </c>
      <c r="W17" s="1464">
        <f t="shared" si="2"/>
        <v>100</v>
      </c>
      <c r="X17" s="1457"/>
      <c r="Y17" s="3707"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08"/>
      <c r="Q18" s="1462"/>
      <c r="R18" s="1463"/>
      <c r="S18" s="1464"/>
      <c r="T18" s="1463"/>
      <c r="U18" s="1464"/>
      <c r="V18" s="1463"/>
      <c r="W18" s="1464"/>
      <c r="X18" s="1457"/>
      <c r="Y18" s="3708"/>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08"/>
      <c r="Q19" s="1462" t="str">
        <f>B19</f>
        <v>交通便捷度</v>
      </c>
      <c r="R19" s="1463" t="s">
        <v>8</v>
      </c>
      <c r="S19" s="1464">
        <f>F19</f>
        <v>100</v>
      </c>
      <c r="T19" s="1463" t="s">
        <v>8</v>
      </c>
      <c r="U19" s="1464">
        <f>H19</f>
        <v>100</v>
      </c>
      <c r="V19" s="1463" t="s">
        <v>8</v>
      </c>
      <c r="W19" s="1464">
        <f>J19</f>
        <v>100</v>
      </c>
      <c r="X19" s="1457"/>
      <c r="Y19" s="3708"/>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08"/>
      <c r="Q20" s="1462"/>
      <c r="R20" s="1463"/>
      <c r="S20" s="1464"/>
      <c r="T20" s="1463"/>
      <c r="U20" s="1464"/>
      <c r="V20" s="1463"/>
      <c r="W20" s="1464"/>
      <c r="X20" s="1457"/>
      <c r="Y20" s="3708"/>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08"/>
      <c r="Q21" s="1462" t="str">
        <f t="shared" ref="Q21:Q35" si="8">B21</f>
        <v>区域土地利用方向</v>
      </c>
      <c r="R21" s="1463" t="s">
        <v>8</v>
      </c>
      <c r="S21" s="1464">
        <f>F21</f>
        <v>100</v>
      </c>
      <c r="T21" s="1463" t="s">
        <v>8</v>
      </c>
      <c r="U21" s="1464">
        <f>H21</f>
        <v>100</v>
      </c>
      <c r="V21" s="1463" t="s">
        <v>8</v>
      </c>
      <c r="W21" s="1464">
        <f>J21</f>
        <v>100</v>
      </c>
      <c r="X21" s="1457"/>
      <c r="Y21" s="3708"/>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08"/>
      <c r="Q22" s="1462"/>
      <c r="R22" s="1463"/>
      <c r="S22" s="1464"/>
      <c r="T22" s="1463"/>
      <c r="U22" s="1464"/>
      <c r="V22" s="1463"/>
      <c r="W22" s="1464"/>
      <c r="X22" s="1457"/>
      <c r="Y22" s="3708"/>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08"/>
      <c r="Q23" s="1462" t="str">
        <f t="shared" si="8"/>
        <v>环境状况</v>
      </c>
      <c r="R23" s="1463" t="s">
        <v>8</v>
      </c>
      <c r="S23" s="1464">
        <f>F23</f>
        <v>100</v>
      </c>
      <c r="T23" s="1463" t="s">
        <v>8</v>
      </c>
      <c r="U23" s="1464">
        <f>H23</f>
        <v>100</v>
      </c>
      <c r="V23" s="1463" t="s">
        <v>8</v>
      </c>
      <c r="W23" s="1464">
        <f>J23</f>
        <v>100</v>
      </c>
      <c r="X23" s="1457"/>
      <c r="Y23" s="3708"/>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08"/>
      <c r="Q24" s="1462"/>
      <c r="R24" s="1463"/>
      <c r="S24" s="1464"/>
      <c r="T24" s="1463"/>
      <c r="U24" s="1464"/>
      <c r="V24" s="1463"/>
      <c r="W24" s="1464"/>
      <c r="X24" s="1457"/>
      <c r="Y24" s="3708"/>
      <c r="Z24" s="1465"/>
      <c r="AA24" s="1466">
        <v>1</v>
      </c>
      <c r="AB24" s="1466">
        <v>1</v>
      </c>
      <c r="AC24" s="1466">
        <v>1</v>
      </c>
    </row>
    <row r="25" spans="1:29" s="1166"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08"/>
      <c r="Q25" s="1097" t="str">
        <f t="shared" si="8"/>
        <v>公共配套设施</v>
      </c>
      <c r="R25" s="1458" t="s">
        <v>8</v>
      </c>
      <c r="S25" s="1459">
        <f>F25</f>
        <v>100</v>
      </c>
      <c r="T25" s="1458" t="s">
        <v>8</v>
      </c>
      <c r="U25" s="1459">
        <f>H25</f>
        <v>100</v>
      </c>
      <c r="V25" s="1458" t="s">
        <v>8</v>
      </c>
      <c r="W25" s="1459">
        <f>J25</f>
        <v>100</v>
      </c>
      <c r="X25" s="1460"/>
      <c r="Y25" s="3708"/>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08"/>
      <c r="Q26" s="1097"/>
      <c r="R26" s="1458"/>
      <c r="S26" s="1459"/>
      <c r="T26" s="1458"/>
      <c r="U26" s="1459"/>
      <c r="V26" s="1458"/>
      <c r="W26" s="1459"/>
      <c r="X26" s="1460"/>
      <c r="Y26" s="3708"/>
      <c r="Z26" s="1096"/>
      <c r="AA26" s="1461">
        <v>1</v>
      </c>
      <c r="AB26" s="1461">
        <v>1</v>
      </c>
      <c r="AC26" s="1461">
        <v>1</v>
      </c>
    </row>
    <row r="27" spans="1:29" s="1166"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08"/>
      <c r="Q27" s="2350" t="str">
        <f t="shared" ref="Q27" si="9">B27</f>
        <v>基础设施水平</v>
      </c>
      <c r="R27" s="1458" t="s">
        <v>8</v>
      </c>
      <c r="S27" s="1459">
        <f>F27</f>
        <v>100</v>
      </c>
      <c r="T27" s="1458" t="s">
        <v>8</v>
      </c>
      <c r="U27" s="1459">
        <f>H27</f>
        <v>100</v>
      </c>
      <c r="V27" s="1458" t="s">
        <v>8</v>
      </c>
      <c r="W27" s="1459">
        <f>J27</f>
        <v>100</v>
      </c>
      <c r="X27" s="1460"/>
      <c r="Y27" s="3708"/>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08"/>
      <c r="Q28" s="2350"/>
      <c r="R28" s="1458"/>
      <c r="S28" s="1459"/>
      <c r="T28" s="1458"/>
      <c r="U28" s="1459"/>
      <c r="V28" s="1458"/>
      <c r="W28" s="1459"/>
      <c r="X28" s="1460"/>
      <c r="Y28" s="3708"/>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08"/>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08"/>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08"/>
      <c r="Q30" s="1462" t="str">
        <f t="shared" si="8"/>
        <v>毗邻道路的类型与等级</v>
      </c>
      <c r="R30" s="1463" t="s">
        <v>8</v>
      </c>
      <c r="S30" s="1464">
        <f t="shared" si="10"/>
        <v>100</v>
      </c>
      <c r="T30" s="1463" t="s">
        <v>8</v>
      </c>
      <c r="U30" s="1464">
        <f t="shared" si="11"/>
        <v>100</v>
      </c>
      <c r="V30" s="1463" t="s">
        <v>8</v>
      </c>
      <c r="W30" s="1464">
        <f t="shared" si="12"/>
        <v>100</v>
      </c>
      <c r="X30" s="1457"/>
      <c r="Y30" s="3708"/>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08"/>
      <c r="Q31" s="1462"/>
      <c r="R31" s="1463"/>
      <c r="S31" s="1464"/>
      <c r="T31" s="1463"/>
      <c r="U31" s="1464"/>
      <c r="V31" s="1463"/>
      <c r="W31" s="1464"/>
      <c r="X31" s="1457"/>
      <c r="Y31" s="3708"/>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08"/>
      <c r="Q32" s="1462" t="str">
        <f t="shared" si="8"/>
        <v>土地级别</v>
      </c>
      <c r="R32" s="1463" t="s">
        <v>8</v>
      </c>
      <c r="S32" s="1464">
        <f t="shared" si="10"/>
        <v>100</v>
      </c>
      <c r="T32" s="1463" t="s">
        <v>8</v>
      </c>
      <c r="U32" s="1464">
        <f t="shared" si="11"/>
        <v>100</v>
      </c>
      <c r="V32" s="1463" t="s">
        <v>8</v>
      </c>
      <c r="W32" s="1464">
        <f t="shared" si="12"/>
        <v>100</v>
      </c>
      <c r="X32" s="1457"/>
      <c r="Y32" s="3708"/>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08"/>
      <c r="Q33" s="1462">
        <f t="shared" si="8"/>
        <v>111</v>
      </c>
      <c r="R33" s="1463" t="s">
        <v>8</v>
      </c>
      <c r="S33" s="1464">
        <f t="shared" si="10"/>
        <v>100</v>
      </c>
      <c r="T33" s="1463" t="s">
        <v>8</v>
      </c>
      <c r="U33" s="1464">
        <f t="shared" si="11"/>
        <v>100</v>
      </c>
      <c r="V33" s="1463" t="s">
        <v>8</v>
      </c>
      <c r="W33" s="1464">
        <f t="shared" si="12"/>
        <v>100</v>
      </c>
      <c r="X33" s="1457"/>
      <c r="Y33" s="3708"/>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09" t="s">
        <v>533</v>
      </c>
      <c r="Q34" s="1462">
        <f t="shared" si="8"/>
        <v>111</v>
      </c>
      <c r="R34" s="1463" t="s">
        <v>8</v>
      </c>
      <c r="S34" s="1464">
        <f t="shared" si="10"/>
        <v>100</v>
      </c>
      <c r="T34" s="1463" t="s">
        <v>8</v>
      </c>
      <c r="U34" s="1464">
        <f t="shared" si="11"/>
        <v>100</v>
      </c>
      <c r="V34" s="1463" t="s">
        <v>8</v>
      </c>
      <c r="W34" s="1464">
        <f t="shared" si="12"/>
        <v>100</v>
      </c>
      <c r="X34" s="1457"/>
      <c r="Y34" s="3710"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10"/>
      <c r="Q35" s="1462">
        <f t="shared" si="8"/>
        <v>111</v>
      </c>
      <c r="R35" s="1467" t="s">
        <v>8</v>
      </c>
      <c r="S35" s="1468">
        <f t="shared" si="10"/>
        <v>100</v>
      </c>
      <c r="T35" s="1467" t="s">
        <v>8</v>
      </c>
      <c r="U35" s="1468">
        <f t="shared" si="11"/>
        <v>100</v>
      </c>
      <c r="V35" s="1467" t="s">
        <v>8</v>
      </c>
      <c r="W35" s="1468">
        <f t="shared" si="12"/>
        <v>100</v>
      </c>
      <c r="X35" s="1469"/>
      <c r="Y35" s="3710"/>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10"/>
      <c r="Q36" s="1462" t="str">
        <f>B36</f>
        <v>宗地面积</v>
      </c>
      <c r="R36" s="1463" t="s">
        <v>8</v>
      </c>
      <c r="S36" s="1464" t="e">
        <f t="shared" si="10"/>
        <v>#N/A</v>
      </c>
      <c r="T36" s="1463" t="s">
        <v>8</v>
      </c>
      <c r="U36" s="1464" t="e">
        <f t="shared" si="11"/>
        <v>#N/A</v>
      </c>
      <c r="V36" s="1463" t="s">
        <v>8</v>
      </c>
      <c r="W36" s="1464" t="e">
        <f t="shared" si="12"/>
        <v>#N/A</v>
      </c>
      <c r="X36" s="1457"/>
      <c r="Y36" s="3710"/>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10"/>
      <c r="Q37" s="1462" t="str">
        <f t="shared" ref="Q37:Q42" si="14">B37</f>
        <v>宗地形状</v>
      </c>
      <c r="R37" s="1463" t="s">
        <v>8</v>
      </c>
      <c r="S37" s="1464">
        <f t="shared" si="10"/>
        <v>100</v>
      </c>
      <c r="T37" s="1463" t="s">
        <v>8</v>
      </c>
      <c r="U37" s="1464">
        <f t="shared" si="11"/>
        <v>100</v>
      </c>
      <c r="V37" s="1463" t="s">
        <v>8</v>
      </c>
      <c r="W37" s="1464">
        <f t="shared" si="12"/>
        <v>100</v>
      </c>
      <c r="X37" s="1457"/>
      <c r="Y37" s="3710"/>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10"/>
      <c r="Q38" s="1462" t="str">
        <f t="shared" si="14"/>
        <v>宗地开发程度</v>
      </c>
      <c r="R38" s="1458" t="s">
        <v>8</v>
      </c>
      <c r="S38" s="1459">
        <f t="shared" si="10"/>
        <v>100</v>
      </c>
      <c r="T38" s="1458" t="s">
        <v>8</v>
      </c>
      <c r="U38" s="1459">
        <f t="shared" si="11"/>
        <v>100</v>
      </c>
      <c r="V38" s="1458" t="s">
        <v>8</v>
      </c>
      <c r="W38" s="1459">
        <f t="shared" si="12"/>
        <v>100</v>
      </c>
      <c r="X38" s="1460"/>
      <c r="Y38" s="3710"/>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10" t="s">
        <v>583</v>
      </c>
      <c r="Q39" s="1462" t="str">
        <f t="shared" si="14"/>
        <v>工程地质条件</v>
      </c>
      <c r="R39" s="1463" t="s">
        <v>8</v>
      </c>
      <c r="S39" s="1464">
        <f t="shared" si="10"/>
        <v>100</v>
      </c>
      <c r="T39" s="1463" t="s">
        <v>8</v>
      </c>
      <c r="U39" s="1464">
        <f t="shared" si="11"/>
        <v>100</v>
      </c>
      <c r="V39" s="1463" t="s">
        <v>8</v>
      </c>
      <c r="W39" s="1464">
        <f t="shared" si="12"/>
        <v>100</v>
      </c>
      <c r="X39" s="1457"/>
      <c r="Y39" s="3710"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10"/>
      <c r="Q40" s="1462">
        <f t="shared" si="14"/>
        <v>111</v>
      </c>
      <c r="R40" s="1463" t="s">
        <v>8</v>
      </c>
      <c r="S40" s="1464">
        <f t="shared" si="10"/>
        <v>100</v>
      </c>
      <c r="T40" s="1463" t="s">
        <v>8</v>
      </c>
      <c r="U40" s="1464">
        <f t="shared" si="11"/>
        <v>100</v>
      </c>
      <c r="V40" s="1463" t="s">
        <v>8</v>
      </c>
      <c r="W40" s="1464">
        <f t="shared" si="12"/>
        <v>100</v>
      </c>
      <c r="X40" s="1457"/>
      <c r="Y40" s="3710"/>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10"/>
      <c r="Q41" s="1462">
        <f t="shared" si="14"/>
        <v>111</v>
      </c>
      <c r="R41" s="1463" t="s">
        <v>8</v>
      </c>
      <c r="S41" s="1464">
        <f t="shared" si="10"/>
        <v>100</v>
      </c>
      <c r="T41" s="1463" t="s">
        <v>8</v>
      </c>
      <c r="U41" s="1464">
        <f t="shared" si="11"/>
        <v>100</v>
      </c>
      <c r="V41" s="1463" t="s">
        <v>8</v>
      </c>
      <c r="W41" s="1464">
        <f t="shared" si="12"/>
        <v>100</v>
      </c>
      <c r="X41" s="1457"/>
      <c r="Y41" s="3710"/>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10"/>
      <c r="Q42" s="1462">
        <f t="shared" si="14"/>
        <v>111</v>
      </c>
      <c r="R42" s="1467" t="s">
        <v>8</v>
      </c>
      <c r="S42" s="1468">
        <f t="shared" si="10"/>
        <v>100</v>
      </c>
      <c r="T42" s="1467" t="s">
        <v>8</v>
      </c>
      <c r="U42" s="1468">
        <f t="shared" si="11"/>
        <v>100</v>
      </c>
      <c r="V42" s="1467" t="s">
        <v>8</v>
      </c>
      <c r="W42" s="1468">
        <f t="shared" si="12"/>
        <v>100</v>
      </c>
      <c r="X42" s="1469"/>
      <c r="Y42" s="3710"/>
      <c r="Z42" s="1470">
        <f t="shared" si="13"/>
        <v>111</v>
      </c>
      <c r="AA42" s="1466">
        <f t="shared" si="3"/>
        <v>1</v>
      </c>
      <c r="AB42" s="1466">
        <f t="shared" si="4"/>
        <v>1</v>
      </c>
      <c r="AC42" s="1466">
        <f t="shared" si="5"/>
        <v>1</v>
      </c>
    </row>
    <row r="43" spans="1:29" ht="15">
      <c r="A43" s="584" t="s">
        <v>539</v>
      </c>
      <c r="B43" s="585" t="s">
        <v>2636</v>
      </c>
      <c r="C43" s="586" t="s">
        <v>1</v>
      </c>
      <c r="D43" s="587"/>
      <c r="E43" s="588"/>
      <c r="F43" s="589"/>
      <c r="G43" s="590"/>
      <c r="H43" s="591"/>
      <c r="I43" s="588"/>
      <c r="J43" s="591"/>
      <c r="K43" s="1249"/>
      <c r="L43" s="1980"/>
      <c r="M43" s="1970"/>
      <c r="N43" s="1970"/>
      <c r="O43" s="1981"/>
      <c r="P43" s="3674" t="str">
        <f>A43</f>
        <v>成交单价</v>
      </c>
      <c r="Q43" s="3674"/>
      <c r="R43" s="3675">
        <f>E43</f>
        <v>0</v>
      </c>
      <c r="S43" s="3675"/>
      <c r="T43" s="3675">
        <f>G43</f>
        <v>0</v>
      </c>
      <c r="U43" s="3675"/>
      <c r="V43" s="3675">
        <f>I43</f>
        <v>0</v>
      </c>
      <c r="W43" s="3675"/>
      <c r="X43" s="1452"/>
      <c r="Y43" s="1471"/>
      <c r="Z43" s="1452"/>
      <c r="AA43" s="1452"/>
      <c r="AB43" s="1452"/>
      <c r="AC43" s="1452"/>
    </row>
    <row r="44" spans="1:29" ht="15.75" thickBot="1">
      <c r="A44" s="592" t="s">
        <v>2410</v>
      </c>
      <c r="B44" s="593"/>
      <c r="C44" s="594" t="e">
        <f>R45</f>
        <v>#DIV/0!</v>
      </c>
      <c r="D44" s="2922" t="s">
        <v>2702</v>
      </c>
      <c r="E44" s="594" t="e">
        <f>R44</f>
        <v>#DIV/0!</v>
      </c>
      <c r="F44" s="2923"/>
      <c r="G44" s="595" t="e">
        <f>T44</f>
        <v>#DIV/0!</v>
      </c>
      <c r="H44" s="2923"/>
      <c r="I44" s="594" t="e">
        <f>V44</f>
        <v>#DIV/0!</v>
      </c>
      <c r="J44" s="2923"/>
      <c r="K44" s="2924">
        <f>F44+H44+J44</f>
        <v>0</v>
      </c>
      <c r="L44" s="1980"/>
      <c r="M44" s="1970"/>
      <c r="N44" s="1970"/>
      <c r="O44" s="1981"/>
      <c r="P44" s="3674" t="str">
        <f>A44</f>
        <v>比较价格（元/平方米）</v>
      </c>
      <c r="Q44" s="3674"/>
      <c r="R44" s="3676" t="e">
        <f>ROUND(PRODUCT(R43,AA9:AA42),0)</f>
        <v>#DIV/0!</v>
      </c>
      <c r="S44" s="3676"/>
      <c r="T44" s="3676" t="e">
        <f>ROUND(PRODUCT(T43,AB9:AB42),0)</f>
        <v>#DIV/0!</v>
      </c>
      <c r="U44" s="3676"/>
      <c r="V44" s="3676" t="e">
        <f>ROUND(PRODUCT(V43,AC9:AC42),0)</f>
        <v>#DIV/0!</v>
      </c>
      <c r="W44" s="3676"/>
      <c r="X44" s="1452"/>
      <c r="Y44" s="1452"/>
      <c r="Z44" s="1452"/>
      <c r="AA44" s="1452"/>
      <c r="AB44" s="1452"/>
      <c r="AC44" s="1452"/>
    </row>
    <row r="45" spans="1:29" ht="15.75" thickBot="1">
      <c r="A45" s="596" t="s">
        <v>2637</v>
      </c>
      <c r="B45" s="597"/>
      <c r="C45" s="598" t="e">
        <f>R45</f>
        <v>#DIV/0!</v>
      </c>
      <c r="D45" s="598"/>
      <c r="E45" s="598"/>
      <c r="F45" s="598"/>
      <c r="G45" s="598"/>
      <c r="H45" s="598"/>
      <c r="I45" s="598"/>
      <c r="J45" s="598"/>
      <c r="K45" s="1250"/>
      <c r="L45" s="1980"/>
      <c r="M45" s="1970"/>
      <c r="N45" s="1970"/>
      <c r="O45" s="1981"/>
      <c r="P45" s="3711" t="str">
        <f>A45</f>
        <v>估价对象XX用房的比较价格（楼面单价，元/平方米）</v>
      </c>
      <c r="Q45" s="3712"/>
      <c r="R45" s="3723" t="e">
        <f>ROUND(IF(D44="简单平均",AVERAGE(R44:W44),R44*F44+T44*H44+V44*J44),0)</f>
        <v>#DIV/0!</v>
      </c>
      <c r="S45" s="3723"/>
      <c r="T45" s="3723"/>
      <c r="U45" s="3723"/>
      <c r="V45" s="3723"/>
      <c r="W45" s="3723"/>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19" t="s">
        <v>2075</v>
      </c>
      <c r="H52" s="3720"/>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60651.07</v>
      </c>
      <c r="F53" s="1819" t="e">
        <f t="shared" ref="F53:F61" si="15">ROUND(B53*E53/10000,0)</f>
        <v>#DIV/0!</v>
      </c>
      <c r="G53" s="3721"/>
      <c r="H53" s="3722"/>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0.15</v>
      </c>
      <c r="D59" s="2063">
        <v>0.25</v>
      </c>
      <c r="E59" s="616">
        <f>'数据-汇总表'!E13</f>
        <v>22085</v>
      </c>
      <c r="F59" s="1819" t="e">
        <f t="shared" si="15"/>
        <v>#DIV/0!</v>
      </c>
      <c r="G59" s="1815" t="s">
        <v>902</v>
      </c>
      <c r="H59" s="1823" t="str">
        <f>IF(G59="商业",项目基本情况!B43,IF(G59="办公",项目基本情况!C43,IF(G59="住宅",项目基本情况!D43,项目基本情况!E43)))</f>
        <v>六级</v>
      </c>
      <c r="I59" s="1822">
        <f>SUMIF(修正!$A$57:$A$68,H59,修正!G57:G68)</f>
        <v>0.15</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32294.89</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B2" sqref="B2"/>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38"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4</v>
      </c>
      <c r="AA7" s="2027"/>
      <c r="AB7" s="2027"/>
      <c r="AC7" s="2028"/>
      <c r="AD7" s="2568"/>
      <c r="AE7" s="2568"/>
      <c r="AF7" s="2568"/>
      <c r="AG7" s="2568"/>
      <c r="AH7" s="2568"/>
      <c r="AI7" s="2568"/>
      <c r="AJ7" s="2569"/>
    </row>
    <row r="8" spans="1:39" ht="15">
      <c r="A8" s="3739"/>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25" t="s">
        <v>2499</v>
      </c>
      <c r="X8" s="3726"/>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39"/>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24"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39"/>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24"/>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39"/>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24"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38"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24"/>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40"/>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24"/>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40"/>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41"/>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38" t="s">
        <v>1638</v>
      </c>
      <c r="B16" s="1331" t="s">
        <v>929</v>
      </c>
      <c r="C16" s="1021" t="e">
        <f>ROUND(IF(F17="与级别开发程度一致",0,(G17-E17)/C17),0)</f>
        <v>#DIV/0!</v>
      </c>
      <c r="D16" s="3732" t="s">
        <v>933</v>
      </c>
      <c r="E16" s="3733"/>
      <c r="F16" s="3732" t="s">
        <v>930</v>
      </c>
      <c r="G16" s="3733"/>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42"/>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34"/>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34"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35"/>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5"/>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35"/>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35"/>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36"/>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36"/>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43" t="s">
        <v>1434</v>
      </c>
      <c r="B90" s="3743"/>
      <c r="C90" s="3743"/>
      <c r="D90" s="3743"/>
      <c r="E90" s="3743"/>
      <c r="F90" s="3743"/>
      <c r="G90" s="3743"/>
      <c r="H90" s="3743"/>
      <c r="I90" s="3743"/>
      <c r="J90" s="3743"/>
      <c r="K90" s="2259"/>
      <c r="L90" s="2259"/>
      <c r="M90" s="2259"/>
      <c r="N90" s="2259"/>
    </row>
    <row r="91" spans="1:40">
      <c r="A91" s="3744" t="s">
        <v>1422</v>
      </c>
      <c r="B91" s="3744" t="s">
        <v>1435</v>
      </c>
      <c r="C91" s="1086" t="s">
        <v>1436</v>
      </c>
      <c r="D91" s="1087"/>
      <c r="E91" s="1087"/>
      <c r="F91" s="1087"/>
      <c r="G91" s="1087"/>
      <c r="H91" s="1087"/>
      <c r="I91" s="1087"/>
      <c r="J91" s="1088"/>
      <c r="K91" s="1080"/>
      <c r="L91" s="1080"/>
      <c r="M91" s="1080"/>
      <c r="N91" s="1080"/>
    </row>
    <row r="92" spans="1:40">
      <c r="A92" s="3744"/>
      <c r="B92" s="3744"/>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27"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8"/>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8"/>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8"/>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8"/>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8"/>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8"/>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9"/>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7" t="s">
        <v>1438</v>
      </c>
      <c r="B101" s="1093" t="s">
        <v>885</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28"/>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28"/>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28"/>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28"/>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28"/>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28"/>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28"/>
      <c r="B108" s="3730"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9"/>
      <c r="B109" s="3731"/>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37" t="s">
        <v>1440</v>
      </c>
      <c r="B110" s="3737"/>
      <c r="C110" s="3737"/>
      <c r="D110" s="3737"/>
      <c r="E110" s="3737"/>
      <c r="F110" s="3737"/>
      <c r="G110" s="3737"/>
      <c r="H110" s="3737"/>
      <c r="I110" s="3737"/>
      <c r="J110" s="3737"/>
      <c r="K110" s="2257"/>
      <c r="L110" s="2257"/>
      <c r="M110" s="2257"/>
      <c r="N110" s="2257"/>
    </row>
    <row r="112" spans="1:14" ht="12.75" thickBot="1"/>
    <row r="113" spans="1:13" ht="25.5"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2" priority="5" stopIfTrue="1" operator="notEqual">
      <formula>"——"</formula>
    </cfRule>
  </conditionalFormatting>
  <conditionalFormatting sqref="F58">
    <cfRule type="cellIs" dxfId="161" priority="4" stopIfTrue="1" operator="notEqual">
      <formula>"——"</formula>
    </cfRule>
  </conditionalFormatting>
  <conditionalFormatting sqref="F69">
    <cfRule type="cellIs" dxfId="160" priority="3" stopIfTrue="1" operator="notEqual">
      <formula>"——"</formula>
    </cfRule>
  </conditionalFormatting>
  <conditionalFormatting sqref="F80">
    <cfRule type="cellIs" dxfId="159" priority="2" stopIfTrue="1" operator="notEqual">
      <formula>"——"</formula>
    </cfRule>
  </conditionalFormatting>
  <conditionalFormatting sqref="H58:H66 H47:H55 H69:H77 H80:H87">
    <cfRule type="cellIs" dxfId="15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745" t="s">
        <v>2894</v>
      </c>
      <c r="B20" s="3748" t="s">
        <v>2904</v>
      </c>
      <c r="C20" s="3426" t="s">
        <v>2905</v>
      </c>
      <c r="D20" s="3427"/>
      <c r="E20" s="3428">
        <v>1</v>
      </c>
      <c r="F20" s="3429" t="s">
        <v>2906</v>
      </c>
      <c r="G20" s="1080"/>
      <c r="H20" s="1070"/>
      <c r="I20" s="1070"/>
    </row>
    <row r="21" spans="1:13" s="1485" customFormat="1">
      <c r="A21" s="3746"/>
      <c r="B21" s="3749"/>
      <c r="C21" s="3430" t="s">
        <v>2907</v>
      </c>
      <c r="D21" s="3431"/>
      <c r="E21" s="3432">
        <v>1</v>
      </c>
      <c r="F21" s="3429" t="s">
        <v>2908</v>
      </c>
      <c r="G21" s="1080"/>
      <c r="H21" s="1070"/>
      <c r="I21" s="1070"/>
    </row>
    <row r="22" spans="1:13" s="1485" customFormat="1">
      <c r="A22" s="3746"/>
      <c r="B22" s="3749"/>
      <c r="C22" s="3430" t="s">
        <v>2909</v>
      </c>
      <c r="D22" s="3431"/>
      <c r="E22" s="3432">
        <v>0.9</v>
      </c>
      <c r="F22" s="3429" t="s">
        <v>2910</v>
      </c>
      <c r="G22" s="1080"/>
      <c r="H22" s="1070"/>
      <c r="I22" s="1070"/>
    </row>
    <row r="23" spans="1:13" s="1485" customFormat="1">
      <c r="A23" s="3746"/>
      <c r="B23" s="3749"/>
      <c r="C23" s="3430" t="s">
        <v>2911</v>
      </c>
      <c r="D23" s="3431"/>
      <c r="E23" s="3432">
        <v>0.9</v>
      </c>
      <c r="F23" s="3429" t="s">
        <v>2912</v>
      </c>
      <c r="G23" s="1080"/>
      <c r="H23" s="1070"/>
      <c r="I23" s="1070"/>
    </row>
    <row r="24" spans="1:13" s="1485" customFormat="1">
      <c r="A24" s="3746"/>
      <c r="B24" s="3749"/>
      <c r="C24" s="3430" t="s">
        <v>2913</v>
      </c>
      <c r="D24" s="3431"/>
      <c r="E24" s="3432">
        <v>0.8</v>
      </c>
      <c r="F24" s="3429" t="s">
        <v>2914</v>
      </c>
      <c r="G24" s="1080"/>
      <c r="H24" s="1070"/>
      <c r="I24" s="1070"/>
    </row>
    <row r="25" spans="1:13" s="1485" customFormat="1" ht="14.25" thickBot="1">
      <c r="A25" s="3747"/>
      <c r="B25" s="3750"/>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51" t="s">
        <v>2899</v>
      </c>
      <c r="B27" s="3748" t="s">
        <v>2899</v>
      </c>
      <c r="C27" s="3426" t="s">
        <v>2919</v>
      </c>
      <c r="D27" s="3427"/>
      <c r="E27" s="3428">
        <v>1</v>
      </c>
      <c r="F27" s="3429" t="s">
        <v>2920</v>
      </c>
      <c r="G27" s="1080"/>
      <c r="H27" s="1070"/>
      <c r="I27" s="1070"/>
    </row>
    <row r="28" spans="1:13" s="1485" customFormat="1">
      <c r="A28" s="3752"/>
      <c r="B28" s="3749"/>
      <c r="C28" s="3430" t="s">
        <v>2921</v>
      </c>
      <c r="D28" s="3431"/>
      <c r="E28" s="3432">
        <v>1</v>
      </c>
      <c r="F28" s="3429" t="s">
        <v>2922</v>
      </c>
      <c r="G28" s="1080"/>
      <c r="H28" s="1070"/>
      <c r="I28" s="1070"/>
    </row>
    <row r="29" spans="1:13" s="1485" customFormat="1">
      <c r="A29" s="3752"/>
      <c r="B29" s="3749"/>
      <c r="C29" s="3430" t="s">
        <v>2923</v>
      </c>
      <c r="D29" s="3431"/>
      <c r="E29" s="3432">
        <v>0.8</v>
      </c>
      <c r="F29" s="3429" t="s">
        <v>2924</v>
      </c>
      <c r="G29" s="1080"/>
      <c r="H29" s="1070"/>
      <c r="I29" s="1070"/>
    </row>
    <row r="30" spans="1:13" s="1485" customFormat="1">
      <c r="A30" s="3752"/>
      <c r="B30" s="3749"/>
      <c r="C30" s="3430" t="s">
        <v>2925</v>
      </c>
      <c r="D30" s="3431"/>
      <c r="E30" s="3432">
        <v>0.8</v>
      </c>
      <c r="F30" s="3429" t="s">
        <v>2926</v>
      </c>
      <c r="G30" s="1080"/>
      <c r="H30" s="1070"/>
      <c r="I30" s="1070"/>
    </row>
    <row r="31" spans="1:13" s="1485" customFormat="1">
      <c r="A31" s="3752"/>
      <c r="B31" s="3749"/>
      <c r="C31" s="3430" t="s">
        <v>2927</v>
      </c>
      <c r="D31" s="3431"/>
      <c r="E31" s="3432">
        <v>0.8</v>
      </c>
      <c r="F31" s="3429" t="s">
        <v>2928</v>
      </c>
      <c r="G31" s="1080"/>
      <c r="H31" s="1070"/>
      <c r="I31" s="1070"/>
    </row>
    <row r="32" spans="1:13" s="1485" customFormat="1">
      <c r="A32" s="3752"/>
      <c r="B32" s="3749"/>
      <c r="C32" s="3430" t="s">
        <v>2929</v>
      </c>
      <c r="D32" s="3431"/>
      <c r="E32" s="3432">
        <v>0.7</v>
      </c>
      <c r="F32" s="3429" t="s">
        <v>2930</v>
      </c>
      <c r="G32" s="1080"/>
      <c r="H32" s="1070"/>
      <c r="I32" s="1070"/>
    </row>
    <row r="33" spans="1:9" s="1485" customFormat="1">
      <c r="A33" s="3752"/>
      <c r="B33" s="3749"/>
      <c r="C33" s="3430" t="s">
        <v>2931</v>
      </c>
      <c r="D33" s="3431"/>
      <c r="E33" s="3432">
        <v>0.8</v>
      </c>
      <c r="F33" s="3429" t="s">
        <v>2932</v>
      </c>
      <c r="G33" s="1080"/>
      <c r="H33" s="1070"/>
      <c r="I33" s="1070"/>
    </row>
    <row r="34" spans="1:9" s="1485" customFormat="1">
      <c r="A34" s="3752"/>
      <c r="B34" s="3749"/>
      <c r="C34" s="3430" t="s">
        <v>2933</v>
      </c>
      <c r="D34" s="3431"/>
      <c r="E34" s="3432">
        <v>0.6</v>
      </c>
      <c r="F34" s="3429" t="s">
        <v>2934</v>
      </c>
      <c r="G34" s="1080"/>
      <c r="H34" s="1070"/>
      <c r="I34" s="1070"/>
    </row>
    <row r="35" spans="1:9" s="1485" customFormat="1">
      <c r="A35" s="3752"/>
      <c r="B35" s="3749"/>
      <c r="C35" s="3430" t="s">
        <v>2935</v>
      </c>
      <c r="D35" s="3431"/>
      <c r="E35" s="3432">
        <v>0.2</v>
      </c>
      <c r="F35" s="3429" t="s">
        <v>2936</v>
      </c>
      <c r="G35" s="1080"/>
      <c r="H35" s="1070"/>
      <c r="I35" s="1070"/>
    </row>
    <row r="36" spans="1:9" s="1485" customFormat="1">
      <c r="A36" s="3752"/>
      <c r="B36" s="3749"/>
      <c r="C36" s="3430" t="s">
        <v>2937</v>
      </c>
      <c r="D36" s="3431"/>
      <c r="E36" s="3432">
        <v>0.2</v>
      </c>
      <c r="F36" s="3429" t="s">
        <v>2938</v>
      </c>
      <c r="G36" s="1080"/>
      <c r="H36" s="1070"/>
      <c r="I36" s="1070"/>
    </row>
    <row r="37" spans="1:9" s="1485" customFormat="1">
      <c r="A37" s="3752"/>
      <c r="B37" s="3754" t="s">
        <v>2939</v>
      </c>
      <c r="C37" s="3430" t="s">
        <v>2940</v>
      </c>
      <c r="D37" s="3431"/>
      <c r="E37" s="3432">
        <v>0.6</v>
      </c>
      <c r="F37" s="3429" t="s">
        <v>2941</v>
      </c>
      <c r="G37" s="1080"/>
      <c r="H37" s="1070"/>
      <c r="I37" s="1070"/>
    </row>
    <row r="38" spans="1:9" s="1485" customFormat="1">
      <c r="A38" s="3752"/>
      <c r="B38" s="3749"/>
      <c r="C38" s="3430" t="s">
        <v>2942</v>
      </c>
      <c r="D38" s="3431"/>
      <c r="E38" s="3432">
        <v>0.6</v>
      </c>
      <c r="F38" s="3429" t="s">
        <v>2943</v>
      </c>
      <c r="G38" s="1080"/>
      <c r="H38" s="1070"/>
      <c r="I38" s="1070"/>
    </row>
    <row r="39" spans="1:9" s="1485" customFormat="1" ht="14.25" thickBot="1">
      <c r="A39" s="3753"/>
      <c r="B39" s="3750"/>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745" t="s">
        <v>2897</v>
      </c>
      <c r="B41" s="3748" t="s">
        <v>2948</v>
      </c>
      <c r="C41" s="3426" t="s">
        <v>2949</v>
      </c>
      <c r="D41" s="3427"/>
      <c r="E41" s="3428">
        <v>1</v>
      </c>
      <c r="F41" s="3429" t="s">
        <v>2950</v>
      </c>
      <c r="G41" s="1080"/>
      <c r="H41" s="1070"/>
      <c r="I41" s="1070"/>
    </row>
    <row r="42" spans="1:9" s="1485" customFormat="1">
      <c r="A42" s="3746"/>
      <c r="B42" s="3749"/>
      <c r="C42" s="3430" t="s">
        <v>2951</v>
      </c>
      <c r="D42" s="3431"/>
      <c r="E42" s="3432">
        <v>1</v>
      </c>
      <c r="F42" s="3429" t="s">
        <v>2952</v>
      </c>
      <c r="G42" s="1080"/>
      <c r="H42" s="1070"/>
      <c r="I42" s="1070"/>
    </row>
    <row r="43" spans="1:9" s="1485" customFormat="1">
      <c r="A43" s="3746"/>
      <c r="B43" s="3755"/>
      <c r="C43" s="3430" t="s">
        <v>2953</v>
      </c>
      <c r="D43" s="3431"/>
      <c r="E43" s="3432">
        <v>1.5</v>
      </c>
      <c r="F43" s="3429" t="s">
        <v>2954</v>
      </c>
      <c r="G43" s="1080"/>
      <c r="H43" s="1070"/>
      <c r="I43" s="1070"/>
    </row>
    <row r="44" spans="1:9" s="1485" customFormat="1">
      <c r="A44" s="3746"/>
      <c r="B44" s="3441" t="s">
        <v>2899</v>
      </c>
      <c r="C44" s="3430" t="s">
        <v>2898</v>
      </c>
      <c r="D44" s="3431"/>
      <c r="E44" s="3432">
        <v>2</v>
      </c>
      <c r="F44" s="3429" t="s">
        <v>2955</v>
      </c>
      <c r="G44" s="1080"/>
      <c r="H44" s="1070"/>
      <c r="I44" s="1070"/>
    </row>
    <row r="45" spans="1:9" s="1485" customFormat="1">
      <c r="A45" s="3746"/>
      <c r="B45" s="3754" t="s">
        <v>2956</v>
      </c>
      <c r="C45" s="3430" t="s">
        <v>2957</v>
      </c>
      <c r="D45" s="3431"/>
      <c r="E45" s="3432">
        <v>1</v>
      </c>
      <c r="F45" s="3429" t="s">
        <v>2958</v>
      </c>
      <c r="G45" s="1080"/>
      <c r="H45" s="1070"/>
      <c r="I45" s="1070"/>
    </row>
    <row r="46" spans="1:9" s="1485" customFormat="1">
      <c r="A46" s="3746"/>
      <c r="B46" s="3749"/>
      <c r="C46" s="3430" t="s">
        <v>2959</v>
      </c>
      <c r="D46" s="3431"/>
      <c r="E46" s="3432">
        <v>1</v>
      </c>
      <c r="F46" s="3429" t="s">
        <v>2960</v>
      </c>
      <c r="G46" s="1080"/>
      <c r="H46" s="1070"/>
      <c r="I46" s="1070"/>
    </row>
    <row r="47" spans="1:9" s="1485" customFormat="1">
      <c r="A47" s="3746"/>
      <c r="B47" s="3749"/>
      <c r="C47" s="3430" t="s">
        <v>2961</v>
      </c>
      <c r="D47" s="3431"/>
      <c r="E47" s="3432">
        <v>1</v>
      </c>
      <c r="F47" s="3429" t="s">
        <v>2962</v>
      </c>
      <c r="G47" s="1080"/>
      <c r="H47" s="1070"/>
      <c r="I47" s="1070"/>
    </row>
    <row r="48" spans="1:9" s="1485" customFormat="1">
      <c r="A48" s="3746"/>
      <c r="B48" s="3749"/>
      <c r="C48" s="3430" t="s">
        <v>2963</v>
      </c>
      <c r="D48" s="3431"/>
      <c r="E48" s="3432">
        <v>1</v>
      </c>
      <c r="F48" s="3429" t="s">
        <v>2964</v>
      </c>
      <c r="G48" s="1080"/>
      <c r="H48" s="1070"/>
      <c r="I48" s="1070"/>
    </row>
    <row r="49" spans="1:9" s="1485" customFormat="1">
      <c r="A49" s="3746"/>
      <c r="B49" s="3749"/>
      <c r="C49" s="3430" t="s">
        <v>2965</v>
      </c>
      <c r="D49" s="3431"/>
      <c r="E49" s="3432">
        <v>1</v>
      </c>
      <c r="F49" s="3429" t="s">
        <v>2966</v>
      </c>
      <c r="G49" s="1080"/>
      <c r="H49" s="1070"/>
      <c r="I49" s="1070"/>
    </row>
    <row r="50" spans="1:9" s="1485" customFormat="1">
      <c r="A50" s="3746"/>
      <c r="B50" s="3749"/>
      <c r="C50" s="3430" t="s">
        <v>2967</v>
      </c>
      <c r="D50" s="3431"/>
      <c r="E50" s="3432">
        <v>1</v>
      </c>
      <c r="F50" s="3429" t="s">
        <v>2968</v>
      </c>
      <c r="G50" s="1080"/>
      <c r="H50" s="1070"/>
      <c r="I50" s="1070"/>
    </row>
    <row r="51" spans="1:9" s="1485" customFormat="1" ht="14.25" thickBot="1">
      <c r="A51" s="3747"/>
      <c r="B51" s="3750"/>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54" t="s">
        <v>2972</v>
      </c>
      <c r="C73" s="3419" t="s">
        <v>2973</v>
      </c>
      <c r="D73" s="3419" t="s">
        <v>2974</v>
      </c>
      <c r="E73" s="3442">
        <v>0.2</v>
      </c>
      <c r="F73" s="3441">
        <v>25</v>
      </c>
      <c r="H73" s="1070">
        <f>SUMIF(C71:C139,基准地价!C8,E71:E139)</f>
        <v>0</v>
      </c>
    </row>
    <row r="74" spans="1:8" s="1070" customFormat="1" ht="24">
      <c r="A74" s="3441">
        <v>2</v>
      </c>
      <c r="B74" s="3749"/>
      <c r="C74" s="3419" t="s">
        <v>2975</v>
      </c>
      <c r="D74" s="3419" t="s">
        <v>2976</v>
      </c>
      <c r="E74" s="3442">
        <v>0.2</v>
      </c>
      <c r="F74" s="3441">
        <v>25</v>
      </c>
    </row>
    <row r="75" spans="1:8" s="1070" customFormat="1" ht="24">
      <c r="A75" s="3441">
        <v>3</v>
      </c>
      <c r="B75" s="3749"/>
      <c r="C75" s="3419" t="s">
        <v>2977</v>
      </c>
      <c r="D75" s="3419" t="s">
        <v>2978</v>
      </c>
      <c r="E75" s="3442">
        <v>0.2</v>
      </c>
      <c r="F75" s="3441">
        <v>25</v>
      </c>
    </row>
    <row r="76" spans="1:8" s="1070" customFormat="1">
      <c r="A76" s="3441">
        <v>4</v>
      </c>
      <c r="B76" s="3749"/>
      <c r="C76" s="3419" t="s">
        <v>2979</v>
      </c>
      <c r="D76" s="3419" t="s">
        <v>2980</v>
      </c>
      <c r="E76" s="3442">
        <v>0.15</v>
      </c>
      <c r="F76" s="3441">
        <v>20</v>
      </c>
    </row>
    <row r="77" spans="1:8" s="1070" customFormat="1" ht="24">
      <c r="A77" s="3441">
        <v>5</v>
      </c>
      <c r="B77" s="3749"/>
      <c r="C77" s="3419" t="s">
        <v>2981</v>
      </c>
      <c r="D77" s="3419" t="s">
        <v>2982</v>
      </c>
      <c r="E77" s="3442">
        <v>0.15</v>
      </c>
      <c r="F77" s="3441">
        <v>20</v>
      </c>
    </row>
    <row r="78" spans="1:8" s="1070" customFormat="1" ht="24">
      <c r="A78" s="3441">
        <v>6</v>
      </c>
      <c r="B78" s="3749"/>
      <c r="C78" s="3419" t="s">
        <v>2983</v>
      </c>
      <c r="D78" s="3419" t="s">
        <v>2984</v>
      </c>
      <c r="E78" s="3442">
        <v>0.15</v>
      </c>
      <c r="F78" s="3441">
        <v>20</v>
      </c>
    </row>
    <row r="79" spans="1:8" s="1070" customFormat="1" ht="24">
      <c r="A79" s="3441">
        <v>7</v>
      </c>
      <c r="B79" s="3749"/>
      <c r="C79" s="3419" t="s">
        <v>2985</v>
      </c>
      <c r="D79" s="3419" t="s">
        <v>2986</v>
      </c>
      <c r="E79" s="3442">
        <v>0.15</v>
      </c>
      <c r="F79" s="3441">
        <v>20</v>
      </c>
    </row>
    <row r="80" spans="1:8" s="1070" customFormat="1" ht="24">
      <c r="A80" s="3441">
        <v>8</v>
      </c>
      <c r="B80" s="3749"/>
      <c r="C80" s="3419" t="s">
        <v>2987</v>
      </c>
      <c r="D80" s="3419" t="s">
        <v>2988</v>
      </c>
      <c r="E80" s="3442">
        <v>0.1</v>
      </c>
      <c r="F80" s="3441">
        <v>15</v>
      </c>
    </row>
    <row r="81" spans="1:6" s="1070" customFormat="1" ht="24">
      <c r="A81" s="3441">
        <v>9</v>
      </c>
      <c r="B81" s="3749"/>
      <c r="C81" s="3419" t="s">
        <v>2989</v>
      </c>
      <c r="D81" s="3419" t="s">
        <v>2990</v>
      </c>
      <c r="E81" s="3442">
        <v>0.1</v>
      </c>
      <c r="F81" s="3441">
        <v>15</v>
      </c>
    </row>
    <row r="82" spans="1:6" s="1070" customFormat="1" ht="24">
      <c r="A82" s="3441">
        <v>10</v>
      </c>
      <c r="B82" s="3749"/>
      <c r="C82" s="3419" t="s">
        <v>2991</v>
      </c>
      <c r="D82" s="3419" t="s">
        <v>2992</v>
      </c>
      <c r="E82" s="3442">
        <v>0.1</v>
      </c>
      <c r="F82" s="3441">
        <v>15</v>
      </c>
    </row>
    <row r="83" spans="1:6" s="1070" customFormat="1" ht="24">
      <c r="A83" s="3441">
        <v>11</v>
      </c>
      <c r="B83" s="3749"/>
      <c r="C83" s="3419" t="s">
        <v>2993</v>
      </c>
      <c r="D83" s="3419" t="s">
        <v>2994</v>
      </c>
      <c r="E83" s="3442">
        <v>0.1</v>
      </c>
      <c r="F83" s="3441">
        <v>15</v>
      </c>
    </row>
    <row r="84" spans="1:6" s="1070" customFormat="1" ht="24">
      <c r="A84" s="3441">
        <v>12</v>
      </c>
      <c r="B84" s="3749"/>
      <c r="C84" s="3419" t="s">
        <v>2995</v>
      </c>
      <c r="D84" s="3419" t="s">
        <v>2996</v>
      </c>
      <c r="E84" s="3442">
        <v>0.1</v>
      </c>
      <c r="F84" s="3441">
        <v>15</v>
      </c>
    </row>
    <row r="85" spans="1:6" s="1070" customFormat="1">
      <c r="A85" s="3441">
        <v>13</v>
      </c>
      <c r="B85" s="3749"/>
      <c r="C85" s="3419" t="s">
        <v>2997</v>
      </c>
      <c r="D85" s="3419" t="s">
        <v>2998</v>
      </c>
      <c r="E85" s="3442">
        <v>0.1</v>
      </c>
      <c r="F85" s="3441">
        <v>15</v>
      </c>
    </row>
    <row r="86" spans="1:6" s="1070" customFormat="1">
      <c r="A86" s="3441">
        <v>14</v>
      </c>
      <c r="B86" s="3749"/>
      <c r="C86" s="3419" t="s">
        <v>2999</v>
      </c>
      <c r="D86" s="3419" t="s">
        <v>3000</v>
      </c>
      <c r="E86" s="3442">
        <v>0.1</v>
      </c>
      <c r="F86" s="3441">
        <v>15</v>
      </c>
    </row>
    <row r="87" spans="1:6" s="1070" customFormat="1">
      <c r="A87" s="3441">
        <v>15</v>
      </c>
      <c r="B87" s="3749"/>
      <c r="C87" s="3419" t="s">
        <v>3001</v>
      </c>
      <c r="D87" s="3419" t="s">
        <v>3002</v>
      </c>
      <c r="E87" s="3442">
        <v>0.1</v>
      </c>
      <c r="F87" s="3441">
        <v>15</v>
      </c>
    </row>
    <row r="88" spans="1:6" s="1070" customFormat="1" ht="24">
      <c r="A88" s="3441">
        <v>16</v>
      </c>
      <c r="B88" s="3749"/>
      <c r="C88" s="3419" t="s">
        <v>3003</v>
      </c>
      <c r="D88" s="3419" t="s">
        <v>3004</v>
      </c>
      <c r="E88" s="3442">
        <v>0.1</v>
      </c>
      <c r="F88" s="3441">
        <v>15</v>
      </c>
    </row>
    <row r="89" spans="1:6" s="1070" customFormat="1" ht="24">
      <c r="A89" s="3441">
        <v>17</v>
      </c>
      <c r="B89" s="3755"/>
      <c r="C89" s="3419" t="s">
        <v>3005</v>
      </c>
      <c r="D89" s="3419" t="s">
        <v>3006</v>
      </c>
      <c r="E89" s="3442">
        <v>0.1</v>
      </c>
      <c r="F89" s="3441">
        <v>15</v>
      </c>
    </row>
    <row r="90" spans="1:6" s="1070" customFormat="1">
      <c r="A90" s="3441">
        <v>18</v>
      </c>
      <c r="B90" s="3754" t="s">
        <v>3007</v>
      </c>
      <c r="C90" s="3419" t="s">
        <v>3008</v>
      </c>
      <c r="D90" s="3419" t="s">
        <v>3009</v>
      </c>
      <c r="E90" s="3442">
        <v>0.2</v>
      </c>
      <c r="F90" s="3441">
        <v>25</v>
      </c>
    </row>
    <row r="91" spans="1:6" s="1070" customFormat="1" ht="24">
      <c r="A91" s="3441">
        <v>19</v>
      </c>
      <c r="B91" s="3749"/>
      <c r="C91" s="3419" t="s">
        <v>3010</v>
      </c>
      <c r="D91" s="3419" t="s">
        <v>3011</v>
      </c>
      <c r="E91" s="3442">
        <v>0.2</v>
      </c>
      <c r="F91" s="3441">
        <v>25</v>
      </c>
    </row>
    <row r="92" spans="1:6" s="1070" customFormat="1">
      <c r="A92" s="3441">
        <v>20</v>
      </c>
      <c r="B92" s="3749"/>
      <c r="C92" s="3419" t="s">
        <v>3012</v>
      </c>
      <c r="D92" s="3419" t="s">
        <v>3013</v>
      </c>
      <c r="E92" s="3442">
        <v>0.15</v>
      </c>
      <c r="F92" s="3441">
        <v>20</v>
      </c>
    </row>
    <row r="93" spans="1:6" s="1070" customFormat="1" ht="24">
      <c r="A93" s="3441">
        <v>21</v>
      </c>
      <c r="B93" s="3749"/>
      <c r="C93" s="3419" t="s">
        <v>3014</v>
      </c>
      <c r="D93" s="3419" t="s">
        <v>3015</v>
      </c>
      <c r="E93" s="3442">
        <v>0.15</v>
      </c>
      <c r="F93" s="3441">
        <v>20</v>
      </c>
    </row>
    <row r="94" spans="1:6" s="1070" customFormat="1" ht="24">
      <c r="A94" s="3441">
        <v>22</v>
      </c>
      <c r="B94" s="3749"/>
      <c r="C94" s="3419" t="s">
        <v>3016</v>
      </c>
      <c r="D94" s="3419" t="s">
        <v>3017</v>
      </c>
      <c r="E94" s="3442">
        <v>0.15</v>
      </c>
      <c r="F94" s="3441">
        <v>20</v>
      </c>
    </row>
    <row r="95" spans="1:6" s="1070" customFormat="1" ht="36">
      <c r="A95" s="3441">
        <v>23</v>
      </c>
      <c r="B95" s="3749"/>
      <c r="C95" s="3419" t="s">
        <v>3018</v>
      </c>
      <c r="D95" s="3419" t="s">
        <v>3019</v>
      </c>
      <c r="E95" s="3442">
        <v>0.15</v>
      </c>
      <c r="F95" s="3441">
        <v>20</v>
      </c>
    </row>
    <row r="96" spans="1:6" s="1070" customFormat="1">
      <c r="A96" s="3441">
        <v>24</v>
      </c>
      <c r="B96" s="3749"/>
      <c r="C96" s="3419" t="s">
        <v>3020</v>
      </c>
      <c r="D96" s="3419" t="s">
        <v>3021</v>
      </c>
      <c r="E96" s="3442">
        <v>0.1</v>
      </c>
      <c r="F96" s="3441">
        <v>15</v>
      </c>
    </row>
    <row r="97" spans="1:6" s="1070" customFormat="1" ht="24">
      <c r="A97" s="3441">
        <v>25</v>
      </c>
      <c r="B97" s="3749"/>
      <c r="C97" s="3419" t="s">
        <v>3022</v>
      </c>
      <c r="D97" s="3419" t="s">
        <v>3023</v>
      </c>
      <c r="E97" s="3442">
        <v>0.1</v>
      </c>
      <c r="F97" s="3441">
        <v>15</v>
      </c>
    </row>
    <row r="98" spans="1:6" s="1070" customFormat="1" ht="24">
      <c r="A98" s="3441">
        <v>26</v>
      </c>
      <c r="B98" s="3749"/>
      <c r="C98" s="3419" t="s">
        <v>3024</v>
      </c>
      <c r="D98" s="3419" t="s">
        <v>3025</v>
      </c>
      <c r="E98" s="3442">
        <v>0.1</v>
      </c>
      <c r="F98" s="3441">
        <v>15</v>
      </c>
    </row>
    <row r="99" spans="1:6" s="1070" customFormat="1" ht="24">
      <c r="A99" s="3441">
        <v>27</v>
      </c>
      <c r="B99" s="3749"/>
      <c r="C99" s="3419" t="s">
        <v>3026</v>
      </c>
      <c r="D99" s="3419" t="s">
        <v>3027</v>
      </c>
      <c r="E99" s="3442">
        <v>0.1</v>
      </c>
      <c r="F99" s="3441">
        <v>15</v>
      </c>
    </row>
    <row r="100" spans="1:6" s="1070" customFormat="1" ht="24">
      <c r="A100" s="3441">
        <v>28</v>
      </c>
      <c r="B100" s="3749"/>
      <c r="C100" s="3419" t="s">
        <v>3028</v>
      </c>
      <c r="D100" s="3419" t="s">
        <v>3029</v>
      </c>
      <c r="E100" s="3442">
        <v>0.1</v>
      </c>
      <c r="F100" s="3441">
        <v>15</v>
      </c>
    </row>
    <row r="101" spans="1:6" s="1070" customFormat="1" ht="24">
      <c r="A101" s="3441">
        <v>29</v>
      </c>
      <c r="B101" s="3749"/>
      <c r="C101" s="3419" t="s">
        <v>3030</v>
      </c>
      <c r="D101" s="3419" t="s">
        <v>3031</v>
      </c>
      <c r="E101" s="3442">
        <v>0.1</v>
      </c>
      <c r="F101" s="3441">
        <v>15</v>
      </c>
    </row>
    <row r="102" spans="1:6" s="1070" customFormat="1" ht="24">
      <c r="A102" s="3441">
        <v>30</v>
      </c>
      <c r="B102" s="3749"/>
      <c r="C102" s="3419" t="s">
        <v>3032</v>
      </c>
      <c r="D102" s="3419" t="s">
        <v>3033</v>
      </c>
      <c r="E102" s="3442">
        <v>0.1</v>
      </c>
      <c r="F102" s="3441">
        <v>15</v>
      </c>
    </row>
    <row r="103" spans="1:6" s="1070" customFormat="1" ht="24">
      <c r="A103" s="3441">
        <v>31</v>
      </c>
      <c r="B103" s="3749"/>
      <c r="C103" s="3419" t="s">
        <v>3034</v>
      </c>
      <c r="D103" s="3419" t="s">
        <v>3035</v>
      </c>
      <c r="E103" s="3442">
        <v>0.1</v>
      </c>
      <c r="F103" s="3441">
        <v>15</v>
      </c>
    </row>
    <row r="104" spans="1:6" s="1070" customFormat="1" ht="24">
      <c r="A104" s="3441">
        <v>32</v>
      </c>
      <c r="B104" s="3749"/>
      <c r="C104" s="3419" t="s">
        <v>3036</v>
      </c>
      <c r="D104" s="3419" t="s">
        <v>3037</v>
      </c>
      <c r="E104" s="3442">
        <v>0.1</v>
      </c>
      <c r="F104" s="3441">
        <v>15</v>
      </c>
    </row>
    <row r="105" spans="1:6" s="1070" customFormat="1" ht="24">
      <c r="A105" s="3441">
        <v>33</v>
      </c>
      <c r="B105" s="3749"/>
      <c r="C105" s="3419" t="s">
        <v>3038</v>
      </c>
      <c r="D105" s="3419" t="s">
        <v>3039</v>
      </c>
      <c r="E105" s="3442">
        <v>0.1</v>
      </c>
      <c r="F105" s="3441">
        <v>15</v>
      </c>
    </row>
    <row r="106" spans="1:6" s="1070" customFormat="1" ht="24">
      <c r="A106" s="3441">
        <v>34</v>
      </c>
      <c r="B106" s="3755"/>
      <c r="C106" s="3419" t="s">
        <v>3040</v>
      </c>
      <c r="D106" s="3419" t="s">
        <v>3041</v>
      </c>
      <c r="E106" s="3442">
        <v>0.1</v>
      </c>
      <c r="F106" s="3441">
        <v>15</v>
      </c>
    </row>
    <row r="107" spans="1:6" s="1070" customFormat="1" ht="24">
      <c r="A107" s="3441">
        <v>35</v>
      </c>
      <c r="B107" s="3754" t="s">
        <v>3042</v>
      </c>
      <c r="C107" s="3441" t="s">
        <v>3043</v>
      </c>
      <c r="D107" s="3419" t="s">
        <v>3044</v>
      </c>
      <c r="E107" s="3442">
        <v>0.15</v>
      </c>
      <c r="F107" s="3441">
        <v>20</v>
      </c>
    </row>
    <row r="108" spans="1:6" s="1070" customFormat="1" ht="24">
      <c r="A108" s="3441">
        <v>36</v>
      </c>
      <c r="B108" s="3749"/>
      <c r="C108" s="3441" t="s">
        <v>3045</v>
      </c>
      <c r="D108" s="3419" t="s">
        <v>3046</v>
      </c>
      <c r="E108" s="3442">
        <v>0.15</v>
      </c>
      <c r="F108" s="3441">
        <v>20</v>
      </c>
    </row>
    <row r="109" spans="1:6" s="1070" customFormat="1" ht="24">
      <c r="A109" s="3441">
        <v>37</v>
      </c>
      <c r="B109" s="3749"/>
      <c r="C109" s="3441" t="s">
        <v>3047</v>
      </c>
      <c r="D109" s="3419" t="s">
        <v>3048</v>
      </c>
      <c r="E109" s="3442">
        <v>0.15</v>
      </c>
      <c r="F109" s="3441">
        <v>20</v>
      </c>
    </row>
    <row r="110" spans="1:6" s="1070" customFormat="1">
      <c r="A110" s="3441">
        <v>38</v>
      </c>
      <c r="B110" s="3749"/>
      <c r="C110" s="3441" t="s">
        <v>3049</v>
      </c>
      <c r="D110" s="3419" t="s">
        <v>3050</v>
      </c>
      <c r="E110" s="3442">
        <v>0.1</v>
      </c>
      <c r="F110" s="3441">
        <v>15</v>
      </c>
    </row>
    <row r="111" spans="1:6" s="1070" customFormat="1" ht="24">
      <c r="A111" s="3441">
        <v>39</v>
      </c>
      <c r="B111" s="3749"/>
      <c r="C111" s="3441" t="s">
        <v>3051</v>
      </c>
      <c r="D111" s="3419" t="s">
        <v>3052</v>
      </c>
      <c r="E111" s="3442">
        <v>0.1</v>
      </c>
      <c r="F111" s="3441">
        <v>15</v>
      </c>
    </row>
    <row r="112" spans="1:6" s="1070" customFormat="1" ht="24">
      <c r="A112" s="3441">
        <v>40</v>
      </c>
      <c r="B112" s="3755"/>
      <c r="C112" s="3441" t="s">
        <v>3053</v>
      </c>
      <c r="D112" s="3419" t="s">
        <v>3054</v>
      </c>
      <c r="E112" s="3442">
        <v>0.1</v>
      </c>
      <c r="F112" s="3441">
        <v>15</v>
      </c>
    </row>
    <row r="113" spans="1:6" s="1070" customFormat="1" ht="24">
      <c r="A113" s="3441">
        <v>41</v>
      </c>
      <c r="B113" s="3756" t="s">
        <v>3055</v>
      </c>
      <c r="C113" s="3441" t="s">
        <v>3056</v>
      </c>
      <c r="D113" s="3419" t="s">
        <v>3057</v>
      </c>
      <c r="E113" s="3442">
        <v>0.1</v>
      </c>
      <c r="F113" s="3441">
        <v>15</v>
      </c>
    </row>
    <row r="114" spans="1:6" s="1070" customFormat="1">
      <c r="A114" s="3441">
        <v>42</v>
      </c>
      <c r="B114" s="3756"/>
      <c r="C114" s="3441" t="s">
        <v>3058</v>
      </c>
      <c r="D114" s="3419" t="s">
        <v>3059</v>
      </c>
      <c r="E114" s="3442">
        <v>0.1</v>
      </c>
      <c r="F114" s="3441">
        <v>15</v>
      </c>
    </row>
    <row r="115" spans="1:6" s="1070" customFormat="1" ht="24">
      <c r="A115" s="3441">
        <v>43</v>
      </c>
      <c r="B115" s="3756"/>
      <c r="C115" s="3441" t="s">
        <v>3060</v>
      </c>
      <c r="D115" s="3419" t="s">
        <v>3061</v>
      </c>
      <c r="E115" s="3442">
        <v>0.1</v>
      </c>
      <c r="F115" s="3441">
        <v>15</v>
      </c>
    </row>
    <row r="116" spans="1:6" s="1070" customFormat="1" ht="24">
      <c r="A116" s="3441">
        <v>44</v>
      </c>
      <c r="B116" s="3754" t="s">
        <v>3062</v>
      </c>
      <c r="C116" s="3441" t="s">
        <v>3063</v>
      </c>
      <c r="D116" s="3419" t="s">
        <v>3064</v>
      </c>
      <c r="E116" s="3442">
        <v>0.1</v>
      </c>
      <c r="F116" s="3441">
        <v>15</v>
      </c>
    </row>
    <row r="117" spans="1:6" s="1070" customFormat="1" ht="24">
      <c r="A117" s="3441">
        <v>45</v>
      </c>
      <c r="B117" s="3755"/>
      <c r="C117" s="3419" t="s">
        <v>3065</v>
      </c>
      <c r="D117" s="3419" t="s">
        <v>3066</v>
      </c>
      <c r="E117" s="3442">
        <v>0.1</v>
      </c>
      <c r="F117" s="3441">
        <v>15</v>
      </c>
    </row>
    <row r="118" spans="1:6" s="1070" customFormat="1" ht="24">
      <c r="A118" s="3441">
        <v>46</v>
      </c>
      <c r="B118" s="3754" t="s">
        <v>3067</v>
      </c>
      <c r="C118" s="3441" t="s">
        <v>3068</v>
      </c>
      <c r="D118" s="3419" t="s">
        <v>3069</v>
      </c>
      <c r="E118" s="3442">
        <v>0.1</v>
      </c>
      <c r="F118" s="3441">
        <v>15</v>
      </c>
    </row>
    <row r="119" spans="1:6" s="1070" customFormat="1" ht="24">
      <c r="A119" s="3441">
        <v>47</v>
      </c>
      <c r="B119" s="3755"/>
      <c r="C119" s="3441" t="s">
        <v>3070</v>
      </c>
      <c r="D119" s="3419" t="s">
        <v>3071</v>
      </c>
      <c r="E119" s="3442">
        <v>0.1</v>
      </c>
      <c r="F119" s="3441">
        <v>15</v>
      </c>
    </row>
    <row r="120" spans="1:6" s="1070" customFormat="1" ht="24">
      <c r="A120" s="3441">
        <v>48</v>
      </c>
      <c r="B120" s="3754" t="s">
        <v>3072</v>
      </c>
      <c r="C120" s="3441" t="s">
        <v>3073</v>
      </c>
      <c r="D120" s="3419" t="s">
        <v>3074</v>
      </c>
      <c r="E120" s="3442">
        <v>0.1</v>
      </c>
      <c r="F120" s="3441">
        <v>15</v>
      </c>
    </row>
    <row r="121" spans="1:6" s="1070" customFormat="1">
      <c r="A121" s="3441">
        <v>49</v>
      </c>
      <c r="B121" s="3755"/>
      <c r="C121" s="3441" t="s">
        <v>3075</v>
      </c>
      <c r="D121" s="3419" t="s">
        <v>3076</v>
      </c>
      <c r="E121" s="3442">
        <v>0.1</v>
      </c>
      <c r="F121" s="3441">
        <v>15</v>
      </c>
    </row>
    <row r="122" spans="1:6" s="1070" customFormat="1" ht="24">
      <c r="A122" s="3441">
        <v>50</v>
      </c>
      <c r="B122" s="3756" t="s">
        <v>3077</v>
      </c>
      <c r="C122" s="3441" t="s">
        <v>3078</v>
      </c>
      <c r="D122" s="3419" t="s">
        <v>3079</v>
      </c>
      <c r="E122" s="3442">
        <v>0.1</v>
      </c>
      <c r="F122" s="3441">
        <v>15</v>
      </c>
    </row>
    <row r="123" spans="1:6" s="1070" customFormat="1" ht="24">
      <c r="A123" s="3441">
        <v>51</v>
      </c>
      <c r="B123" s="3756"/>
      <c r="C123" s="3441" t="s">
        <v>3080</v>
      </c>
      <c r="D123" s="3419" t="s">
        <v>3081</v>
      </c>
      <c r="E123" s="3442">
        <v>0.1</v>
      </c>
      <c r="F123" s="3441">
        <v>15</v>
      </c>
    </row>
    <row r="124" spans="1:6" s="1070" customFormat="1" ht="24">
      <c r="A124" s="3441">
        <v>52</v>
      </c>
      <c r="B124" s="3756" t="s">
        <v>3082</v>
      </c>
      <c r="C124" s="3441" t="s">
        <v>3083</v>
      </c>
      <c r="D124" s="3419" t="s">
        <v>3084</v>
      </c>
      <c r="E124" s="3442">
        <v>0.1</v>
      </c>
      <c r="F124" s="3441">
        <v>15</v>
      </c>
    </row>
    <row r="125" spans="1:6" s="1070" customFormat="1" ht="24">
      <c r="A125" s="3441">
        <v>53</v>
      </c>
      <c r="B125" s="3756"/>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56" t="s">
        <v>3090</v>
      </c>
      <c r="C127" s="3441" t="s">
        <v>3091</v>
      </c>
      <c r="D127" s="3419" t="s">
        <v>3092</v>
      </c>
      <c r="E127" s="3442">
        <v>0.1</v>
      </c>
      <c r="F127" s="3441">
        <v>15</v>
      </c>
    </row>
    <row r="128" spans="1:6">
      <c r="A128" s="3441">
        <v>56</v>
      </c>
      <c r="B128" s="3756"/>
      <c r="C128" s="3441" t="s">
        <v>3093</v>
      </c>
      <c r="D128" s="3419" t="s">
        <v>3094</v>
      </c>
      <c r="E128" s="3442">
        <v>0.1</v>
      </c>
      <c r="F128" s="3441">
        <v>15</v>
      </c>
    </row>
    <row r="129" spans="1:14" ht="24">
      <c r="A129" s="3441">
        <v>57</v>
      </c>
      <c r="B129" s="3756"/>
      <c r="C129" s="3441" t="s">
        <v>3095</v>
      </c>
      <c r="D129" s="3419" t="s">
        <v>3096</v>
      </c>
      <c r="E129" s="3442">
        <v>0.1</v>
      </c>
      <c r="F129" s="3441">
        <v>15</v>
      </c>
    </row>
    <row r="130" spans="1:14" ht="24">
      <c r="A130" s="3441">
        <v>58</v>
      </c>
      <c r="B130" s="3756" t="s">
        <v>3097</v>
      </c>
      <c r="C130" s="3441" t="s">
        <v>3098</v>
      </c>
      <c r="D130" s="3419" t="s">
        <v>3099</v>
      </c>
      <c r="E130" s="3442">
        <v>0.1</v>
      </c>
      <c r="F130" s="3441">
        <v>15</v>
      </c>
    </row>
    <row r="131" spans="1:14" ht="24">
      <c r="A131" s="3441">
        <v>59</v>
      </c>
      <c r="B131" s="3756"/>
      <c r="C131" s="3441" t="s">
        <v>3100</v>
      </c>
      <c r="D131" s="3419" t="s">
        <v>3101</v>
      </c>
      <c r="E131" s="3442">
        <v>0.1</v>
      </c>
      <c r="F131" s="3441">
        <v>15</v>
      </c>
    </row>
    <row r="132" spans="1:14" ht="24">
      <c r="A132" s="3441">
        <v>60</v>
      </c>
      <c r="B132" s="3754" t="s">
        <v>3102</v>
      </c>
      <c r="C132" s="3441" t="s">
        <v>3103</v>
      </c>
      <c r="D132" s="3419" t="s">
        <v>3104</v>
      </c>
      <c r="E132" s="3442">
        <v>0.1</v>
      </c>
      <c r="F132" s="3441">
        <v>15</v>
      </c>
    </row>
    <row r="133" spans="1:14" ht="24">
      <c r="A133" s="3441">
        <v>61</v>
      </c>
      <c r="B133" s="3755"/>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56" t="s">
        <v>3110</v>
      </c>
      <c r="C135" s="3441" t="s">
        <v>3111</v>
      </c>
      <c r="D135" s="3419" t="s">
        <v>3112</v>
      </c>
      <c r="E135" s="3442">
        <v>0.1</v>
      </c>
      <c r="F135" s="3441">
        <v>15</v>
      </c>
    </row>
    <row r="136" spans="1:14">
      <c r="A136" s="3441">
        <v>64</v>
      </c>
      <c r="B136" s="3756"/>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43" t="s">
        <v>1434</v>
      </c>
      <c r="B141" s="3743"/>
      <c r="C141" s="3743"/>
      <c r="D141" s="3743"/>
      <c r="E141" s="3743"/>
      <c r="F141" s="3743"/>
      <c r="G141" s="3743"/>
      <c r="H141" s="3743"/>
      <c r="I141" s="3743"/>
      <c r="J141" s="3743"/>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57" t="s">
        <v>1018</v>
      </c>
      <c r="B1" s="3757"/>
      <c r="C1" s="3757"/>
      <c r="D1" s="3757"/>
      <c r="E1" s="3757"/>
      <c r="F1" s="3757"/>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58" t="s">
        <v>1031</v>
      </c>
      <c r="B2" s="3758"/>
      <c r="C2" s="3758"/>
      <c r="D2" s="3758"/>
      <c r="E2" s="3758"/>
      <c r="F2" s="3758"/>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59"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60"/>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61" t="s">
        <v>1871</v>
      </c>
      <c r="B1" s="3761"/>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69" t="s">
        <v>2293</v>
      </c>
      <c r="C1" s="3769"/>
      <c r="D1" s="3769"/>
      <c r="E1" s="3769"/>
      <c r="F1" s="3769"/>
      <c r="G1" s="3768" t="s">
        <v>2294</v>
      </c>
      <c r="H1" s="3768"/>
      <c r="I1" s="3768"/>
      <c r="J1" s="3768"/>
      <c r="K1" s="3768"/>
      <c r="L1" s="3768"/>
      <c r="N1" s="3768" t="s">
        <v>2295</v>
      </c>
      <c r="O1" s="3768"/>
      <c r="P1" s="3768"/>
      <c r="Q1" s="3768"/>
      <c r="S1" s="3768" t="s">
        <v>2296</v>
      </c>
      <c r="T1" s="3768"/>
      <c r="U1" s="3768"/>
      <c r="V1" s="3768"/>
      <c r="X1" s="3767" t="s">
        <v>2356</v>
      </c>
      <c r="Y1" s="3768"/>
      <c r="Z1" s="3768"/>
      <c r="AA1" s="3768"/>
      <c r="AB1" s="3768"/>
      <c r="AD1" s="3767" t="s">
        <v>2360</v>
      </c>
      <c r="AE1" s="3768"/>
      <c r="AF1" s="3768"/>
      <c r="AG1" s="3768"/>
      <c r="AH1" s="3768"/>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63">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63"/>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63"/>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64"/>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62">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63"/>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63"/>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64"/>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62">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63"/>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63"/>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66"/>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65">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63"/>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63"/>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66"/>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65">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63"/>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63"/>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66"/>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70">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71"/>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71"/>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72"/>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65">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63"/>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63"/>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66"/>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65">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63">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63">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66">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65">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63">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63">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66">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65">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63">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63">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66">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65">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63">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63">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66">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65">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63">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63">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66">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65">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63">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63">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66">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65">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63">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63">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66">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65">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63">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63">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66">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65">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63">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63">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66">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65">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63">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63">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66">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-2</v>
      </c>
      <c r="G1" s="747">
        <f>MATCH(C1,'数据-取费表'!A6:A16,0)+5</f>
        <v>8</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74" t="s">
        <v>2242</v>
      </c>
      <c r="C8" s="1695">
        <f ca="1">ROUND(F8*F10*F9*(1-F11)/10000,0)</f>
        <v>0</v>
      </c>
      <c r="D8" s="1692" t="s">
        <v>2252</v>
      </c>
      <c r="E8" s="61" t="s">
        <v>619</v>
      </c>
      <c r="F8" s="758">
        <f ca="1">INDIRECT("'数据-取费表'!u"&amp;$G$1)</f>
        <v>0</v>
      </c>
      <c r="G8" s="1482"/>
      <c r="H8" s="2309" t="s">
        <v>1624</v>
      </c>
      <c r="I8" s="3774" t="s">
        <v>2242</v>
      </c>
      <c r="J8" s="756">
        <f ca="1">ROUND(M8*M10*M9*(1-M11)/10000,0)</f>
        <v>0</v>
      </c>
      <c r="K8" s="339" t="s">
        <v>2252</v>
      </c>
      <c r="L8" s="757" t="s">
        <v>1538</v>
      </c>
      <c r="M8" s="758">
        <f ca="1">INDIRECT("'数据-取费表'!z"&amp;$G$1)</f>
        <v>0</v>
      </c>
    </row>
    <row r="9" spans="1:25" ht="18" customHeight="1">
      <c r="A9" s="2305"/>
      <c r="B9" s="3775"/>
      <c r="C9" s="1696"/>
      <c r="D9" s="1693"/>
      <c r="E9" s="61" t="s">
        <v>620</v>
      </c>
      <c r="F9" s="758">
        <f ca="1">IF(INDIRECT("'数据-取费表'!ah"&amp;$G$1)="",INDIRECT("'数据-取费表'!k"&amp;$G$1),INDIRECT("'数据-取费表'!ah"&amp;$G$1))</f>
        <v>0</v>
      </c>
      <c r="G9" s="1482"/>
      <c r="H9" s="2294"/>
      <c r="I9" s="3775"/>
      <c r="J9" s="761"/>
      <c r="K9" s="762"/>
      <c r="L9" s="757" t="s">
        <v>1539</v>
      </c>
      <c r="M9" s="758">
        <f ca="1">F9</f>
        <v>0</v>
      </c>
    </row>
    <row r="10" spans="1:25" ht="18" customHeight="1">
      <c r="A10" s="2298"/>
      <c r="B10" s="3776"/>
      <c r="C10" s="1696"/>
      <c r="D10" s="1693"/>
      <c r="E10" s="61" t="s">
        <v>621</v>
      </c>
      <c r="F10" s="758">
        <f ca="1">INDIRECT("'数据-取费表'!ai"&amp;$G$1)</f>
        <v>0</v>
      </c>
      <c r="G10" s="1482"/>
      <c r="H10" s="2294"/>
      <c r="I10" s="3776"/>
      <c r="J10" s="761"/>
      <c r="K10" s="762"/>
      <c r="L10" s="757" t="s">
        <v>1540</v>
      </c>
      <c r="M10" s="758">
        <f ca="1">INDIRECT("'数据-取费表'!ai"&amp;$G$1)</f>
        <v>0</v>
      </c>
    </row>
    <row r="11" spans="1:25" ht="18" customHeight="1">
      <c r="A11" s="759"/>
      <c r="B11" s="3777"/>
      <c r="C11" s="1696"/>
      <c r="D11" s="1693"/>
      <c r="E11" s="61" t="s">
        <v>622</v>
      </c>
      <c r="F11" s="767">
        <f ca="1">INDIRECT("'数据-取费表'!w"&amp;$G$1)</f>
        <v>0</v>
      </c>
      <c r="G11" s="1482"/>
      <c r="H11" s="2310"/>
      <c r="I11" s="3776"/>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2"/>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0.05</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2</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8.0000000000000004E-4</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73"/>
      <c r="J36" s="1916"/>
      <c r="K36" s="1917"/>
      <c r="L36" s="1916"/>
      <c r="M36" s="1916"/>
    </row>
    <row r="37" spans="1:18" ht="18" customHeight="1">
      <c r="A37" s="787"/>
      <c r="B37" s="766"/>
      <c r="C37" s="69"/>
      <c r="D37" s="788"/>
      <c r="E37" s="757" t="s">
        <v>656</v>
      </c>
      <c r="F37" s="758">
        <f ca="1">INDIRECT("'数据-取费表'!r"&amp;$G$1)</f>
        <v>0</v>
      </c>
      <c r="G37" s="1899"/>
      <c r="H37" s="1902"/>
      <c r="I37" s="3773"/>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2661</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78"/>
      <c r="L54" s="3779"/>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7" priority="6">
      <formula>$F$12="自定义"</formula>
    </cfRule>
  </conditionalFormatting>
  <conditionalFormatting sqref="J13">
    <cfRule type="expression" dxfId="156" priority="5">
      <formula>$M$10="自定义"</formula>
    </cfRule>
  </conditionalFormatting>
  <conditionalFormatting sqref="K56">
    <cfRule type="expression" dxfId="155" priority="3">
      <formula>$L$48&gt;$J$51</formula>
    </cfRule>
  </conditionalFormatting>
  <conditionalFormatting sqref="I56">
    <cfRule type="expression" dxfId="154" priority="4">
      <formula>$J$51&gt;$L$48</formula>
    </cfRule>
  </conditionalFormatting>
  <conditionalFormatting sqref="I61">
    <cfRule type="expression" dxfId="153" priority="2">
      <formula>$J$51&gt;$L$48</formula>
    </cfRule>
  </conditionalFormatting>
  <conditionalFormatting sqref="K61">
    <cfRule type="expression" dxfId="15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31" s="1878" customFormat="1" ht="18" customHeight="1">
      <c r="A2" s="1937" t="s">
        <v>461</v>
      </c>
      <c r="B2" s="1941">
        <f ca="1">C36</f>
        <v>151208</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15279</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46821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3121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260165</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35</v>
      </c>
      <c r="E7" s="430"/>
      <c r="F7" s="430"/>
      <c r="G7" s="430"/>
      <c r="H7" s="430"/>
      <c r="I7" s="430"/>
      <c r="J7" s="430"/>
      <c r="K7" s="431"/>
      <c r="AA7" s="1948"/>
      <c r="AB7" s="1948"/>
      <c r="AC7" s="1948"/>
      <c r="AD7" s="1948"/>
      <c r="AE7" s="1948"/>
    </row>
    <row r="8" spans="1:31" s="1951" customFormat="1" ht="13.5" customHeight="1">
      <c r="A8" s="776" t="s">
        <v>1645</v>
      </c>
      <c r="B8" s="259" t="s">
        <v>466</v>
      </c>
      <c r="C8" s="2473">
        <f>'不动产比较法-新房'!B3</f>
        <v>41677</v>
      </c>
      <c r="D8" s="2473">
        <f ca="1">'不动产收益法-车位'!B3</f>
        <v>3346</v>
      </c>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60651.07</v>
      </c>
      <c r="D9" s="435">
        <f>SUMIF('数据-汇总表'!$C19:$C33,'剩余法-待开发'!D7,'数据-汇总表'!$E19:$E33)</f>
        <v>22085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'不动产比较法-新房'!B2</f>
        <v>252775</v>
      </c>
      <c r="D10" s="2663">
        <f ca="1">'不动产收益法-车位'!B2</f>
        <v>7390</v>
      </c>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40621</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2031</v>
      </c>
      <c r="D14" s="2483"/>
      <c r="E14" s="2484"/>
      <c r="F14" s="2486">
        <f>'数据-取费表'!B33</f>
        <v>0.05</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3033</v>
      </c>
      <c r="D15" s="2483"/>
      <c r="E15" s="2484"/>
      <c r="F15" s="2486">
        <f>'数据-取费表'!B34</f>
        <v>0.1</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1979</v>
      </c>
      <c r="D16" s="2483">
        <f ca="1">IF(B1="",'数据-汇总表'!E3,INDIRECT("'数据-取费表'!K"&amp;$K$1)+INDIRECT("'数据-取费表'!S"&amp;$K$1))</f>
        <v>98965.430000000008</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609</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48273</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717</v>
      </c>
      <c r="D19" s="2493">
        <f ca="1">D16</f>
        <v>98965.430000000008</v>
      </c>
      <c r="E19" s="2447">
        <f>'数据-取费表'!B32</f>
        <v>72.5</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1736</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970</v>
      </c>
      <c r="D21" s="2483">
        <f ca="1">IF(B1="",'数据-汇总表'!E5,IF(INDIRECT("'数据-取费表'!c"&amp;$K$1)="住宅",INDIRECT("'数据-取费表'!k"&amp;$K$1),0))</f>
        <v>60651.07</v>
      </c>
      <c r="E21" s="53">
        <f>'数据-取费表'!B27</f>
        <v>160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766</v>
      </c>
      <c r="D22" s="2483">
        <f ca="1">IF(B1="",'数据-汇总表'!E6,IF(INDIRECT("'数据-取费表'!c"&amp;$K$1)="住宅",INDIRECT("'数据-取费表'!s"&amp;$K$1),INDIRECT("'数据-取费表'!k"&amp;$K$1)+INDIRECT("'数据-取费表'!s"&amp;$K$1)))</f>
        <v>38314.360000000008</v>
      </c>
      <c r="E22" s="53">
        <f>'数据-取费表'!B28</f>
        <v>200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1015</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 ca="1">ROUND(C6*F24,0)</f>
        <v>5203</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0</v>
      </c>
      <c r="D26" s="460">
        <f ca="1">C27</f>
        <v>0</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0</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13628</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70572</v>
      </c>
      <c r="D30" s="470">
        <f ca="1">C32</f>
        <v>2.9000000000000001E-2</v>
      </c>
      <c r="E30" s="462" t="s">
        <v>489</v>
      </c>
      <c r="F30" s="464"/>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70572</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2.9000000000000001E-2</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9111</v>
      </c>
      <c r="D33" s="460">
        <f ca="1">C34</f>
        <v>0.1646</v>
      </c>
      <c r="E33" s="462" t="s">
        <v>489</v>
      </c>
      <c r="F33" s="472">
        <f ca="1">IF(B1="",'数据-取费表'!Q16,INDIRECT("'数据-取费表'!q"&amp;$K$1))</f>
        <v>0.16</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0.1646</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9111</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151208</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56.25">
      <c r="A7" s="1665" t="s">
        <v>2464</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2022年7月14日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13日地下车库2071年5月13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7" zoomScale="60" zoomScaleNormal="60" workbookViewId="0">
      <selection activeCell="N21" sqref="N2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252775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41677</v>
      </c>
      <c r="C3" s="824" t="s">
        <v>704</v>
      </c>
      <c r="D3" s="823">
        <f>SUMIF('数据-汇总表'!$C19:$C33,D1,'数据-汇总表'!$E19:$E33)</f>
        <v>60651.07</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80" t="s">
        <v>505</v>
      </c>
      <c r="D4" s="3681"/>
      <c r="E4" s="3715" t="s">
        <v>506</v>
      </c>
      <c r="F4" s="3716"/>
      <c r="G4" s="3680" t="s">
        <v>507</v>
      </c>
      <c r="H4" s="3681"/>
      <c r="I4" s="3680" t="s">
        <v>508</v>
      </c>
      <c r="J4" s="3681"/>
      <c r="K4" s="825" t="s">
        <v>509</v>
      </c>
      <c r="L4" s="1969"/>
      <c r="M4" s="1970"/>
      <c r="N4" s="1970"/>
      <c r="O4" s="1970"/>
      <c r="P4" s="3682" t="s">
        <v>510</v>
      </c>
      <c r="Q4" s="3683"/>
      <c r="R4" s="3688" t="s">
        <v>506</v>
      </c>
      <c r="S4" s="3689"/>
      <c r="T4" s="3688" t="s">
        <v>507</v>
      </c>
      <c r="U4" s="3689"/>
      <c r="V4" s="3675" t="s">
        <v>508</v>
      </c>
      <c r="W4" s="3675"/>
      <c r="X4" s="3477"/>
      <c r="Y4" s="3688" t="s">
        <v>510</v>
      </c>
      <c r="Z4" s="3689"/>
      <c r="AA4" s="3677" t="s">
        <v>506</v>
      </c>
      <c r="AB4" s="3677" t="s">
        <v>507</v>
      </c>
      <c r="AC4" s="3677" t="s">
        <v>508</v>
      </c>
    </row>
    <row r="5" spans="1:29" ht="15">
      <c r="A5" s="492"/>
      <c r="B5" s="493"/>
      <c r="C5" s="3696" t="s">
        <v>2631</v>
      </c>
      <c r="D5" s="3697"/>
      <c r="E5" s="3805" t="str">
        <f>新房案例!$A$43</f>
        <v>国誉未来悦</v>
      </c>
      <c r="F5" s="3718"/>
      <c r="G5" s="3804" t="str">
        <f>新房案例!$A$70</f>
        <v>福星惠誉·京澜誉府</v>
      </c>
      <c r="H5" s="3697"/>
      <c r="I5" s="3804" t="str">
        <f>新房案例!$A$97</f>
        <v>台湖金茂悦</v>
      </c>
      <c r="J5" s="3697"/>
      <c r="K5" s="826"/>
      <c r="L5" s="1969"/>
      <c r="M5" s="1970"/>
      <c r="N5" s="1970"/>
      <c r="O5" s="1970"/>
      <c r="P5" s="3684"/>
      <c r="Q5" s="3685"/>
      <c r="R5" s="3690"/>
      <c r="S5" s="3691"/>
      <c r="T5" s="3690"/>
      <c r="U5" s="3691"/>
      <c r="V5" s="3675"/>
      <c r="W5" s="3675"/>
      <c r="X5" s="3477"/>
      <c r="Y5" s="3690"/>
      <c r="Z5" s="3691"/>
      <c r="AA5" s="3678"/>
      <c r="AB5" s="3678"/>
      <c r="AC5" s="3678"/>
    </row>
    <row r="6" spans="1:29" ht="15.75" thickBot="1">
      <c r="A6" s="494"/>
      <c r="B6" s="495"/>
      <c r="C6" s="3694" t="s">
        <v>2635</v>
      </c>
      <c r="D6" s="3695"/>
      <c r="E6" s="3713" t="s">
        <v>2635</v>
      </c>
      <c r="F6" s="3714"/>
      <c r="G6" s="3694" t="s">
        <v>2635</v>
      </c>
      <c r="H6" s="3695"/>
      <c r="I6" s="3694" t="s">
        <v>2635</v>
      </c>
      <c r="J6" s="3695"/>
      <c r="K6" s="826" t="s">
        <v>511</v>
      </c>
      <c r="L6" s="1969"/>
      <c r="M6" s="1970"/>
      <c r="N6" s="1970"/>
      <c r="O6" s="1970"/>
      <c r="P6" s="3686"/>
      <c r="Q6" s="3687"/>
      <c r="R6" s="3690"/>
      <c r="S6" s="3691"/>
      <c r="T6" s="3692"/>
      <c r="U6" s="3693"/>
      <c r="V6" s="3675"/>
      <c r="W6" s="3675"/>
      <c r="X6" s="3477"/>
      <c r="Y6" s="3692"/>
      <c r="Z6" s="3693"/>
      <c r="AA6" s="3679"/>
      <c r="AB6" s="3679"/>
      <c r="AC6" s="3679"/>
    </row>
    <row r="7" spans="1:29" s="1166" customFormat="1" ht="15.7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704" t="s">
        <v>513</v>
      </c>
      <c r="Q7" s="3706"/>
      <c r="R7" s="1458" t="s">
        <v>8</v>
      </c>
      <c r="S7" s="1459">
        <f t="shared" ref="S7:S15" si="0">F7</f>
        <v>100</v>
      </c>
      <c r="T7" s="1458" t="s">
        <v>8</v>
      </c>
      <c r="U7" s="1459">
        <f t="shared" ref="U7:U15" si="1">H7</f>
        <v>100</v>
      </c>
      <c r="V7" s="1458" t="s">
        <v>8</v>
      </c>
      <c r="W7" s="1459">
        <f t="shared" ref="W7:W15" si="2">J7</f>
        <v>100</v>
      </c>
      <c r="X7" s="1460"/>
      <c r="Y7" s="3704" t="s">
        <v>513</v>
      </c>
      <c r="Z7" s="3705"/>
      <c r="AA7" s="1461">
        <f>D7/F7</f>
        <v>1</v>
      </c>
      <c r="AB7" s="1461">
        <f>D7/H7</f>
        <v>1</v>
      </c>
      <c r="AC7" s="1461">
        <f>D7/J7</f>
        <v>1</v>
      </c>
    </row>
    <row r="8" spans="1:29" s="1166" customFormat="1" ht="15.7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704" t="s">
        <v>516</v>
      </c>
      <c r="Q8" s="3705"/>
      <c r="R8" s="1458" t="s">
        <v>8</v>
      </c>
      <c r="S8" s="1459">
        <f t="shared" si="0"/>
        <v>100</v>
      </c>
      <c r="T8" s="1458" t="s">
        <v>8</v>
      </c>
      <c r="U8" s="1459">
        <f t="shared" si="1"/>
        <v>100</v>
      </c>
      <c r="V8" s="1458" t="s">
        <v>8</v>
      </c>
      <c r="W8" s="1459">
        <f t="shared" si="2"/>
        <v>100</v>
      </c>
      <c r="X8" s="1460"/>
      <c r="Y8" s="3704" t="s">
        <v>516</v>
      </c>
      <c r="Z8" s="3705"/>
      <c r="AA8" s="1461">
        <f t="shared" ref="AA8:AA46" si="3">D8/F8</f>
        <v>1</v>
      </c>
      <c r="AB8" s="1461">
        <f t="shared" ref="AB8:AB46" si="4">D8/H8</f>
        <v>1</v>
      </c>
      <c r="AC8" s="1461">
        <f t="shared" ref="AC8:AC46" si="5">D8/J8</f>
        <v>1</v>
      </c>
    </row>
    <row r="9" spans="1:29" s="1166"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74" t="s">
        <v>518</v>
      </c>
      <c r="Q9" s="3474" t="str">
        <f t="shared" ref="Q9:Q15" si="6">B9</f>
        <v>用途</v>
      </c>
      <c r="R9" s="1458" t="s">
        <v>8</v>
      </c>
      <c r="S9" s="1459">
        <f t="shared" si="0"/>
        <v>100</v>
      </c>
      <c r="T9" s="1458" t="s">
        <v>8</v>
      </c>
      <c r="U9" s="1459">
        <f t="shared" si="1"/>
        <v>100</v>
      </c>
      <c r="V9" s="1458" t="s">
        <v>8</v>
      </c>
      <c r="W9" s="1459">
        <f t="shared" si="2"/>
        <v>100</v>
      </c>
      <c r="X9" s="1460"/>
      <c r="Y9" s="3618" t="s">
        <v>519</v>
      </c>
      <c r="Z9" s="3473" t="str">
        <f t="shared" ref="Z9:Z15" si="7">Q9</f>
        <v>用途</v>
      </c>
      <c r="AA9" s="1461">
        <f t="shared" si="3"/>
        <v>1</v>
      </c>
      <c r="AB9" s="1461">
        <f t="shared" si="4"/>
        <v>1</v>
      </c>
      <c r="AC9" s="1461">
        <f t="shared" si="5"/>
        <v>1</v>
      </c>
    </row>
    <row r="10" spans="1:29" s="1247"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74"/>
      <c r="Q10" s="3474" t="str">
        <f t="shared" si="6"/>
        <v>土地使用年限（年）</v>
      </c>
      <c r="R10" s="1458" t="s">
        <v>8</v>
      </c>
      <c r="S10" s="1459">
        <f t="shared" si="0"/>
        <v>100</v>
      </c>
      <c r="T10" s="1458" t="s">
        <v>8</v>
      </c>
      <c r="U10" s="1459">
        <f t="shared" si="1"/>
        <v>100</v>
      </c>
      <c r="V10" s="1458" t="s">
        <v>8</v>
      </c>
      <c r="W10" s="1459">
        <f t="shared" si="2"/>
        <v>100</v>
      </c>
      <c r="X10" s="1460"/>
      <c r="Y10" s="3618"/>
      <c r="Z10" s="3473"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74"/>
      <c r="Q11" s="3474" t="str">
        <f t="shared" si="6"/>
        <v>容积率</v>
      </c>
      <c r="R11" s="1458" t="s">
        <v>8</v>
      </c>
      <c r="S11" s="1459">
        <f t="shared" si="0"/>
        <v>100</v>
      </c>
      <c r="T11" s="1458" t="s">
        <v>8</v>
      </c>
      <c r="U11" s="1459">
        <f t="shared" si="1"/>
        <v>102</v>
      </c>
      <c r="V11" s="1458" t="s">
        <v>8</v>
      </c>
      <c r="W11" s="1459">
        <f t="shared" si="2"/>
        <v>102</v>
      </c>
      <c r="X11" s="1460"/>
      <c r="Y11" s="3618"/>
      <c r="Z11" s="3473"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74"/>
      <c r="Q12" s="3474">
        <f t="shared" si="6"/>
        <v>111</v>
      </c>
      <c r="R12" s="1458" t="s">
        <v>8</v>
      </c>
      <c r="S12" s="1459">
        <f t="shared" si="0"/>
        <v>100</v>
      </c>
      <c r="T12" s="1458" t="s">
        <v>8</v>
      </c>
      <c r="U12" s="1459">
        <f t="shared" si="1"/>
        <v>100</v>
      </c>
      <c r="V12" s="1458" t="s">
        <v>8</v>
      </c>
      <c r="W12" s="1459">
        <f t="shared" si="2"/>
        <v>100</v>
      </c>
      <c r="X12" s="1460"/>
      <c r="Y12" s="3618"/>
      <c r="Z12" s="3473">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74"/>
      <c r="Q13" s="3474">
        <f t="shared" si="6"/>
        <v>111</v>
      </c>
      <c r="R13" s="1458" t="s">
        <v>8</v>
      </c>
      <c r="S13" s="1459">
        <f t="shared" si="0"/>
        <v>100</v>
      </c>
      <c r="T13" s="1458" t="s">
        <v>8</v>
      </c>
      <c r="U13" s="1459">
        <f t="shared" si="1"/>
        <v>100</v>
      </c>
      <c r="V13" s="1458" t="s">
        <v>8</v>
      </c>
      <c r="W13" s="1459">
        <f t="shared" si="2"/>
        <v>100</v>
      </c>
      <c r="X13" s="1460"/>
      <c r="Y13" s="3618"/>
      <c r="Z13" s="3473">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74"/>
      <c r="Q14" s="3474">
        <f t="shared" si="6"/>
        <v>111</v>
      </c>
      <c r="R14" s="1458" t="s">
        <v>8</v>
      </c>
      <c r="S14" s="1459">
        <f t="shared" si="0"/>
        <v>100</v>
      </c>
      <c r="T14" s="1458" t="s">
        <v>8</v>
      </c>
      <c r="U14" s="1459">
        <f t="shared" si="1"/>
        <v>100</v>
      </c>
      <c r="V14" s="1458" t="s">
        <v>8</v>
      </c>
      <c r="W14" s="1459">
        <f t="shared" si="2"/>
        <v>100</v>
      </c>
      <c r="X14" s="1460"/>
      <c r="Y14" s="3618"/>
      <c r="Z14" s="3473">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707" t="s">
        <v>523</v>
      </c>
      <c r="Q15" s="3475" t="str">
        <f t="shared" si="6"/>
        <v>居住社区成熟度</v>
      </c>
      <c r="R15" s="1463" t="s">
        <v>8</v>
      </c>
      <c r="S15" s="1464">
        <f t="shared" si="0"/>
        <v>105</v>
      </c>
      <c r="T15" s="1463" t="s">
        <v>8</v>
      </c>
      <c r="U15" s="1464">
        <f t="shared" si="1"/>
        <v>105</v>
      </c>
      <c r="V15" s="1463" t="s">
        <v>8</v>
      </c>
      <c r="W15" s="1464">
        <f t="shared" si="2"/>
        <v>105</v>
      </c>
      <c r="X15" s="3477"/>
      <c r="Y15" s="3707" t="s">
        <v>523</v>
      </c>
      <c r="Z15" s="3476" t="str">
        <f t="shared" si="7"/>
        <v>居住社区成熟度</v>
      </c>
      <c r="AA15" s="3478">
        <f t="shared" si="3"/>
        <v>0.95238095238095233</v>
      </c>
      <c r="AB15" s="3478">
        <f t="shared" si="4"/>
        <v>0.95238095238095233</v>
      </c>
      <c r="AC15" s="3478">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708"/>
      <c r="Q16" s="3475"/>
      <c r="R16" s="1463"/>
      <c r="S16" s="1464"/>
      <c r="T16" s="1463"/>
      <c r="U16" s="1464"/>
      <c r="V16" s="1463"/>
      <c r="W16" s="1464"/>
      <c r="X16" s="3477"/>
      <c r="Y16" s="3708"/>
      <c r="Z16" s="3476"/>
      <c r="AA16" s="3478">
        <v>1</v>
      </c>
      <c r="AB16" s="3478">
        <v>1</v>
      </c>
      <c r="AC16" s="3478">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08"/>
      <c r="Q17" s="3475" t="str">
        <f>B17</f>
        <v>交通便捷度</v>
      </c>
      <c r="R17" s="1463" t="s">
        <v>8</v>
      </c>
      <c r="S17" s="1464">
        <f>F17</f>
        <v>100</v>
      </c>
      <c r="T17" s="1463" t="s">
        <v>8</v>
      </c>
      <c r="U17" s="1464">
        <f>H17</f>
        <v>100</v>
      </c>
      <c r="V17" s="1463" t="s">
        <v>8</v>
      </c>
      <c r="W17" s="1464">
        <f>J17</f>
        <v>100</v>
      </c>
      <c r="X17" s="3477"/>
      <c r="Y17" s="3708"/>
      <c r="Z17" s="3476" t="str">
        <f>Q17</f>
        <v>交通便捷度</v>
      </c>
      <c r="AA17" s="3478">
        <f t="shared" si="3"/>
        <v>1</v>
      </c>
      <c r="AB17" s="3478">
        <f t="shared" si="4"/>
        <v>1</v>
      </c>
      <c r="AC17" s="3478">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708"/>
      <c r="Q18" s="3475"/>
      <c r="R18" s="1463"/>
      <c r="S18" s="1464"/>
      <c r="T18" s="1463"/>
      <c r="U18" s="1464"/>
      <c r="V18" s="1463"/>
      <c r="W18" s="1464"/>
      <c r="X18" s="3477"/>
      <c r="Y18" s="3708"/>
      <c r="Z18" s="3476"/>
      <c r="AA18" s="3478">
        <v>1</v>
      </c>
      <c r="AB18" s="3478">
        <v>1</v>
      </c>
      <c r="AC18" s="3478">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08"/>
      <c r="Q19" s="3475" t="str">
        <f>B19</f>
        <v>公共配套设施</v>
      </c>
      <c r="R19" s="1463" t="s">
        <v>8</v>
      </c>
      <c r="S19" s="1464">
        <f>F19</f>
        <v>100</v>
      </c>
      <c r="T19" s="1463" t="s">
        <v>8</v>
      </c>
      <c r="U19" s="1464">
        <f>H19</f>
        <v>100</v>
      </c>
      <c r="V19" s="1463" t="s">
        <v>8</v>
      </c>
      <c r="W19" s="1464">
        <f>J19</f>
        <v>100</v>
      </c>
      <c r="X19" s="3477"/>
      <c r="Y19" s="3708"/>
      <c r="Z19" s="3476" t="str">
        <f>Q19</f>
        <v>公共配套设施</v>
      </c>
      <c r="AA19" s="3478">
        <f t="shared" si="3"/>
        <v>1</v>
      </c>
      <c r="AB19" s="3478">
        <f t="shared" si="4"/>
        <v>1</v>
      </c>
      <c r="AC19" s="3478">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708"/>
      <c r="Q20" s="3475"/>
      <c r="R20" s="1463"/>
      <c r="S20" s="1464"/>
      <c r="T20" s="1463"/>
      <c r="U20" s="1464"/>
      <c r="V20" s="1463"/>
      <c r="W20" s="1464"/>
      <c r="X20" s="3477"/>
      <c r="Y20" s="3708"/>
      <c r="Z20" s="3476"/>
      <c r="AA20" s="3478">
        <v>1</v>
      </c>
      <c r="AB20" s="3478">
        <v>1</v>
      </c>
      <c r="AC20" s="3478">
        <v>1</v>
      </c>
    </row>
    <row r="21" spans="1:29" ht="28.5">
      <c r="A21" s="509"/>
      <c r="B21" s="2359" t="s">
        <v>2265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08"/>
      <c r="Q21" s="3475" t="str">
        <f>B21</f>
        <v>基础设施水平</v>
      </c>
      <c r="R21" s="1463" t="s">
        <v>8</v>
      </c>
      <c r="S21" s="1464">
        <f>F21</f>
        <v>100</v>
      </c>
      <c r="T21" s="1463" t="s">
        <v>8</v>
      </c>
      <c r="U21" s="1464">
        <f>H21</f>
        <v>100</v>
      </c>
      <c r="V21" s="1463" t="s">
        <v>8</v>
      </c>
      <c r="W21" s="1464">
        <f>J21</f>
        <v>100</v>
      </c>
      <c r="X21" s="3477"/>
      <c r="Y21" s="3708"/>
      <c r="Z21" s="3476" t="str">
        <f>Q21</f>
        <v>基础设施水平</v>
      </c>
      <c r="AA21" s="3478">
        <f t="shared" ref="AA21" si="8">D21/F21</f>
        <v>1</v>
      </c>
      <c r="AB21" s="3478">
        <f t="shared" ref="AB21" si="9">D21/H21</f>
        <v>1</v>
      </c>
      <c r="AC21" s="3478">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708"/>
      <c r="Q22" s="3475"/>
      <c r="R22" s="1463"/>
      <c r="S22" s="1464"/>
      <c r="T22" s="1463"/>
      <c r="U22" s="1464"/>
      <c r="V22" s="1463"/>
      <c r="W22" s="1464"/>
      <c r="X22" s="3477"/>
      <c r="Y22" s="3708"/>
      <c r="Z22" s="3476"/>
      <c r="AA22" s="3478">
        <v>1</v>
      </c>
      <c r="AB22" s="3478">
        <v>1</v>
      </c>
      <c r="AC22" s="3478">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08"/>
      <c r="Q23" s="3475" t="str">
        <f>B23</f>
        <v>自然及人文环境</v>
      </c>
      <c r="R23" s="1463" t="s">
        <v>8</v>
      </c>
      <c r="S23" s="1464">
        <f>F23</f>
        <v>100</v>
      </c>
      <c r="T23" s="1463" t="s">
        <v>8</v>
      </c>
      <c r="U23" s="1464">
        <f>H23</f>
        <v>100</v>
      </c>
      <c r="V23" s="1463" t="s">
        <v>8</v>
      </c>
      <c r="W23" s="1464">
        <f>J23</f>
        <v>100</v>
      </c>
      <c r="X23" s="3477"/>
      <c r="Y23" s="3708"/>
      <c r="Z23" s="3476" t="str">
        <f>Q23</f>
        <v>自然及人文环境</v>
      </c>
      <c r="AA23" s="3478">
        <f t="shared" si="3"/>
        <v>1</v>
      </c>
      <c r="AB23" s="3478">
        <f t="shared" si="4"/>
        <v>1</v>
      </c>
      <c r="AC23" s="3478">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708"/>
      <c r="Q24" s="3475"/>
      <c r="R24" s="1463"/>
      <c r="S24" s="1464"/>
      <c r="T24" s="1463"/>
      <c r="U24" s="1464"/>
      <c r="V24" s="1463"/>
      <c r="W24" s="1464"/>
      <c r="X24" s="3477"/>
      <c r="Y24" s="3708"/>
      <c r="Z24" s="3476"/>
      <c r="AA24" s="3478">
        <v>1</v>
      </c>
      <c r="AB24" s="3478">
        <v>1</v>
      </c>
      <c r="AC24" s="3478">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08"/>
      <c r="Q25" s="3475" t="str">
        <f t="shared" ref="Q25:Q46" si="11">B25</f>
        <v>楼层-1</v>
      </c>
      <c r="R25" s="1463" t="s">
        <v>8</v>
      </c>
      <c r="S25" s="1464">
        <f>F25</f>
        <v>100</v>
      </c>
      <c r="T25" s="1463" t="s">
        <v>8</v>
      </c>
      <c r="U25" s="1464">
        <f>H25</f>
        <v>100</v>
      </c>
      <c r="V25" s="1463" t="s">
        <v>8</v>
      </c>
      <c r="W25" s="1464">
        <f>J25</f>
        <v>100</v>
      </c>
      <c r="X25" s="3477"/>
      <c r="Y25" s="3708"/>
      <c r="Z25" s="3476" t="str">
        <f>Q25</f>
        <v>楼层-1</v>
      </c>
      <c r="AA25" s="3478">
        <f t="shared" si="3"/>
        <v>1</v>
      </c>
      <c r="AB25" s="3478">
        <f t="shared" si="4"/>
        <v>1</v>
      </c>
      <c r="AC25" s="3478">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08"/>
      <c r="Q26" s="3475" t="str">
        <f t="shared" si="11"/>
        <v>朝向</v>
      </c>
      <c r="R26" s="1463" t="s">
        <v>8</v>
      </c>
      <c r="S26" s="1464">
        <f>F26</f>
        <v>100</v>
      </c>
      <c r="T26" s="1463" t="s">
        <v>8</v>
      </c>
      <c r="U26" s="1464">
        <f>H26</f>
        <v>100</v>
      </c>
      <c r="V26" s="1463" t="s">
        <v>8</v>
      </c>
      <c r="W26" s="1464">
        <f>J26</f>
        <v>100</v>
      </c>
      <c r="X26" s="3477"/>
      <c r="Y26" s="3708"/>
      <c r="Z26" s="3476" t="str">
        <f>Q26</f>
        <v>朝向</v>
      </c>
      <c r="AA26" s="3478">
        <f t="shared" si="3"/>
        <v>1</v>
      </c>
      <c r="AB26" s="3478">
        <f t="shared" si="4"/>
        <v>1</v>
      </c>
      <c r="AC26" s="3478">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08"/>
      <c r="Q27" s="3474" t="str">
        <f t="shared" si="11"/>
        <v>道路级别</v>
      </c>
      <c r="R27" s="1458" t="s">
        <v>8</v>
      </c>
      <c r="S27" s="1459">
        <f>F27</f>
        <v>100</v>
      </c>
      <c r="T27" s="1458" t="s">
        <v>8</v>
      </c>
      <c r="U27" s="1459">
        <f>H27</f>
        <v>100</v>
      </c>
      <c r="V27" s="1458" t="s">
        <v>8</v>
      </c>
      <c r="W27" s="1459">
        <f>J27</f>
        <v>100</v>
      </c>
      <c r="X27" s="1460"/>
      <c r="Y27" s="3708"/>
      <c r="Z27" s="3473" t="str">
        <f>Q27</f>
        <v>道路级别</v>
      </c>
      <c r="AA27" s="3478">
        <f>D27/F27</f>
        <v>1</v>
      </c>
      <c r="AB27" s="3478">
        <f>D27/H27</f>
        <v>1</v>
      </c>
      <c r="AC27" s="3478">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08"/>
      <c r="Q28" s="3475">
        <f t="shared" si="11"/>
        <v>111</v>
      </c>
      <c r="R28" s="1463" t="s">
        <v>8</v>
      </c>
      <c r="S28" s="1464">
        <f t="shared" ref="S28:S46" si="12">F28</f>
        <v>100</v>
      </c>
      <c r="T28" s="1463" t="s">
        <v>8</v>
      </c>
      <c r="U28" s="1464">
        <f t="shared" ref="U28:U46" si="13">H28</f>
        <v>100</v>
      </c>
      <c r="V28" s="1463" t="s">
        <v>8</v>
      </c>
      <c r="W28" s="1464">
        <f t="shared" ref="W28:W46" si="14">J28</f>
        <v>100</v>
      </c>
      <c r="X28" s="3477"/>
      <c r="Y28" s="3708"/>
      <c r="Z28" s="3476">
        <f t="shared" ref="Z28:Z46" si="15">Q28</f>
        <v>111</v>
      </c>
      <c r="AA28" s="3478">
        <f t="shared" si="3"/>
        <v>1</v>
      </c>
      <c r="AB28" s="3478">
        <f t="shared" si="4"/>
        <v>1</v>
      </c>
      <c r="AC28" s="3478">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08"/>
      <c r="Q29" s="3475">
        <f t="shared" si="11"/>
        <v>111</v>
      </c>
      <c r="R29" s="1463" t="s">
        <v>8</v>
      </c>
      <c r="S29" s="1464">
        <f t="shared" si="12"/>
        <v>100</v>
      </c>
      <c r="T29" s="1463" t="s">
        <v>8</v>
      </c>
      <c r="U29" s="1464">
        <f t="shared" si="13"/>
        <v>100</v>
      </c>
      <c r="V29" s="1463" t="s">
        <v>8</v>
      </c>
      <c r="W29" s="1464">
        <f t="shared" si="14"/>
        <v>100</v>
      </c>
      <c r="X29" s="3477"/>
      <c r="Y29" s="3708"/>
      <c r="Z29" s="3476">
        <f t="shared" si="15"/>
        <v>111</v>
      </c>
      <c r="AA29" s="3478">
        <f t="shared" si="3"/>
        <v>1</v>
      </c>
      <c r="AB29" s="3478">
        <f t="shared" si="4"/>
        <v>1</v>
      </c>
      <c r="AC29" s="3478">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08"/>
      <c r="Q30" s="3475">
        <f t="shared" si="11"/>
        <v>111</v>
      </c>
      <c r="R30" s="1463" t="s">
        <v>8</v>
      </c>
      <c r="S30" s="1464">
        <f t="shared" si="12"/>
        <v>100</v>
      </c>
      <c r="T30" s="1463" t="s">
        <v>8</v>
      </c>
      <c r="U30" s="1464">
        <f t="shared" si="13"/>
        <v>100</v>
      </c>
      <c r="V30" s="1463" t="s">
        <v>8</v>
      </c>
      <c r="W30" s="1464">
        <f t="shared" si="14"/>
        <v>100</v>
      </c>
      <c r="X30" s="3477"/>
      <c r="Y30" s="3708"/>
      <c r="Z30" s="3476">
        <f t="shared" si="15"/>
        <v>111</v>
      </c>
      <c r="AA30" s="3478">
        <f t="shared" si="3"/>
        <v>1</v>
      </c>
      <c r="AB30" s="3478">
        <f t="shared" si="4"/>
        <v>1</v>
      </c>
      <c r="AC30" s="3478">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08"/>
      <c r="Q31" s="3475">
        <f t="shared" si="11"/>
        <v>111</v>
      </c>
      <c r="R31" s="1463" t="s">
        <v>8</v>
      </c>
      <c r="S31" s="1464">
        <f t="shared" si="12"/>
        <v>100</v>
      </c>
      <c r="T31" s="1463" t="s">
        <v>8</v>
      </c>
      <c r="U31" s="1464">
        <f t="shared" si="13"/>
        <v>100</v>
      </c>
      <c r="V31" s="1463" t="s">
        <v>8</v>
      </c>
      <c r="W31" s="1464">
        <f t="shared" si="14"/>
        <v>100</v>
      </c>
      <c r="X31" s="3477"/>
      <c r="Y31" s="3708"/>
      <c r="Z31" s="3476">
        <f t="shared" si="15"/>
        <v>111</v>
      </c>
      <c r="AA31" s="3478">
        <f t="shared" si="3"/>
        <v>1</v>
      </c>
      <c r="AB31" s="3478">
        <f t="shared" si="4"/>
        <v>1</v>
      </c>
      <c r="AC31" s="3478">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709" t="s">
        <v>533</v>
      </c>
      <c r="Q32" s="3475" t="str">
        <f t="shared" si="11"/>
        <v>建筑类型</v>
      </c>
      <c r="R32" s="1463" t="s">
        <v>8</v>
      </c>
      <c r="S32" s="1464">
        <f t="shared" si="12"/>
        <v>100</v>
      </c>
      <c r="T32" s="1463" t="s">
        <v>8</v>
      </c>
      <c r="U32" s="1464">
        <f t="shared" si="13"/>
        <v>100</v>
      </c>
      <c r="V32" s="1463" t="s">
        <v>8</v>
      </c>
      <c r="W32" s="1464">
        <f t="shared" si="14"/>
        <v>100</v>
      </c>
      <c r="X32" s="3477"/>
      <c r="Y32" s="3710" t="s">
        <v>533</v>
      </c>
      <c r="Z32" s="3476" t="str">
        <f t="shared" si="15"/>
        <v>建筑类型</v>
      </c>
      <c r="AA32" s="3478">
        <f t="shared" si="3"/>
        <v>1</v>
      </c>
      <c r="AB32" s="3478">
        <f t="shared" si="4"/>
        <v>1</v>
      </c>
      <c r="AC32" s="3478">
        <f t="shared" si="5"/>
        <v>1</v>
      </c>
    </row>
    <row r="33" spans="1:29" s="1248" customFormat="1" ht="15">
      <c r="A33" s="580"/>
      <c r="B33" s="504" t="s">
        <v>708</v>
      </c>
      <c r="C33" s="851">
        <f>'数据-基础表'!B3</f>
        <v>98965.430000000008</v>
      </c>
      <c r="D33" s="253">
        <v>100</v>
      </c>
      <c r="E33" s="511">
        <v>95931</v>
      </c>
      <c r="F33" s="835">
        <f>LOOKUP(E33,103:103,104:104)-LOOKUP(C33,103:103,104:104)+100</f>
        <v>100</v>
      </c>
      <c r="G33" s="510">
        <v>109351</v>
      </c>
      <c r="H33" s="253">
        <f>LOOKUP(G33,103:103,104:104)-LOOKUP(C33,103:103,104:104)+100</f>
        <v>100</v>
      </c>
      <c r="I33" s="511">
        <v>58000</v>
      </c>
      <c r="J33" s="253">
        <f>LOOKUP(I33,103:103,104:104)-LOOKUP(C33,103:103,104:104)+100</f>
        <v>98</v>
      </c>
      <c r="K33" s="837"/>
      <c r="L33" s="1976"/>
      <c r="M33" s="2006"/>
      <c r="N33" s="2006"/>
      <c r="O33" s="1979"/>
      <c r="P33" s="3710"/>
      <c r="Q33" s="1491" t="str">
        <f t="shared" si="11"/>
        <v>项目建筑规模</v>
      </c>
      <c r="R33" s="1467" t="s">
        <v>8</v>
      </c>
      <c r="S33" s="1468">
        <f t="shared" si="12"/>
        <v>100</v>
      </c>
      <c r="T33" s="1467" t="s">
        <v>8</v>
      </c>
      <c r="U33" s="1468">
        <f t="shared" si="13"/>
        <v>100</v>
      </c>
      <c r="V33" s="1467" t="s">
        <v>8</v>
      </c>
      <c r="W33" s="1468">
        <f t="shared" si="14"/>
        <v>98</v>
      </c>
      <c r="X33" s="1469"/>
      <c r="Y33" s="3710"/>
      <c r="Z33" s="1470" t="str">
        <f t="shared" si="15"/>
        <v>项目建筑规模</v>
      </c>
      <c r="AA33" s="3478">
        <f t="shared" si="3"/>
        <v>1</v>
      </c>
      <c r="AB33" s="3478">
        <f t="shared" si="4"/>
        <v>1</v>
      </c>
      <c r="AC33" s="3478">
        <f t="shared" si="5"/>
        <v>1.0204081632653061</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710"/>
      <c r="Q34" s="3475" t="str">
        <f t="shared" si="11"/>
        <v>建筑结构</v>
      </c>
      <c r="R34" s="1463" t="s">
        <v>8</v>
      </c>
      <c r="S34" s="1464">
        <f t="shared" si="12"/>
        <v>100</v>
      </c>
      <c r="T34" s="1463" t="s">
        <v>8</v>
      </c>
      <c r="U34" s="1464">
        <f t="shared" si="13"/>
        <v>100</v>
      </c>
      <c r="V34" s="1463" t="s">
        <v>8</v>
      </c>
      <c r="W34" s="1464">
        <f t="shared" si="14"/>
        <v>100</v>
      </c>
      <c r="X34" s="3477"/>
      <c r="Y34" s="3710"/>
      <c r="Z34" s="3476" t="str">
        <f t="shared" si="15"/>
        <v>建筑结构</v>
      </c>
      <c r="AA34" s="3478">
        <f t="shared" si="3"/>
        <v>1</v>
      </c>
      <c r="AB34" s="3478">
        <f t="shared" si="4"/>
        <v>1</v>
      </c>
      <c r="AC34" s="3478">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10"/>
      <c r="Q35" s="3475" t="str">
        <f t="shared" si="11"/>
        <v>建筑品质</v>
      </c>
      <c r="R35" s="1463" t="s">
        <v>8</v>
      </c>
      <c r="S35" s="1464">
        <f t="shared" si="12"/>
        <v>100</v>
      </c>
      <c r="T35" s="1463" t="s">
        <v>8</v>
      </c>
      <c r="U35" s="1464">
        <f t="shared" si="13"/>
        <v>100</v>
      </c>
      <c r="V35" s="1463" t="s">
        <v>8</v>
      </c>
      <c r="W35" s="1464">
        <f t="shared" si="14"/>
        <v>100</v>
      </c>
      <c r="X35" s="3477"/>
      <c r="Y35" s="3710"/>
      <c r="Z35" s="3476" t="str">
        <f t="shared" si="15"/>
        <v>建筑品质</v>
      </c>
      <c r="AA35" s="3478">
        <f t="shared" si="3"/>
        <v>1</v>
      </c>
      <c r="AB35" s="3478">
        <f t="shared" si="4"/>
        <v>1</v>
      </c>
      <c r="AC35" s="3478">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710"/>
      <c r="Q36" s="3475" t="str">
        <f t="shared" si="11"/>
        <v>公共部分装修</v>
      </c>
      <c r="R36" s="1463" t="s">
        <v>8</v>
      </c>
      <c r="S36" s="1464">
        <f t="shared" si="12"/>
        <v>100</v>
      </c>
      <c r="T36" s="1463" t="s">
        <v>8</v>
      </c>
      <c r="U36" s="1464">
        <f t="shared" si="13"/>
        <v>100</v>
      </c>
      <c r="V36" s="1463" t="s">
        <v>8</v>
      </c>
      <c r="W36" s="1464">
        <f t="shared" si="14"/>
        <v>100</v>
      </c>
      <c r="X36" s="3477"/>
      <c r="Y36" s="3710"/>
      <c r="Z36" s="3476" t="str">
        <f t="shared" si="15"/>
        <v>公共部分装修</v>
      </c>
      <c r="AA36" s="3478">
        <f t="shared" si="3"/>
        <v>1</v>
      </c>
      <c r="AB36" s="3478">
        <f t="shared" si="4"/>
        <v>1</v>
      </c>
      <c r="AC36" s="3478">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5</v>
      </c>
      <c r="L37" s="1971"/>
      <c r="M37" s="1972"/>
      <c r="N37" s="1972"/>
      <c r="O37" s="1973"/>
      <c r="P37" s="3710"/>
      <c r="Q37" s="3474" t="str">
        <f t="shared" si="11"/>
        <v>成新度</v>
      </c>
      <c r="R37" s="1458" t="s">
        <v>8</v>
      </c>
      <c r="S37" s="1459">
        <f t="shared" si="12"/>
        <v>100</v>
      </c>
      <c r="T37" s="1458" t="s">
        <v>8</v>
      </c>
      <c r="U37" s="1459">
        <f t="shared" si="13"/>
        <v>100</v>
      </c>
      <c r="V37" s="1458" t="s">
        <v>8</v>
      </c>
      <c r="W37" s="1459">
        <f t="shared" si="14"/>
        <v>100</v>
      </c>
      <c r="X37" s="1460"/>
      <c r="Y37" s="3710"/>
      <c r="Z37" s="3473" t="str">
        <f t="shared" si="15"/>
        <v>成新度</v>
      </c>
      <c r="AA37" s="1461">
        <f t="shared" si="3"/>
        <v>1</v>
      </c>
      <c r="AB37" s="1461">
        <f t="shared" si="4"/>
        <v>1</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10" t="s">
        <v>533</v>
      </c>
      <c r="Q38" s="3475" t="str">
        <f t="shared" si="11"/>
        <v>物业管理</v>
      </c>
      <c r="R38" s="1463" t="s">
        <v>8</v>
      </c>
      <c r="S38" s="1464">
        <f t="shared" si="12"/>
        <v>100</v>
      </c>
      <c r="T38" s="1463" t="s">
        <v>8</v>
      </c>
      <c r="U38" s="1464">
        <f t="shared" si="13"/>
        <v>100</v>
      </c>
      <c r="V38" s="1463" t="s">
        <v>8</v>
      </c>
      <c r="W38" s="1464">
        <f t="shared" si="14"/>
        <v>100</v>
      </c>
      <c r="X38" s="3477"/>
      <c r="Y38" s="3710" t="s">
        <v>533</v>
      </c>
      <c r="Z38" s="3476" t="str">
        <f t="shared" si="15"/>
        <v>物业管理</v>
      </c>
      <c r="AA38" s="3478">
        <f t="shared" si="3"/>
        <v>1</v>
      </c>
      <c r="AB38" s="3478">
        <f t="shared" si="4"/>
        <v>1</v>
      </c>
      <c r="AC38" s="3478">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10"/>
      <c r="Q39" s="3475" t="str">
        <f t="shared" si="11"/>
        <v>市政基础设施</v>
      </c>
      <c r="R39" s="1463" t="s">
        <v>8</v>
      </c>
      <c r="S39" s="1464">
        <f t="shared" si="12"/>
        <v>100</v>
      </c>
      <c r="T39" s="1463" t="s">
        <v>8</v>
      </c>
      <c r="U39" s="1464">
        <f t="shared" si="13"/>
        <v>100</v>
      </c>
      <c r="V39" s="1463" t="s">
        <v>8</v>
      </c>
      <c r="W39" s="1464">
        <f t="shared" si="14"/>
        <v>100</v>
      </c>
      <c r="X39" s="3477"/>
      <c r="Y39" s="3710"/>
      <c r="Z39" s="3476" t="str">
        <f t="shared" si="15"/>
        <v>市政基础设施</v>
      </c>
      <c r="AA39" s="3478">
        <f t="shared" si="3"/>
        <v>1</v>
      </c>
      <c r="AB39" s="3478">
        <f t="shared" si="4"/>
        <v>1</v>
      </c>
      <c r="AC39" s="3478">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10"/>
      <c r="Q40" s="3475" t="str">
        <f t="shared" si="11"/>
        <v>房型</v>
      </c>
      <c r="R40" s="1463" t="s">
        <v>8</v>
      </c>
      <c r="S40" s="1464">
        <f t="shared" si="12"/>
        <v>100</v>
      </c>
      <c r="T40" s="1463" t="s">
        <v>8</v>
      </c>
      <c r="U40" s="1464">
        <f t="shared" si="13"/>
        <v>100</v>
      </c>
      <c r="V40" s="1463" t="s">
        <v>8</v>
      </c>
      <c r="W40" s="1464">
        <f t="shared" si="14"/>
        <v>100</v>
      </c>
      <c r="X40" s="3477"/>
      <c r="Y40" s="3710"/>
      <c r="Z40" s="3476" t="str">
        <f t="shared" si="15"/>
        <v>房型</v>
      </c>
      <c r="AA40" s="3478">
        <f t="shared" si="3"/>
        <v>1</v>
      </c>
      <c r="AB40" s="3478">
        <f t="shared" si="4"/>
        <v>1</v>
      </c>
      <c r="AC40" s="3478">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10"/>
      <c r="Q41" s="1491" t="str">
        <f t="shared" si="11"/>
        <v>单套/主力户型建筑面积</v>
      </c>
      <c r="R41" s="1467" t="s">
        <v>8</v>
      </c>
      <c r="S41" s="1468">
        <f t="shared" si="12"/>
        <v>100</v>
      </c>
      <c r="T41" s="1467" t="s">
        <v>8</v>
      </c>
      <c r="U41" s="1468">
        <f t="shared" si="13"/>
        <v>100</v>
      </c>
      <c r="V41" s="1467" t="s">
        <v>8</v>
      </c>
      <c r="W41" s="1468">
        <f t="shared" si="14"/>
        <v>100</v>
      </c>
      <c r="X41" s="1469"/>
      <c r="Y41" s="3710"/>
      <c r="Z41" s="1470" t="str">
        <f t="shared" si="15"/>
        <v>单套/主力户型建筑面积</v>
      </c>
      <c r="AA41" s="3478">
        <f t="shared" si="3"/>
        <v>1</v>
      </c>
      <c r="AB41" s="3478">
        <f t="shared" si="4"/>
        <v>1</v>
      </c>
      <c r="AC41" s="3478">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3338</v>
      </c>
      <c r="J42" s="517">
        <f>SUMIF(122:122,I42,123:123)-SUMIF(122:122,C42,123:123)+100</f>
        <v>95</v>
      </c>
      <c r="K42" s="836">
        <v>5</v>
      </c>
      <c r="L42" s="1978"/>
      <c r="M42" s="1970"/>
      <c r="N42" s="1970"/>
      <c r="O42" s="1977"/>
      <c r="P42" s="3710"/>
      <c r="Q42" s="3475" t="str">
        <f t="shared" si="11"/>
        <v>内部装修</v>
      </c>
      <c r="R42" s="1463" t="s">
        <v>8</v>
      </c>
      <c r="S42" s="1464">
        <f t="shared" si="12"/>
        <v>100</v>
      </c>
      <c r="T42" s="1463" t="s">
        <v>8</v>
      </c>
      <c r="U42" s="1464">
        <f t="shared" si="13"/>
        <v>100</v>
      </c>
      <c r="V42" s="1463" t="s">
        <v>8</v>
      </c>
      <c r="W42" s="1464">
        <f t="shared" si="14"/>
        <v>95</v>
      </c>
      <c r="X42" s="3477"/>
      <c r="Y42" s="3710"/>
      <c r="Z42" s="3476" t="str">
        <f t="shared" si="15"/>
        <v>内部装修</v>
      </c>
      <c r="AA42" s="3478">
        <f t="shared" si="3"/>
        <v>1</v>
      </c>
      <c r="AB42" s="3478">
        <f t="shared" si="4"/>
        <v>1</v>
      </c>
      <c r="AC42" s="3478">
        <f t="shared" si="5"/>
        <v>1.0526315789473684</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10"/>
      <c r="Q43" s="3475" t="str">
        <f t="shared" si="11"/>
        <v>内部装修维护情况</v>
      </c>
      <c r="R43" s="1463" t="s">
        <v>8</v>
      </c>
      <c r="S43" s="1464">
        <f t="shared" si="12"/>
        <v>100</v>
      </c>
      <c r="T43" s="1463" t="s">
        <v>8</v>
      </c>
      <c r="U43" s="1464">
        <f t="shared" si="13"/>
        <v>100</v>
      </c>
      <c r="V43" s="1463" t="s">
        <v>8</v>
      </c>
      <c r="W43" s="1464">
        <f t="shared" si="14"/>
        <v>100</v>
      </c>
      <c r="X43" s="3477"/>
      <c r="Y43" s="3710"/>
      <c r="Z43" s="3476" t="str">
        <f t="shared" si="15"/>
        <v>内部装修维护情况</v>
      </c>
      <c r="AA43" s="3478">
        <f t="shared" si="3"/>
        <v>1</v>
      </c>
      <c r="AB43" s="3478">
        <f t="shared" si="4"/>
        <v>1</v>
      </c>
      <c r="AC43" s="3478">
        <f t="shared" si="5"/>
        <v>1</v>
      </c>
    </row>
    <row r="44" spans="1:29" s="1166" customFormat="1" ht="15">
      <c r="A44" s="577"/>
      <c r="B44" s="3490" t="s">
        <v>3335</v>
      </c>
      <c r="C44" s="851">
        <v>20</v>
      </c>
      <c r="D44" s="253">
        <v>100</v>
      </c>
      <c r="E44" s="851">
        <v>0</v>
      </c>
      <c r="F44" s="835">
        <f>SUMIF(126:126,E44,127:127)-SUMIF(126:126,C44,127:127)+100</f>
        <v>120</v>
      </c>
      <c r="G44" s="851">
        <v>0</v>
      </c>
      <c r="H44" s="253">
        <f>SUMIF(126:126,G44,127:127)-SUMIF(126:126,C44,127:127)+100</f>
        <v>120</v>
      </c>
      <c r="I44" s="851">
        <v>0</v>
      </c>
      <c r="J44" s="253">
        <f>SUMIF(126:126,I44,127:127)-SUMIF(126:126,C44,127:127)+100</f>
        <v>120</v>
      </c>
      <c r="K44" s="837"/>
      <c r="L44" s="1971"/>
      <c r="M44" s="1972"/>
      <c r="N44" s="1972"/>
      <c r="O44" s="1973"/>
      <c r="P44" s="3710"/>
      <c r="Q44" s="3474" t="str">
        <f t="shared" si="11"/>
        <v>自持</v>
      </c>
      <c r="R44" s="1458" t="s">
        <v>8</v>
      </c>
      <c r="S44" s="1459">
        <f t="shared" si="12"/>
        <v>120</v>
      </c>
      <c r="T44" s="1458" t="s">
        <v>8</v>
      </c>
      <c r="U44" s="1459">
        <f t="shared" si="13"/>
        <v>120</v>
      </c>
      <c r="V44" s="1458" t="s">
        <v>8</v>
      </c>
      <c r="W44" s="1459">
        <f t="shared" si="14"/>
        <v>120</v>
      </c>
      <c r="X44" s="1460"/>
      <c r="Y44" s="3710"/>
      <c r="Z44" s="3473" t="str">
        <f t="shared" si="15"/>
        <v>自持</v>
      </c>
      <c r="AA44" s="1461">
        <f t="shared" si="3"/>
        <v>0.83333333333333337</v>
      </c>
      <c r="AB44" s="1461">
        <f t="shared" si="4"/>
        <v>0.83333333333333337</v>
      </c>
      <c r="AC44" s="1461">
        <f t="shared" si="5"/>
        <v>0.83333333333333337</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10"/>
      <c r="Q45" s="3475">
        <f t="shared" si="11"/>
        <v>111</v>
      </c>
      <c r="R45" s="1463" t="s">
        <v>8</v>
      </c>
      <c r="S45" s="1464">
        <f t="shared" si="12"/>
        <v>100</v>
      </c>
      <c r="T45" s="1463" t="s">
        <v>8</v>
      </c>
      <c r="U45" s="1464">
        <f t="shared" si="13"/>
        <v>100</v>
      </c>
      <c r="V45" s="1463" t="s">
        <v>8</v>
      </c>
      <c r="W45" s="1464">
        <f t="shared" si="14"/>
        <v>100</v>
      </c>
      <c r="X45" s="3477"/>
      <c r="Y45" s="3710"/>
      <c r="Z45" s="3476">
        <f t="shared" si="15"/>
        <v>111</v>
      </c>
      <c r="AA45" s="3478">
        <f t="shared" si="3"/>
        <v>1</v>
      </c>
      <c r="AB45" s="3478">
        <f t="shared" si="4"/>
        <v>1</v>
      </c>
      <c r="AC45" s="3478">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03"/>
      <c r="Q46" s="3475">
        <f t="shared" si="11"/>
        <v>111</v>
      </c>
      <c r="R46" s="1463" t="s">
        <v>8</v>
      </c>
      <c r="S46" s="1464">
        <f t="shared" si="12"/>
        <v>100</v>
      </c>
      <c r="T46" s="1463" t="s">
        <v>8</v>
      </c>
      <c r="U46" s="1464">
        <f t="shared" si="13"/>
        <v>100</v>
      </c>
      <c r="V46" s="1463" t="s">
        <v>8</v>
      </c>
      <c r="W46" s="1464">
        <f t="shared" si="14"/>
        <v>100</v>
      </c>
      <c r="X46" s="3477"/>
      <c r="Y46" s="3803"/>
      <c r="Z46" s="3476">
        <f t="shared" si="15"/>
        <v>111</v>
      </c>
      <c r="AA46" s="3478">
        <f t="shared" si="3"/>
        <v>1</v>
      </c>
      <c r="AB46" s="3478">
        <f t="shared" si="4"/>
        <v>1</v>
      </c>
      <c r="AC46" s="3478">
        <f t="shared" si="5"/>
        <v>1</v>
      </c>
    </row>
    <row r="47" spans="1:29" ht="15">
      <c r="A47" s="584" t="s">
        <v>718</v>
      </c>
      <c r="B47" s="858"/>
      <c r="C47" s="2392" t="s">
        <v>1</v>
      </c>
      <c r="D47" s="2393"/>
      <c r="E47" s="2394">
        <v>53000</v>
      </c>
      <c r="F47" s="2395"/>
      <c r="G47" s="2396">
        <v>54000</v>
      </c>
      <c r="H47" s="2397"/>
      <c r="I47" s="2394">
        <v>49000</v>
      </c>
      <c r="J47" s="2397"/>
      <c r="K47" s="1492"/>
      <c r="L47" s="1980"/>
      <c r="M47" s="1981">
        <v>55000</v>
      </c>
      <c r="N47" s="1970"/>
      <c r="O47" s="1981"/>
      <c r="P47" s="3674" t="str">
        <f>A47</f>
        <v>成交单价（元/平方米）</v>
      </c>
      <c r="Q47" s="3674"/>
      <c r="R47" s="3802">
        <f>E47</f>
        <v>53000</v>
      </c>
      <c r="S47" s="3802"/>
      <c r="T47" s="3802">
        <f>G47</f>
        <v>54000</v>
      </c>
      <c r="U47" s="3802"/>
      <c r="V47" s="3802">
        <f>I47</f>
        <v>49000</v>
      </c>
      <c r="W47" s="3802"/>
      <c r="X47" s="1452"/>
      <c r="Y47" s="1471"/>
      <c r="Z47" s="1452"/>
      <c r="AA47" s="1452"/>
      <c r="AB47" s="1452"/>
      <c r="AC47" s="1452"/>
    </row>
    <row r="48" spans="1:29" ht="15.75" thickBot="1">
      <c r="A48" s="592" t="s">
        <v>2410</v>
      </c>
      <c r="B48" s="859"/>
      <c r="C48" s="2398">
        <f>R49</f>
        <v>41677</v>
      </c>
      <c r="D48" s="2922" t="s">
        <v>2702</v>
      </c>
      <c r="E48" s="2399">
        <f>R48</f>
        <v>42063</v>
      </c>
      <c r="F48" s="2923"/>
      <c r="G48" s="2398">
        <f>T48</f>
        <v>42017</v>
      </c>
      <c r="H48" s="2923"/>
      <c r="I48" s="2399">
        <f>V48</f>
        <v>40952</v>
      </c>
      <c r="J48" s="2923"/>
      <c r="K48" s="2931">
        <f>F48+H48+J48</f>
        <v>0</v>
      </c>
      <c r="L48" s="1980"/>
      <c r="M48" s="1981">
        <f>C49/M47</f>
        <v>0.75776363636363642</v>
      </c>
      <c r="N48" s="1981"/>
      <c r="O48" s="1981"/>
      <c r="P48" s="3674" t="str">
        <f>A48</f>
        <v>比较价格（元/平方米）</v>
      </c>
      <c r="Q48" s="3674"/>
      <c r="R48" s="3802">
        <f>IF(F1="售价",ROUND(PRODUCT(R47,AA7:AA46),0),ROUND(PRODUCT(R47,AA7:AA46),1))</f>
        <v>42063</v>
      </c>
      <c r="S48" s="3802"/>
      <c r="T48" s="3802">
        <f>IF(F1="售价",ROUND(PRODUCT(T47,AB7:AB46),0),ROUND(PRODUCT(T47,AB7:AB46),1))</f>
        <v>42017</v>
      </c>
      <c r="U48" s="3802"/>
      <c r="V48" s="3802">
        <f>IF(F1="售价",ROUND(PRODUCT(V47,AC7:AC46),0),ROUND(PRODUCT(V47,AC7:AC46),1))</f>
        <v>40952</v>
      </c>
      <c r="W48" s="3802"/>
      <c r="X48" s="1452"/>
      <c r="Y48" s="1452"/>
      <c r="Z48" s="1452"/>
      <c r="AA48" s="1452"/>
      <c r="AB48" s="1452"/>
      <c r="AC48" s="1452"/>
    </row>
    <row r="49" spans="1:29" ht="15.75" thickBot="1">
      <c r="A49" s="596" t="s">
        <v>2637</v>
      </c>
      <c r="B49" s="597"/>
      <c r="C49" s="2400">
        <f>R49</f>
        <v>41677</v>
      </c>
      <c r="D49" s="2400"/>
      <c r="E49" s="2400"/>
      <c r="F49" s="2400"/>
      <c r="G49" s="2400"/>
      <c r="H49" s="2400"/>
      <c r="I49" s="2400"/>
      <c r="J49" s="2400"/>
      <c r="K49" s="1493"/>
      <c r="L49" s="1980"/>
      <c r="M49" s="1981"/>
      <c r="N49" s="1981"/>
      <c r="O49" s="1981"/>
      <c r="P49" s="3711" t="str">
        <f>A49</f>
        <v>估价对象XX用房的比较价格（楼面单价，元/平方米）</v>
      </c>
      <c r="Q49" s="3712"/>
      <c r="R49" s="3801">
        <f>IF(F1="售价",ROUND(IF(D48="简单平均",AVERAGE(R48:V48),R48*F48+T48*H48+V48*J48),0),ROUND(IF(D48="简单平均",AVERAGE(R48:V48),R48*F48+T48*H48+V48*J48),1))</f>
        <v>41677</v>
      </c>
      <c r="S49" s="3801"/>
      <c r="T49" s="3801"/>
      <c r="U49" s="3801"/>
      <c r="V49" s="3801"/>
      <c r="W49" s="3801"/>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0.26001473979506939</v>
      </c>
      <c r="F52" s="602" t="str">
        <f>IF(OR(E52&gt;=0.3,E52&lt;=-0.3),"超过30%","")</f>
        <v/>
      </c>
      <c r="G52" s="601">
        <f>IF(G47&lt;G48,G48/G47-1,G47/G48-1)</f>
        <v>0.2851940881071946</v>
      </c>
      <c r="H52" s="602" t="str">
        <f>IF(OR(G52&gt;=0.3,G52&lt;=-0.3),"超过30%","")</f>
        <v/>
      </c>
      <c r="I52" s="601">
        <f>IF(I47&lt;I48,I48/I47-1,I47/I48-1)</f>
        <v>0.19652275835124056</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1.0947949639432686E-3</v>
      </c>
      <c r="F53" s="602" t="str">
        <f>IF(OR(E53&gt;=0.2,E53&lt;=-0.2),"超过20%","")</f>
        <v/>
      </c>
      <c r="G53" s="601">
        <f>IF(G48&lt;I48,I48/G48-1,G48/I48-1)</f>
        <v>2.6006055870287259E-2</v>
      </c>
      <c r="H53" s="602" t="str">
        <f>IF(OR(G53&gt;=0.2,G53&lt;=-0.2),"超过20%","")</f>
        <v/>
      </c>
      <c r="I53" s="601">
        <f>IF(I48&lt;E48,E48/I48-1,I48/E48-1)</f>
        <v>2.7129322133229161E-2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1.8867924528301883E-2</v>
      </c>
      <c r="F54" s="602" t="str">
        <f>IF(OR(E54&gt;=0.3,E54&lt;=-0.3),"超过30%","")</f>
        <v/>
      </c>
      <c r="G54" s="601">
        <f>IF(G47&lt;I47,I47/G47-1,G47/I47-1)</f>
        <v>0.1020408163265305</v>
      </c>
      <c r="H54" s="602" t="str">
        <f>IF(OR(G54&gt;=0.3,G54&lt;=-0.3),"超过30%","")</f>
        <v/>
      </c>
      <c r="I54" s="601">
        <f>IF(I47&lt;E47,E47/I47-1,I47/E47-1)</f>
        <v>8.163265306122458E-2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2107</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2265</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50000(含)-80000</v>
      </c>
      <c r="E102" s="683" t="str">
        <f t="shared" si="23"/>
        <v>80000(含)-120000</v>
      </c>
      <c r="F102" s="683" t="str">
        <f t="shared" si="23"/>
        <v>120000(含)-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80000</v>
      </c>
      <c r="F103" s="705">
        <v>120000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495" t="s">
        <v>3337</v>
      </c>
      <c r="D122" s="3495" t="s">
        <v>3339</v>
      </c>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95</v>
      </c>
      <c r="E123" s="654">
        <f t="shared" si="29"/>
        <v>90</v>
      </c>
      <c r="F123" s="654">
        <f t="shared" si="29"/>
        <v>85</v>
      </c>
      <c r="G123" s="654">
        <f t="shared" si="29"/>
        <v>80</v>
      </c>
      <c r="H123" s="654">
        <f t="shared" si="29"/>
        <v>75</v>
      </c>
      <c r="I123" s="654">
        <f t="shared" si="29"/>
        <v>70</v>
      </c>
      <c r="J123" s="654">
        <f t="shared" si="29"/>
        <v>65</v>
      </c>
      <c r="K123" s="654">
        <f t="shared" si="29"/>
        <v>60</v>
      </c>
      <c r="L123" s="654">
        <f t="shared" si="29"/>
        <v>55</v>
      </c>
      <c r="M123" s="654">
        <f t="shared" si="29"/>
        <v>50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自持</v>
      </c>
      <c r="C126" s="663">
        <v>20</v>
      </c>
      <c r="D126" s="663">
        <v>0</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120</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2054</v>
      </c>
      <c r="H138" s="1797" t="s">
        <v>2055</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2061</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22" priority="18" stopIfTrue="1" operator="containsText" text="超过">
      <formula>NOT(ISERROR(SEARCH("超过",F52)))</formula>
    </cfRule>
  </conditionalFormatting>
  <conditionalFormatting sqref="J54">
    <cfRule type="containsText" dxfId="21" priority="17" stopIfTrue="1" operator="containsText" text="超过">
      <formula>NOT(ISERROR(SEARCH("超过",J54)))</formula>
    </cfRule>
  </conditionalFormatting>
  <conditionalFormatting sqref="H54">
    <cfRule type="containsText" dxfId="20" priority="16" stopIfTrue="1" operator="containsText" text="超过">
      <formula>NOT(ISERROR(SEARCH("超过",H54)))</formula>
    </cfRule>
  </conditionalFormatting>
  <conditionalFormatting sqref="F54">
    <cfRule type="containsText" dxfId="19" priority="15" stopIfTrue="1" operator="containsText" text="超过">
      <formula>NOT(ISERROR(SEARCH("超过",F54)))</formula>
    </cfRule>
  </conditionalFormatting>
  <conditionalFormatting sqref="F53 H53 J53">
    <cfRule type="containsText" dxfId="18" priority="14" stopIfTrue="1" operator="containsText" text="超过">
      <formula>NOT(ISERROR(SEARCH("超过",F53)))</formula>
    </cfRule>
  </conditionalFormatting>
  <conditionalFormatting sqref="E52">
    <cfRule type="expression" dxfId="17" priority="13" stopIfTrue="1">
      <formula>$F$52="超过30%"</formula>
    </cfRule>
  </conditionalFormatting>
  <conditionalFormatting sqref="G54">
    <cfRule type="expression" dxfId="16" priority="12" stopIfTrue="1">
      <formula>$H$54="超过30%"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H37" sqref="H37"/>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35</v>
      </c>
      <c r="D1" s="2716" t="s">
        <v>3155</v>
      </c>
      <c r="E1" s="2196" t="s">
        <v>850</v>
      </c>
      <c r="F1" s="2197">
        <f ca="1">J53</f>
        <v>46.86</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611</v>
      </c>
      <c r="B2" s="748">
        <f ca="1">C40+J29+L46</f>
        <v>7390</v>
      </c>
      <c r="C2" s="3172"/>
      <c r="D2" s="3173"/>
      <c r="E2" s="3174"/>
      <c r="F2" s="3174"/>
      <c r="G2" s="3168"/>
      <c r="H2" s="1894"/>
      <c r="I2" s="1894"/>
      <c r="J2" s="1894"/>
      <c r="K2" s="1895"/>
      <c r="L2" s="1894"/>
      <c r="M2" s="1894"/>
    </row>
    <row r="3" spans="1:33" ht="18" customHeight="1" thickBot="1">
      <c r="A3" s="805" t="s">
        <v>502</v>
      </c>
      <c r="B3" s="806">
        <f ca="1">IF(ISERROR(B2*10000/F43),0,ROUND(B2*10000/F43,0))</f>
        <v>3346</v>
      </c>
      <c r="C3" s="3172"/>
      <c r="D3" s="3173"/>
      <c r="E3" s="3174"/>
      <c r="F3" s="3174"/>
      <c r="G3" s="3168"/>
      <c r="H3" s="749" t="s">
        <v>677</v>
      </c>
      <c r="I3" s="1271"/>
      <c r="J3" s="1271"/>
      <c r="K3" s="1481"/>
      <c r="L3" s="1271"/>
      <c r="M3" s="1271"/>
    </row>
    <row r="4" spans="1:33" ht="18" customHeight="1">
      <c r="A4" s="750" t="s">
        <v>1528</v>
      </c>
      <c r="B4" s="751" t="s">
        <v>1529</v>
      </c>
      <c r="C4" s="751" t="s">
        <v>614</v>
      </c>
      <c r="D4" s="751" t="s">
        <v>615</v>
      </c>
      <c r="E4" s="752" t="s">
        <v>616</v>
      </c>
      <c r="F4" s="753"/>
      <c r="G4" s="1899"/>
      <c r="H4" s="750" t="s">
        <v>1528</v>
      </c>
      <c r="I4" s="751" t="s">
        <v>1529</v>
      </c>
      <c r="J4" s="751" t="s">
        <v>614</v>
      </c>
      <c r="K4" s="751" t="s">
        <v>1535</v>
      </c>
      <c r="L4" s="752" t="s">
        <v>616</v>
      </c>
      <c r="M4" s="753"/>
    </row>
    <row r="5" spans="1:33" ht="18" customHeight="1">
      <c r="A5" s="754">
        <v>1</v>
      </c>
      <c r="B5" s="755" t="s">
        <v>2237</v>
      </c>
      <c r="C5" s="55">
        <f ca="1">C6+C10+C12</f>
        <v>477</v>
      </c>
      <c r="D5" s="2301" t="s">
        <v>2240</v>
      </c>
      <c r="E5" s="2295"/>
      <c r="F5" s="2296"/>
      <c r="G5" s="1899"/>
      <c r="H5" s="754">
        <v>1</v>
      </c>
      <c r="I5" s="755" t="s">
        <v>2237</v>
      </c>
      <c r="J5" s="55">
        <f ca="1">J6+J10+J12</f>
        <v>0</v>
      </c>
      <c r="K5" s="2301" t="s">
        <v>2240</v>
      </c>
      <c r="L5" s="2295"/>
      <c r="M5" s="2296"/>
    </row>
    <row r="6" spans="1:33" ht="18" customHeight="1">
      <c r="A6" s="1700" t="s">
        <v>1624</v>
      </c>
      <c r="B6" s="3774" t="s">
        <v>2242</v>
      </c>
      <c r="C6" s="756">
        <f ca="1">ROUND(F6*F8*F7*(1-F9)/10000,0)</f>
        <v>477</v>
      </c>
      <c r="D6" s="2302" t="s">
        <v>2241</v>
      </c>
      <c r="E6" s="757" t="s">
        <v>1538</v>
      </c>
      <c r="F6" s="758">
        <f ca="1">INDIRECT("'数据-取费表'!u"&amp;$G$1)</f>
        <v>700</v>
      </c>
      <c r="G6" s="1899"/>
      <c r="H6" s="2309" t="s">
        <v>1624</v>
      </c>
      <c r="I6" s="3774" t="s">
        <v>2242</v>
      </c>
      <c r="J6" s="756">
        <f ca="1">ROUND(M6*M8*M7*(1-M9)/10000,0)</f>
        <v>0</v>
      </c>
      <c r="K6" s="339" t="s">
        <v>618</v>
      </c>
      <c r="L6" s="757" t="s">
        <v>1538</v>
      </c>
      <c r="M6" s="758">
        <f ca="1">INDIRECT("'数据-取费表'!z"&amp;$G$1)</f>
        <v>0</v>
      </c>
    </row>
    <row r="7" spans="1:33" ht="18" customHeight="1">
      <c r="A7" s="2305"/>
      <c r="B7" s="3775"/>
      <c r="C7" s="761"/>
      <c r="D7" s="762"/>
      <c r="E7" s="757" t="s">
        <v>620</v>
      </c>
      <c r="F7" s="758">
        <f ca="1">IF(INDIRECT("'数据-取费表'!ah"&amp;$G$1)="",INDIRECT("'数据-取费表'!k"&amp;$G$1),INDIRECT("'数据-取费表'!ah"&amp;$G$1))</f>
        <v>631</v>
      </c>
      <c r="G7" s="1899"/>
      <c r="H7" s="2294"/>
      <c r="I7" s="3775"/>
      <c r="J7" s="761"/>
      <c r="K7" s="762"/>
      <c r="L7" s="757" t="s">
        <v>620</v>
      </c>
      <c r="M7" s="758">
        <f ca="1">F7</f>
        <v>631</v>
      </c>
    </row>
    <row r="8" spans="1:33" ht="18" customHeight="1">
      <c r="A8" s="2298"/>
      <c r="B8" s="3776"/>
      <c r="C8" s="761"/>
      <c r="D8" s="762"/>
      <c r="E8" s="757" t="s">
        <v>1540</v>
      </c>
      <c r="F8" s="758">
        <f ca="1">INDIRECT("'数据-取费表'!ai"&amp;$G$1)</f>
        <v>12</v>
      </c>
      <c r="G8" s="1899"/>
      <c r="H8" s="2294"/>
      <c r="I8" s="3776"/>
      <c r="J8" s="761"/>
      <c r="K8" s="762"/>
      <c r="L8" s="757" t="s">
        <v>1540</v>
      </c>
      <c r="M8" s="758">
        <f ca="1">INDIRECT("'数据-取费表'!ai"&amp;$G$1)</f>
        <v>12</v>
      </c>
    </row>
    <row r="9" spans="1:33" ht="18" customHeight="1">
      <c r="A9" s="759"/>
      <c r="B9" s="3777"/>
      <c r="C9" s="761"/>
      <c r="D9" s="762"/>
      <c r="E9" s="757" t="s">
        <v>622</v>
      </c>
      <c r="F9" s="767">
        <f ca="1">INDIRECT("'数据-取费表'!w"&amp;$G$1)</f>
        <v>0.1</v>
      </c>
      <c r="G9" s="1899"/>
      <c r="H9" s="2310"/>
      <c r="I9" s="3776"/>
      <c r="J9" s="761"/>
      <c r="K9" s="762"/>
      <c r="L9" s="768" t="s">
        <v>622</v>
      </c>
      <c r="M9" s="769">
        <f ca="1">INDIRECT("'数据-取费表'!ab"&amp;$G$1)</f>
        <v>0</v>
      </c>
    </row>
    <row r="10" spans="1:33" ht="18" customHeight="1">
      <c r="A10" s="1700" t="s">
        <v>1625</v>
      </c>
      <c r="B10" s="2299" t="s">
        <v>2238</v>
      </c>
      <c r="C10" s="772">
        <f ca="1">ROUND(IF(F10="押一",C6/12*F11,IF(F10="押二",C6/12*2*F11,IF(F10="押三",C6/12*3*F11,C11*F11))),0)</f>
        <v>0</v>
      </c>
      <c r="D10" s="2306" t="s">
        <v>2671</v>
      </c>
      <c r="E10" s="2303" t="s">
        <v>2243</v>
      </c>
      <c r="F10" s="3491" t="s">
        <v>3336</v>
      </c>
      <c r="G10" s="1899"/>
      <c r="H10" s="2337" t="s">
        <v>1625</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2236</v>
      </c>
      <c r="F11" s="769">
        <f ca="1">'数据-取费表'!B39</f>
        <v>1.4999999999999999E-2</v>
      </c>
      <c r="G11" s="1899"/>
      <c r="H11" s="2338"/>
      <c r="I11" s="2300" t="s">
        <v>2291</v>
      </c>
      <c r="J11" s="2304"/>
      <c r="K11" s="2339"/>
      <c r="L11" s="2303" t="s">
        <v>2236</v>
      </c>
      <c r="M11" s="2297">
        <f ca="1">'数据-取费表'!B39</f>
        <v>1.4999999999999999E-2</v>
      </c>
    </row>
    <row r="12" spans="1:33" ht="18" customHeight="1" thickBot="1">
      <c r="A12" s="2313" t="s">
        <v>2246</v>
      </c>
      <c r="B12" s="2314" t="s">
        <v>2239</v>
      </c>
      <c r="C12" s="2315"/>
      <c r="D12" s="2316"/>
      <c r="E12" s="2317"/>
      <c r="F12" s="2318"/>
      <c r="G12" s="1899"/>
      <c r="H12" s="2327" t="s">
        <v>2246</v>
      </c>
      <c r="I12" s="2340" t="s">
        <v>2239</v>
      </c>
      <c r="J12" s="2341"/>
      <c r="K12" s="2316"/>
      <c r="L12" s="2317"/>
      <c r="M12" s="2330"/>
    </row>
    <row r="13" spans="1:33" ht="18" customHeight="1" thickTop="1">
      <c r="A13" s="1699">
        <v>2</v>
      </c>
      <c r="B13" s="1697" t="s">
        <v>1542</v>
      </c>
      <c r="C13" s="765">
        <f ca="1">ROUND(C29*F13,0)</f>
        <v>10354</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7605</v>
      </c>
      <c r="D14" s="3448" t="s">
        <v>628</v>
      </c>
      <c r="E14" s="3449"/>
      <c r="F14" s="778"/>
      <c r="G14" s="1899"/>
      <c r="H14" s="1532" t="s">
        <v>1624</v>
      </c>
      <c r="I14" s="2065" t="s">
        <v>2541</v>
      </c>
      <c r="J14" s="53">
        <f ca="1">C29</f>
        <v>10354</v>
      </c>
      <c r="K14" s="26"/>
      <c r="L14" s="774"/>
      <c r="M14" s="775"/>
    </row>
    <row r="15" spans="1:33" s="1901" customFormat="1" ht="18" customHeight="1" thickBot="1">
      <c r="A15" s="1531" t="s">
        <v>1632</v>
      </c>
      <c r="B15" s="757" t="s">
        <v>629</v>
      </c>
      <c r="C15" s="53">
        <f ca="1">ROUND(C14*F15,0)</f>
        <v>380</v>
      </c>
      <c r="D15" s="779" t="s">
        <v>630</v>
      </c>
      <c r="E15" s="779" t="s">
        <v>1547</v>
      </c>
      <c r="F15" s="780">
        <f>'数据-取费表'!B33</f>
        <v>0.05</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630</v>
      </c>
      <c r="E16" s="757" t="s">
        <v>1547</v>
      </c>
      <c r="F16" s="782">
        <f ca="1">IF(INDIRECT("'数据-取费表'!c"&amp;$G$1)="住宅",'数据-取费表'!B34,0)</f>
        <v>0</v>
      </c>
      <c r="G16" s="1899"/>
      <c r="H16" s="1699" t="s">
        <v>1548</v>
      </c>
      <c r="I16" s="1697" t="s">
        <v>1549</v>
      </c>
      <c r="J16" s="765">
        <f ca="1">ROUND(J17+J22+J23+J24,0)</f>
        <v>975</v>
      </c>
      <c r="K16" s="1691" t="s">
        <v>1550</v>
      </c>
      <c r="L16" s="3450"/>
      <c r="M16" s="2296"/>
    </row>
    <row r="17" spans="1:33" s="1901" customFormat="1" ht="18" customHeight="1">
      <c r="A17" s="1531" t="s">
        <v>1683</v>
      </c>
      <c r="B17" s="757" t="s">
        <v>635</v>
      </c>
      <c r="C17" s="53">
        <f ca="1">ROUND(F17*(F43+INDIRECT("'数据-取费表'!S"&amp;$G$1))/10000,0)</f>
        <v>507</v>
      </c>
      <c r="D17" s="757" t="s">
        <v>1551</v>
      </c>
      <c r="E17" s="757" t="s">
        <v>637</v>
      </c>
      <c r="F17" s="56">
        <f>'数据-取费表'!B35</f>
        <v>200</v>
      </c>
      <c r="G17" s="3169"/>
      <c r="H17" s="1532" t="s">
        <v>1624</v>
      </c>
      <c r="I17" s="757" t="s">
        <v>638</v>
      </c>
      <c r="J17" s="2927">
        <f ca="1">ROUND(IF(AND(项目基本情况!B11="自然人",项目基本情况!B10="北京市"),J6*M17/(1+'数据-取费表'!C42),J18+J19+J20),0)</f>
        <v>871</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114</v>
      </c>
      <c r="D18" s="757" t="s">
        <v>630</v>
      </c>
      <c r="E18" s="757" t="s">
        <v>1547</v>
      </c>
      <c r="F18" s="782">
        <f>'数据-取费表'!B36</f>
        <v>1.4999999999999999E-2</v>
      </c>
      <c r="G18" s="3169"/>
      <c r="H18" s="1531" t="s">
        <v>1631</v>
      </c>
      <c r="I18" s="757" t="s">
        <v>1555</v>
      </c>
      <c r="J18" s="53">
        <f ca="1">ROUND(J6*M18/(1+'数据-取费表'!C42),1)</f>
        <v>0</v>
      </c>
      <c r="K18" s="3447" t="s">
        <v>643</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8606</v>
      </c>
      <c r="D19" s="259" t="s">
        <v>1557</v>
      </c>
      <c r="E19" s="3452"/>
      <c r="F19" s="56"/>
      <c r="G19" s="1899"/>
      <c r="H19" s="1531" t="s">
        <v>1632</v>
      </c>
      <c r="I19" s="757" t="s">
        <v>1558</v>
      </c>
      <c r="J19" s="53">
        <f ca="1">IF(K19="按租金收入计税",ROUND(J6*M19/(1+'数据-取费表'!C42),1),ROUND(C29*F33*0.7,1))</f>
        <v>869.7</v>
      </c>
      <c r="K19" s="783" t="s">
        <v>647</v>
      </c>
      <c r="L19" s="757" t="s">
        <v>1547</v>
      </c>
      <c r="M19" s="782">
        <f>IF(K19="按租金收入计税",'数据-取费表'!B51,'数据-取费表'!B50)</f>
        <v>1.2E-2</v>
      </c>
    </row>
    <row r="20" spans="1:33" s="1901" customFormat="1" ht="18" customHeight="1">
      <c r="A20" s="1532" t="s">
        <v>1685</v>
      </c>
      <c r="B20" s="757" t="s">
        <v>648</v>
      </c>
      <c r="C20" s="53">
        <f ca="1">ROUND(C19*F20,0)</f>
        <v>172</v>
      </c>
      <c r="D20" s="784" t="s">
        <v>649</v>
      </c>
      <c r="E20" s="757" t="s">
        <v>1547</v>
      </c>
      <c r="F20" s="782">
        <f>'数据-取费表'!B37</f>
        <v>0.02</v>
      </c>
      <c r="G20" s="3169"/>
      <c r="H20" s="1534" t="s">
        <v>1633</v>
      </c>
      <c r="I20" s="339" t="s">
        <v>650</v>
      </c>
      <c r="J20" s="54">
        <f ca="1">ROUND(M20*M21/10000,0)</f>
        <v>1</v>
      </c>
      <c r="K20" s="786" t="s">
        <v>651</v>
      </c>
      <c r="L20" s="757" t="s">
        <v>652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8272.15</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104</v>
      </c>
      <c r="K22" s="3447" t="s">
        <v>659</v>
      </c>
      <c r="L22" s="757" t="s">
        <v>1547</v>
      </c>
      <c r="M22" s="789">
        <f ca="1">INDIRECT("'数据-取费表'!Ak"&amp;$G$1)</f>
        <v>0.01</v>
      </c>
    </row>
    <row r="23" spans="1:33" s="1901" customFormat="1" ht="18" customHeight="1">
      <c r="A23" s="1531" t="s">
        <v>1631</v>
      </c>
      <c r="B23" s="757" t="s">
        <v>2219</v>
      </c>
      <c r="C23" s="53">
        <f ca="1">ROUND(IF('数据-取费表'!B22&lt;=1,(C19+C20)*F24*F23/2,(C19+C20)*(POWER((1+F24),F23/2)-1)),0)</f>
        <v>369</v>
      </c>
      <c r="D23" s="2345" t="str">
        <f>IF(F23&lt;=1,"(建造成本+管理费用)×利率×(建设周期÷2)","(建造成本+管理费用)×((1+利率)^(建设周期÷2)-1)")</f>
        <v>(建造成本+管理费用)×((1+利率)^(建设周期÷2)-1)</v>
      </c>
      <c r="E23" s="757" t="s">
        <v>660</v>
      </c>
      <c r="F23" s="615">
        <f>'数据-取费表'!B20</f>
        <v>2</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8.0000000000000004E-4</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2538</v>
      </c>
      <c r="J25" s="765">
        <f ca="1">J5-J16</f>
        <v>-975</v>
      </c>
      <c r="K25" s="2324" t="s">
        <v>682</v>
      </c>
      <c r="L25" s="2325"/>
      <c r="M25" s="2326"/>
    </row>
    <row r="26" spans="1:33" ht="18" customHeight="1">
      <c r="A26" s="1531" t="s">
        <v>1631</v>
      </c>
      <c r="B26" s="757" t="s">
        <v>2220</v>
      </c>
      <c r="C26" s="53">
        <f ca="1">ROUND((C19+C20)*F26,0)</f>
        <v>439</v>
      </c>
      <c r="D26" s="784" t="s">
        <v>683</v>
      </c>
      <c r="E26" s="768" t="s">
        <v>1579</v>
      </c>
      <c r="F26" s="767">
        <f ca="1">INDIRECT("'数据-取费表'!q"&amp;$G$1)</f>
        <v>0.05</v>
      </c>
      <c r="G26" s="1899"/>
      <c r="H26" s="2307" t="s">
        <v>1580</v>
      </c>
      <c r="I26" s="2066" t="s">
        <v>2543</v>
      </c>
      <c r="J26" s="756">
        <f ca="1">IF(J5&lt;&gt;0,ROUND(J25*(1-((1+M28)/(1+M26))^M27)/(M26-M28),0),0)</f>
        <v>0</v>
      </c>
      <c r="K26" s="786" t="s">
        <v>1581</v>
      </c>
      <c r="L26" s="757" t="s">
        <v>2206</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690</v>
      </c>
      <c r="M27" s="794">
        <f ca="1">INDIRECT("'数据-取费表'!ag"&amp;$G$1)</f>
        <v>0</v>
      </c>
    </row>
    <row r="28" spans="1:33" s="1901" customFormat="1" ht="18" customHeight="1">
      <c r="A28" s="1533" t="s">
        <v>1641</v>
      </c>
      <c r="B28" s="757" t="s">
        <v>669</v>
      </c>
      <c r="C28" s="53">
        <f>ROUND(F28/(1+'数据-取费表'!C42),4)</f>
        <v>5.2400000000000002E-2</v>
      </c>
      <c r="D28" s="784" t="s">
        <v>2089</v>
      </c>
      <c r="E28" s="757" t="s">
        <v>1547</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10354</v>
      </c>
      <c r="D29" s="2321"/>
      <c r="E29" s="2322"/>
      <c r="F29" s="2323"/>
      <c r="G29" s="3169"/>
      <c r="H29" s="795" t="s">
        <v>1587</v>
      </c>
      <c r="I29" s="796" t="s">
        <v>1588</v>
      </c>
      <c r="J29" s="797">
        <f ca="1">ROUND(J26/(1+F40)^F41,0)</f>
        <v>0</v>
      </c>
      <c r="K29" s="798" t="s">
        <v>670</v>
      </c>
      <c r="L29" s="799"/>
      <c r="M29" s="800">
        <f ca="1">INDIRECT("'数据-取费表'!k"&amp;$G$1)</f>
        <v>22085</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1549</v>
      </c>
      <c r="C30" s="765">
        <f ca="1">ROUND(C31+C36+C37+C38,0)</f>
        <v>204</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81</v>
      </c>
      <c r="D31" s="3448" t="s">
        <v>1553</v>
      </c>
      <c r="E31" s="3447" t="s">
        <v>672</v>
      </c>
      <c r="F31" s="2926" t="str">
        <f>IF(项目基本情况!B11="企业","——",IF('数据-取费表'!B10="住宅",IF(F6*F7*F8/12/(1+'数据-取费表'!F30)&gt;100000,4%,2.5%),IF(F6*F7*F8/12/(1+'数据-取费表'!F30)&gt;100000,12%,7%)))</f>
        <v>——</v>
      </c>
      <c r="G31" s="1899"/>
      <c r="H31" s="3166" t="s">
        <v>2725</v>
      </c>
      <c r="I31" s="1903"/>
      <c r="J31" s="1904"/>
      <c r="K31" s="1905"/>
      <c r="L31" s="1906"/>
      <c r="M31" s="1907"/>
    </row>
    <row r="32" spans="1:33" ht="18" customHeight="1">
      <c r="A32" s="1531" t="s">
        <v>1631</v>
      </c>
      <c r="B32" s="757" t="s">
        <v>1555</v>
      </c>
      <c r="C32" s="53">
        <f ca="1">ROUND(C6*F32/(1+'数据-取费表'!C42),1)</f>
        <v>25</v>
      </c>
      <c r="D32" s="3447" t="s">
        <v>643</v>
      </c>
      <c r="E32" s="757" t="s">
        <v>1547</v>
      </c>
      <c r="F32" s="782">
        <f>'数据-取费表'!B41</f>
        <v>5.5000000000000007E-2</v>
      </c>
      <c r="G32" s="1899"/>
      <c r="H32" s="1908"/>
      <c r="I32" s="1909"/>
      <c r="J32" s="1910"/>
      <c r="K32" s="1911"/>
      <c r="L32" s="1912"/>
      <c r="M32" s="1913"/>
    </row>
    <row r="33" spans="1:18" ht="18" customHeight="1">
      <c r="A33" s="1531" t="s">
        <v>1632</v>
      </c>
      <c r="B33" s="757" t="s">
        <v>1558</v>
      </c>
      <c r="C33" s="53">
        <f ca="1">IF(D33="按租金收入计税",ROUND(C6*F33/(1+'数据-取费表'!C42),1),IF(D33="按房产原值计税",ROUND(C29*F33*0.7,1),INDIRECT("'数据-取费表'!Aj"&amp;$G$1)))</f>
        <v>54.5</v>
      </c>
      <c r="D33" s="783" t="s">
        <v>3156</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1.2</v>
      </c>
      <c r="D34" s="786" t="s">
        <v>651</v>
      </c>
      <c r="E34" s="757" t="s">
        <v>652</v>
      </c>
      <c r="F34" s="615">
        <f>'数据-取费表'!B52</f>
        <v>1.5</v>
      </c>
      <c r="G34" s="1899"/>
      <c r="H34" s="1902"/>
      <c r="I34" s="807" t="s">
        <v>1613</v>
      </c>
      <c r="J34" s="808"/>
      <c r="K34" s="1917"/>
      <c r="L34" s="1916"/>
      <c r="M34" s="1916"/>
    </row>
    <row r="35" spans="1:18" ht="18" customHeight="1">
      <c r="A35" s="787"/>
      <c r="B35" s="766"/>
      <c r="C35" s="69"/>
      <c r="D35" s="788"/>
      <c r="E35" s="757" t="s">
        <v>656</v>
      </c>
      <c r="F35" s="758">
        <f ca="1">INDIRECT("'数据-取费表'!r"&amp;$G$1)</f>
        <v>8272.15</v>
      </c>
      <c r="G35" s="1899"/>
      <c r="H35" s="1902"/>
      <c r="I35" s="809" t="s">
        <v>1614</v>
      </c>
      <c r="J35" s="810">
        <f ca="1">ROUND(C13*J36,0)</f>
        <v>673</v>
      </c>
      <c r="K35" s="1915"/>
      <c r="L35" s="1914"/>
      <c r="M35" s="1914"/>
    </row>
    <row r="36" spans="1:18" ht="18" customHeight="1">
      <c r="A36" s="1532" t="s">
        <v>1685</v>
      </c>
      <c r="B36" s="757" t="s">
        <v>1568</v>
      </c>
      <c r="C36" s="53">
        <f ca="1">ROUND(C29*F36,1)</f>
        <v>103.5</v>
      </c>
      <c r="D36" s="3447" t="s">
        <v>1603</v>
      </c>
      <c r="E36" s="757" t="s">
        <v>1547</v>
      </c>
      <c r="F36" s="789">
        <f ca="1">INDIRECT("'数据-取费表'!Ak"&amp;$G$1)</f>
        <v>0.01</v>
      </c>
      <c r="G36" s="1899"/>
      <c r="H36" s="1914"/>
      <c r="I36" s="811" t="s">
        <v>1615</v>
      </c>
      <c r="J36" s="812">
        <f ca="1">INDIRECT("'数据-取费表'!j"&amp;$G$1)</f>
        <v>6.5000000000000002E-2</v>
      </c>
      <c r="K36" s="1918"/>
      <c r="L36" s="1914"/>
      <c r="M36" s="1914"/>
    </row>
    <row r="37" spans="1:18" ht="18" customHeight="1">
      <c r="A37" s="1532" t="s">
        <v>1686</v>
      </c>
      <c r="B37" s="757" t="s">
        <v>661</v>
      </c>
      <c r="C37" s="53">
        <f ca="1">ROUND(C13*F37,1)</f>
        <v>10.4</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9.5</v>
      </c>
      <c r="D38" s="2321" t="s">
        <v>665</v>
      </c>
      <c r="E38" s="2322" t="s">
        <v>1547</v>
      </c>
      <c r="F38" s="2318">
        <f ca="1">INDIRECT("'数据-取费表'!Am"&amp;$G$1)</f>
        <v>0.02</v>
      </c>
      <c r="G38" s="1899"/>
      <c r="H38" s="1914"/>
      <c r="I38" s="815" t="s">
        <v>1617</v>
      </c>
      <c r="J38" s="816"/>
      <c r="K38" s="1919"/>
      <c r="L38" s="1914"/>
      <c r="M38" s="1914"/>
    </row>
    <row r="39" spans="1:18" ht="24.6" customHeight="1" thickTop="1">
      <c r="A39" s="1699" t="s">
        <v>1576</v>
      </c>
      <c r="B39" s="2644" t="s">
        <v>2538</v>
      </c>
      <c r="C39" s="765">
        <f ca="1">C5-C30</f>
        <v>273</v>
      </c>
      <c r="D39" s="2324" t="s">
        <v>682</v>
      </c>
      <c r="E39" s="2325"/>
      <c r="F39" s="2326"/>
      <c r="G39" s="1899"/>
      <c r="H39" s="1914"/>
      <c r="I39" s="809" t="s">
        <v>1618</v>
      </c>
      <c r="J39" s="817">
        <f ca="1">ROUND(J35/C39,3)</f>
        <v>2.4649999999999999</v>
      </c>
      <c r="K39" s="1919"/>
      <c r="L39" s="1914"/>
      <c r="M39" s="1914"/>
    </row>
    <row r="40" spans="1:18" ht="18" customHeight="1">
      <c r="A40" s="754" t="s">
        <v>1580</v>
      </c>
      <c r="B40" s="2066" t="s">
        <v>2091</v>
      </c>
      <c r="C40" s="756">
        <f ca="1">ROUND(C39*(1-((1+F42)/(1+F40))^F41)/(F40-F42),0)</f>
        <v>7390</v>
      </c>
      <c r="D40" s="786" t="s">
        <v>1581</v>
      </c>
      <c r="E40" s="757" t="s">
        <v>2206</v>
      </c>
      <c r="F40" s="767">
        <f ca="1">INDIRECT("'数据-取费表'!I"&amp;$G$1)</f>
        <v>0.05</v>
      </c>
      <c r="G40" s="1899"/>
      <c r="H40" s="1899"/>
      <c r="I40" s="809" t="s">
        <v>1619</v>
      </c>
      <c r="J40" s="817">
        <f ca="1">1-J39</f>
        <v>-1.4649999999999999</v>
      </c>
      <c r="K40" s="1919"/>
      <c r="L40" s="1899"/>
      <c r="M40" s="1899"/>
    </row>
    <row r="41" spans="1:18" ht="18" customHeight="1">
      <c r="A41" s="759"/>
      <c r="B41" s="760"/>
      <c r="C41" s="761"/>
      <c r="D41" s="793" t="s">
        <v>1608</v>
      </c>
      <c r="E41" s="757" t="s">
        <v>690</v>
      </c>
      <c r="F41" s="794">
        <f ca="1">IF(INDIRECT("'数据-取费表'!af"&amp;$G$1)=0,INDIRECT("'数据-取费表'!ae"&amp;$G$1),INDIRECT("'数据-取费表'!af"&amp;$G$1))</f>
        <v>46.86</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1.401</v>
      </c>
      <c r="K42" s="1918"/>
      <c r="L42" s="1854"/>
      <c r="M42" s="1854"/>
    </row>
    <row r="43" spans="1:18" ht="18" customHeight="1" thickBot="1">
      <c r="A43" s="795" t="s">
        <v>1587</v>
      </c>
      <c r="B43" s="796" t="s">
        <v>1610</v>
      </c>
      <c r="C43" s="797">
        <f ca="1">ROUND(C40*10000/F43,0)</f>
        <v>3346</v>
      </c>
      <c r="D43" s="798" t="s">
        <v>1611</v>
      </c>
      <c r="E43" s="799" t="s">
        <v>1612</v>
      </c>
      <c r="F43" s="800">
        <f ca="1">INDIRECT("'数据-取费表'!k"&amp;$G$1)</f>
        <v>22085</v>
      </c>
      <c r="G43" s="1899"/>
      <c r="H43" s="1854"/>
      <c r="I43" s="819" t="s">
        <v>1622</v>
      </c>
      <c r="J43" s="820">
        <f ca="1">1-J42</f>
        <v>-0.40100000000000002</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-9456</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50</v>
      </c>
      <c r="M47" s="1490" t="str">
        <f>IF(ISNUMBER(FIND("住宅",C1)),"住宅","非住宅")</f>
        <v>非住宅</v>
      </c>
      <c r="O47" s="2204" t="s">
        <v>2162</v>
      </c>
      <c r="P47" s="2205" t="s">
        <v>2163</v>
      </c>
      <c r="Q47" s="2206" t="s">
        <v>2164</v>
      </c>
      <c r="R47" s="2205" t="s">
        <v>2165</v>
      </c>
    </row>
    <row r="48" spans="1:18" s="1896" customFormat="1" ht="18" customHeight="1" thickBot="1">
      <c r="A48" s="2406" t="s">
        <v>1666</v>
      </c>
      <c r="B48" s="2407" t="s">
        <v>2256</v>
      </c>
      <c r="C48" s="2183">
        <f ca="1">ROUND(F48*F50*F49*(1-F51)/10000,0)</f>
        <v>0</v>
      </c>
      <c r="D48" s="2184" t="s">
        <v>618</v>
      </c>
      <c r="E48" s="2185" t="s">
        <v>2086</v>
      </c>
      <c r="F48" s="2186"/>
      <c r="G48" s="1926"/>
      <c r="I48" s="2717" t="s">
        <v>2132</v>
      </c>
      <c r="J48" s="2191" t="s">
        <v>2137</v>
      </c>
      <c r="K48" s="2727" t="s">
        <v>2138</v>
      </c>
      <c r="L48" s="1777">
        <f ca="1">INDIRECT("'数据-取费表'!f"&amp;$G$1)</f>
        <v>48.86</v>
      </c>
      <c r="M48" s="3171"/>
      <c r="O48" s="2207" t="s">
        <v>2166</v>
      </c>
      <c r="P48" s="2208" t="s">
        <v>2192</v>
      </c>
      <c r="Q48" s="2209">
        <f ca="1">C40+J29</f>
        <v>7390</v>
      </c>
      <c r="R48" s="2208" t="s">
        <v>2167</v>
      </c>
    </row>
    <row r="49" spans="1:18" s="1896" customFormat="1" ht="18" customHeight="1" thickBot="1">
      <c r="A49" s="759"/>
      <c r="B49" s="760"/>
      <c r="C49" s="761"/>
      <c r="D49" s="762"/>
      <c r="E49" s="757" t="s">
        <v>620</v>
      </c>
      <c r="F49" s="758">
        <f ca="1">F7</f>
        <v>631</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12</v>
      </c>
      <c r="G50" s="1931"/>
      <c r="H50" s="1929"/>
      <c r="I50" s="2717" t="s">
        <v>2134</v>
      </c>
      <c r="J50" s="2724">
        <f>SUMPRODUCT((I63:I65=J47)*(J62:L62=J48)*(J63:L65))</f>
        <v>60</v>
      </c>
      <c r="K50" s="2728" t="s">
        <v>2140</v>
      </c>
      <c r="L50" s="2193"/>
      <c r="M50" s="3171"/>
      <c r="O50" s="2210" t="s">
        <v>2170</v>
      </c>
      <c r="P50" s="2208" t="s">
        <v>2194</v>
      </c>
      <c r="Q50" s="2209">
        <f ca="1">C29</f>
        <v>10354</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-8309</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2671</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46.86</v>
      </c>
      <c r="K53" s="3780" t="s">
        <v>2665</v>
      </c>
      <c r="L53" s="3781"/>
      <c r="M53" s="3171"/>
      <c r="O53" s="2210" t="s">
        <v>2175</v>
      </c>
      <c r="P53" s="2208" t="s">
        <v>2176</v>
      </c>
      <c r="Q53" s="2209">
        <f ca="1">J53</f>
        <v>46.86</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7390</v>
      </c>
      <c r="R54" s="2212" t="s">
        <v>2179</v>
      </c>
    </row>
    <row r="55" spans="1:18" s="1896" customFormat="1" ht="18" customHeight="1" thickTop="1" thickBot="1">
      <c r="A55" s="770">
        <v>2</v>
      </c>
      <c r="B55" s="771" t="s">
        <v>626</v>
      </c>
      <c r="C55" s="772">
        <f ca="1">C13</f>
        <v>10354</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2090</v>
      </c>
      <c r="C56" s="53">
        <f ca="1">C29</f>
        <v>10354</v>
      </c>
      <c r="D56" s="3447"/>
      <c r="E56" s="757"/>
      <c r="F56" s="782"/>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70" t="s">
        <v>1548</v>
      </c>
      <c r="B57" s="771" t="s">
        <v>633</v>
      </c>
      <c r="C57" s="772">
        <f ca="1">ROUND(C58+C63+C64+C65,0)</f>
        <v>115</v>
      </c>
      <c r="D57" s="26" t="s">
        <v>1550</v>
      </c>
      <c r="E57" s="3452"/>
      <c r="F57" s="56"/>
      <c r="I57" s="2737" t="s">
        <v>2145</v>
      </c>
      <c r="J57" s="2738" t="str">
        <f ca="1">IF(OR(M47="住宅",J51&lt;L48,J56="是"),"——",J51-L48)</f>
        <v>——</v>
      </c>
      <c r="K57" s="2717" t="s">
        <v>2150</v>
      </c>
      <c r="L57" s="1777" t="str">
        <f ca="1">IF(L48&lt;J51,"——",IF(L55="比较法",L49,IF(L55="基准地价",L50,L51)))</f>
        <v>——</v>
      </c>
      <c r="M57" s="3171"/>
      <c r="O57" s="2207" t="s">
        <v>2166</v>
      </c>
      <c r="P57" s="2208" t="s">
        <v>2192</v>
      </c>
      <c r="Q57" s="2209">
        <f ca="1">C40+J29</f>
        <v>7390</v>
      </c>
      <c r="R57" s="2208" t="s">
        <v>2167</v>
      </c>
    </row>
    <row r="58" spans="1:18" s="1896" customFormat="1" ht="28.5" customHeight="1" thickBot="1">
      <c r="A58" s="1532" t="s">
        <v>1624</v>
      </c>
      <c r="B58" s="757" t="s">
        <v>638</v>
      </c>
      <c r="C58" s="2927">
        <f ca="1">ROUND(IF(AND(项目基本情况!B11="自然人",项目基本情况!B10="北京市"),C48*F58/(1+'数据-取费表'!C42),C59+C60+C61),0)</f>
        <v>1</v>
      </c>
      <c r="D58" s="3448" t="s">
        <v>639</v>
      </c>
      <c r="E58" s="3447"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3447" t="s">
        <v>643</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1.2</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8272.15</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103.5</v>
      </c>
      <c r="D63" s="3447" t="s">
        <v>1603</v>
      </c>
      <c r="E63" s="757" t="s">
        <v>1547</v>
      </c>
      <c r="F63" s="789">
        <f t="shared" ca="1" si="0"/>
        <v>0.01</v>
      </c>
      <c r="I63" s="2742" t="s">
        <v>2157</v>
      </c>
      <c r="J63" s="2743">
        <v>70</v>
      </c>
      <c r="K63" s="2743">
        <v>50</v>
      </c>
      <c r="L63" s="2743">
        <v>80</v>
      </c>
      <c r="M63" s="2745">
        <v>0.02</v>
      </c>
      <c r="O63" s="2207" t="s">
        <v>2178</v>
      </c>
      <c r="P63" s="2208" t="s">
        <v>2195</v>
      </c>
      <c r="Q63" s="2209">
        <f ca="1">Q57+Q58</f>
        <v>7390</v>
      </c>
      <c r="R63" s="2212" t="s">
        <v>2179</v>
      </c>
    </row>
    <row r="64" spans="1:18" s="1896" customFormat="1" ht="16.5" thickBot="1">
      <c r="A64" s="1532" t="s">
        <v>1686</v>
      </c>
      <c r="B64" s="757" t="s">
        <v>661</v>
      </c>
      <c r="C64" s="53">
        <f ca="1">ROUND(C55*F64,1)</f>
        <v>10.4</v>
      </c>
      <c r="D64" s="3447"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3447"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-115</v>
      </c>
      <c r="D66" s="3448" t="s">
        <v>682</v>
      </c>
      <c r="E66" s="3451"/>
      <c r="F66" s="792"/>
      <c r="K66" s="1922"/>
      <c r="O66" s="2207" t="s">
        <v>2166</v>
      </c>
      <c r="P66" s="2208" t="s">
        <v>2192</v>
      </c>
      <c r="Q66" s="2209">
        <f ca="1">C40+J29</f>
        <v>7390</v>
      </c>
      <c r="R66" s="2208" t="s">
        <v>2167</v>
      </c>
    </row>
    <row r="67" spans="1:18" s="1896" customFormat="1" ht="20.25" thickBot="1">
      <c r="A67" s="754" t="s">
        <v>1580</v>
      </c>
      <c r="B67" s="2066" t="s">
        <v>2091</v>
      </c>
      <c r="C67" s="756">
        <f ca="1">ROUND(C66*(1-((1+F69)/(1+F67))^F68)/(F67-F69),0)</f>
        <v>-2066</v>
      </c>
      <c r="D67" s="786" t="s">
        <v>686</v>
      </c>
      <c r="E67" s="757" t="s">
        <v>687</v>
      </c>
      <c r="F67" s="767">
        <f ca="1">F40</f>
        <v>0.05</v>
      </c>
      <c r="K67" s="1922"/>
      <c r="O67" s="2207" t="s">
        <v>2168</v>
      </c>
      <c r="P67" s="2208" t="s">
        <v>2199</v>
      </c>
      <c r="Q67" s="2209">
        <f ca="1">L60</f>
        <v>0</v>
      </c>
      <c r="R67" s="2212" t="s">
        <v>2201</v>
      </c>
    </row>
    <row r="68" spans="1:18" ht="21.75" thickBot="1">
      <c r="A68" s="759"/>
      <c r="B68" s="760"/>
      <c r="C68" s="761"/>
      <c r="D68" s="793" t="s">
        <v>1608</v>
      </c>
      <c r="E68" s="757" t="s">
        <v>690</v>
      </c>
      <c r="F68" s="794">
        <f ca="1">F41</f>
        <v>46.86</v>
      </c>
      <c r="O68" s="2210" t="s">
        <v>2170</v>
      </c>
      <c r="P68" s="2208" t="s">
        <v>2200</v>
      </c>
      <c r="Q68" s="2214">
        <f ca="1">L51</f>
        <v>-8309</v>
      </c>
      <c r="R68" s="2215" t="s">
        <v>2203</v>
      </c>
    </row>
    <row r="69" spans="1:18" ht="20.25" thickBot="1">
      <c r="A69" s="763"/>
      <c r="B69" s="764"/>
      <c r="C69" s="765"/>
      <c r="D69" s="788"/>
      <c r="E69" s="757" t="s">
        <v>692</v>
      </c>
      <c r="F69" s="2180"/>
      <c r="O69" s="2210" t="s">
        <v>2171</v>
      </c>
      <c r="P69" s="2216" t="s">
        <v>2185</v>
      </c>
      <c r="Q69" s="2209">
        <f ca="1">ROUND(Q70-Q71*Q72,0)</f>
        <v>-400</v>
      </c>
      <c r="R69" s="2212"/>
    </row>
    <row r="70" spans="1:18" ht="15.75" thickBot="1">
      <c r="A70" s="795" t="s">
        <v>1587</v>
      </c>
      <c r="B70" s="796" t="s">
        <v>1610</v>
      </c>
      <c r="C70" s="797">
        <f ca="1">ROUND(C67*10000/F70,0)</f>
        <v>-935</v>
      </c>
      <c r="D70" s="798" t="s">
        <v>1611</v>
      </c>
      <c r="E70" s="799" t="s">
        <v>1612</v>
      </c>
      <c r="F70" s="800">
        <f ca="1">F43</f>
        <v>22085</v>
      </c>
      <c r="O70" s="2210" t="s">
        <v>2186</v>
      </c>
      <c r="P70" s="2216" t="s">
        <v>2187</v>
      </c>
      <c r="Q70" s="2209">
        <f ca="1">C39</f>
        <v>273</v>
      </c>
      <c r="R70" s="2208" t="s">
        <v>2167</v>
      </c>
    </row>
    <row r="71" spans="1:18" ht="15.75" thickBot="1">
      <c r="O71" s="2210" t="s">
        <v>2188</v>
      </c>
      <c r="P71" s="2216" t="s">
        <v>2189</v>
      </c>
      <c r="Q71" s="2209">
        <f ca="1">C13</f>
        <v>10354</v>
      </c>
      <c r="R71" s="2208" t="s">
        <v>2167</v>
      </c>
    </row>
    <row r="72" spans="1:18" ht="15.75" thickBot="1">
      <c r="O72" s="2210" t="s">
        <v>2190</v>
      </c>
      <c r="P72" s="2216" t="s">
        <v>2191</v>
      </c>
      <c r="Q72" s="2211">
        <f ca="1">J36</f>
        <v>6.5000000000000002E-2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7390</v>
      </c>
      <c r="R76" s="2212"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82" t="s">
        <v>2745</v>
      </c>
      <c r="K2" s="3783"/>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84" t="s">
        <v>2755</v>
      </c>
      <c r="K3" s="3785"/>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84" t="s">
        <v>2757</v>
      </c>
      <c r="K4" s="3785"/>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86" t="s">
        <v>2761</v>
      </c>
      <c r="B6" s="3787"/>
      <c r="C6" s="3788"/>
      <c r="D6" s="3264"/>
      <c r="E6" s="3265"/>
      <c r="F6" s="3266"/>
      <c r="G6" s="3267"/>
      <c r="H6" s="3242"/>
      <c r="I6" s="3243"/>
      <c r="J6" s="3789">
        <v>1</v>
      </c>
      <c r="K6" s="3790"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89"/>
      <c r="K7" s="3791"/>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93" t="s">
        <v>2775</v>
      </c>
      <c r="C8" s="3794"/>
      <c r="D8" s="3283" t="s">
        <v>2776</v>
      </c>
      <c r="E8" s="3284" t="s">
        <v>2777</v>
      </c>
      <c r="F8" s="3285" t="s">
        <v>2778</v>
      </c>
      <c r="G8" s="3286"/>
      <c r="H8" s="3242"/>
      <c r="I8" s="3243"/>
      <c r="J8" s="3789"/>
      <c r="K8" s="3791"/>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93" t="s">
        <v>2781</v>
      </c>
      <c r="C9" s="3794"/>
      <c r="D9" s="3283">
        <f>ROUND(D6*E9,0)</f>
        <v>0</v>
      </c>
      <c r="E9" s="3287"/>
      <c r="F9" s="3288" t="s">
        <v>2782</v>
      </c>
      <c r="G9" s="3267"/>
      <c r="H9" s="3242"/>
      <c r="I9" s="3243"/>
      <c r="J9" s="3789"/>
      <c r="K9" s="3791"/>
      <c r="L9" s="3277" t="s">
        <v>2783</v>
      </c>
      <c r="M9" s="3278"/>
      <c r="N9" s="3254"/>
      <c r="O9" s="3279"/>
      <c r="P9" s="3279"/>
      <c r="Q9" s="3280">
        <v>365</v>
      </c>
      <c r="R9" s="3281">
        <f t="shared" si="0"/>
        <v>0</v>
      </c>
      <c r="S9" s="3234"/>
      <c r="T9" s="3234"/>
      <c r="U9" s="3234"/>
      <c r="V9" s="3243"/>
    </row>
    <row r="10" spans="1:22" s="3247" customFormat="1" ht="13.15" customHeight="1">
      <c r="A10" s="3282">
        <v>2</v>
      </c>
      <c r="B10" s="3793" t="s">
        <v>2784</v>
      </c>
      <c r="C10" s="3794"/>
      <c r="D10" s="3283">
        <f>ROUND(D6*E10,0)</f>
        <v>0</v>
      </c>
      <c r="E10" s="3287"/>
      <c r="F10" s="3288" t="s">
        <v>2785</v>
      </c>
      <c r="G10" s="3267"/>
      <c r="H10" s="3242"/>
      <c r="I10" s="3243"/>
      <c r="J10" s="3789"/>
      <c r="K10" s="3791"/>
      <c r="L10" s="3277" t="s">
        <v>2786</v>
      </c>
      <c r="M10" s="3278"/>
      <c r="N10" s="3254"/>
      <c r="O10" s="3279"/>
      <c r="P10" s="3279"/>
      <c r="Q10" s="3280">
        <v>365</v>
      </c>
      <c r="R10" s="3281">
        <f t="shared" si="0"/>
        <v>0</v>
      </c>
      <c r="S10" s="3234"/>
      <c r="T10" s="3234"/>
      <c r="U10" s="3234"/>
      <c r="V10" s="3243"/>
    </row>
    <row r="11" spans="1:22" s="3247" customFormat="1" ht="13.15" customHeight="1">
      <c r="A11" s="3282">
        <v>3</v>
      </c>
      <c r="B11" s="3793" t="s">
        <v>2787</v>
      </c>
      <c r="C11" s="3794"/>
      <c r="D11" s="3283">
        <f>D12+D14+D15+D16</f>
        <v>0</v>
      </c>
      <c r="E11" s="3289" t="e">
        <f>D11/D6</f>
        <v>#DIV/0!</v>
      </c>
      <c r="F11" s="3285"/>
      <c r="G11" s="3286"/>
      <c r="H11" s="3242"/>
      <c r="I11" s="3243"/>
      <c r="J11" s="3789"/>
      <c r="K11" s="3791"/>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95" t="s">
        <v>2790</v>
      </c>
      <c r="C12" s="3796"/>
      <c r="D12" s="3291">
        <f>ROUND(D13*1.2%*(1-30%),0)</f>
        <v>0</v>
      </c>
      <c r="E12" s="3292">
        <v>1.2E-2</v>
      </c>
      <c r="F12" s="3285" t="s">
        <v>2791</v>
      </c>
      <c r="G12" s="3286"/>
      <c r="H12" s="3242"/>
      <c r="I12" s="3243"/>
      <c r="J12" s="3789"/>
      <c r="K12" s="3791"/>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89"/>
      <c r="K13" s="3791"/>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95" t="s">
        <v>2796</v>
      </c>
      <c r="C14" s="3796"/>
      <c r="D14" s="3291">
        <f>ROUND(E14*B5/10000,0)</f>
        <v>0</v>
      </c>
      <c r="E14" s="3280"/>
      <c r="F14" s="3285" t="s">
        <v>2797</v>
      </c>
      <c r="G14" s="3286"/>
      <c r="H14" s="3242"/>
      <c r="I14" s="3243"/>
      <c r="J14" s="3789"/>
      <c r="K14" s="3792"/>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95" t="s">
        <v>2800</v>
      </c>
      <c r="C15" s="3796"/>
      <c r="D15" s="3291">
        <f>ROUND(D6*E15,0)</f>
        <v>0</v>
      </c>
      <c r="E15" s="3292">
        <v>5.5E-2</v>
      </c>
      <c r="F15" s="3285" t="s">
        <v>2801</v>
      </c>
      <c r="G15" s="3267"/>
      <c r="H15" s="3242"/>
      <c r="I15" s="3243"/>
      <c r="J15" s="3789">
        <v>2</v>
      </c>
      <c r="K15" s="3790"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95" t="s">
        <v>2811</v>
      </c>
      <c r="C16" s="3796"/>
      <c r="D16" s="3302">
        <f>D6*E16</f>
        <v>0</v>
      </c>
      <c r="E16" s="3303"/>
      <c r="F16" s="3288" t="s">
        <v>2812</v>
      </c>
      <c r="G16" s="3267"/>
      <c r="H16" s="3242"/>
      <c r="I16" s="3243"/>
      <c r="J16" s="3789"/>
      <c r="K16" s="3791"/>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97" t="s">
        <v>2814</v>
      </c>
      <c r="C17" s="3798"/>
      <c r="D17" s="3305">
        <f>ROUND(D6*E17,0)</f>
        <v>0</v>
      </c>
      <c r="E17" s="3306"/>
      <c r="F17" s="3307" t="s">
        <v>2815</v>
      </c>
      <c r="G17" s="3267"/>
      <c r="H17" s="3242"/>
      <c r="I17" s="3243"/>
      <c r="J17" s="3789"/>
      <c r="K17" s="3791"/>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89"/>
      <c r="K18" s="3791"/>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89"/>
      <c r="K19" s="3792"/>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89">
        <v>3</v>
      </c>
      <c r="K20" s="3790"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89"/>
      <c r="K21" s="3791"/>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89"/>
      <c r="K22" s="3791"/>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89"/>
      <c r="K23" s="3791"/>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89"/>
      <c r="K24" s="3792"/>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99">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800"/>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82" t="s">
        <v>2857</v>
      </c>
      <c r="K32" s="3783"/>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84" t="s">
        <v>2861</v>
      </c>
      <c r="K33" s="3785"/>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84" t="s">
        <v>2863</v>
      </c>
      <c r="K34" s="3785"/>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89">
        <v>1</v>
      </c>
      <c r="K36" s="3790"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89"/>
      <c r="K37" s="3791"/>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89"/>
      <c r="K38" s="3791"/>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89"/>
      <c r="K39" s="3791"/>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89"/>
      <c r="K40" s="3792"/>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99">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800"/>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970</v>
      </c>
      <c r="D12" s="3179">
        <f>'数据-汇总表'!E5</f>
        <v>60651.07</v>
      </c>
      <c r="E12" s="3179">
        <f>'数据-取费表'!B27</f>
        <v>160</v>
      </c>
      <c r="F12" s="729"/>
      <c r="G12" s="732"/>
    </row>
    <row r="13" spans="1:25" s="2018" customFormat="1" ht="13.5" customHeight="1">
      <c r="A13" s="2283" t="s">
        <v>2228</v>
      </c>
      <c r="B13" s="730" t="s">
        <v>594</v>
      </c>
      <c r="C13" s="731">
        <f>ROUND(D13*E13/10000,0)</f>
        <v>766</v>
      </c>
      <c r="D13" s="3179">
        <f>'数据-汇总表'!E6</f>
        <v>38314.360000000008</v>
      </c>
      <c r="E13" s="3179">
        <f>'数据-取费表'!B28</f>
        <v>200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0.94299999999999995</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C23" sqref="C23"/>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3309</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222135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36625</v>
      </c>
      <c r="C3" s="824" t="s">
        <v>704</v>
      </c>
      <c r="D3" s="823">
        <f>SUMIF('数据-汇总表'!$C19:$C33,D1,'数据-汇总表'!$E19:$E33)</f>
        <v>60651.07</v>
      </c>
      <c r="E3" s="1963"/>
      <c r="F3" s="2036"/>
      <c r="G3" s="1963"/>
      <c r="H3" s="1963"/>
      <c r="I3" s="1963"/>
      <c r="J3" s="1963"/>
      <c r="K3" s="2037"/>
      <c r="L3" s="2038"/>
      <c r="M3" s="2039">
        <f ca="1">不动产收益法!B2</f>
        <v>37833</v>
      </c>
      <c r="N3" s="2039"/>
      <c r="O3" s="2039"/>
      <c r="P3" s="1488"/>
      <c r="Q3" s="1488"/>
      <c r="R3" s="1488"/>
      <c r="S3" s="1488"/>
      <c r="T3" s="1488"/>
      <c r="U3" s="1488"/>
      <c r="V3" s="1488"/>
      <c r="W3" s="1488"/>
      <c r="X3" s="1488"/>
      <c r="Y3" s="1488"/>
      <c r="Z3" s="1488"/>
      <c r="AA3" s="1488"/>
      <c r="AB3" s="1488"/>
      <c r="AC3" s="1490"/>
    </row>
    <row r="4" spans="1:29" ht="15">
      <c r="A4" s="489" t="s">
        <v>504</v>
      </c>
      <c r="B4" s="490"/>
      <c r="C4" s="3680" t="s">
        <v>505</v>
      </c>
      <c r="D4" s="3681"/>
      <c r="E4" s="3715" t="s">
        <v>506</v>
      </c>
      <c r="F4" s="3716"/>
      <c r="G4" s="3680" t="s">
        <v>507</v>
      </c>
      <c r="H4" s="3681"/>
      <c r="I4" s="3680" t="s">
        <v>508</v>
      </c>
      <c r="J4" s="3681"/>
      <c r="K4" s="825" t="s">
        <v>509</v>
      </c>
      <c r="L4" s="1969"/>
      <c r="M4" s="1970">
        <f ca="1">M3+B2</f>
        <v>259968</v>
      </c>
      <c r="N4" s="1970"/>
      <c r="O4" s="1970"/>
      <c r="P4" s="3682" t="s">
        <v>510</v>
      </c>
      <c r="Q4" s="3683"/>
      <c r="R4" s="3688" t="s">
        <v>506</v>
      </c>
      <c r="S4" s="3689"/>
      <c r="T4" s="3688" t="s">
        <v>507</v>
      </c>
      <c r="U4" s="3689"/>
      <c r="V4" s="3675" t="s">
        <v>508</v>
      </c>
      <c r="W4" s="3675"/>
      <c r="X4" s="1457"/>
      <c r="Y4" s="3688" t="s">
        <v>510</v>
      </c>
      <c r="Z4" s="3689"/>
      <c r="AA4" s="3677" t="s">
        <v>506</v>
      </c>
      <c r="AB4" s="3677" t="s">
        <v>507</v>
      </c>
      <c r="AC4" s="3677" t="s">
        <v>508</v>
      </c>
    </row>
    <row r="5" spans="1:29" ht="15">
      <c r="A5" s="492"/>
      <c r="B5" s="493"/>
      <c r="C5" s="3696" t="s">
        <v>2631</v>
      </c>
      <c r="D5" s="3697"/>
      <c r="E5" s="3805" t="s">
        <v>3310</v>
      </c>
      <c r="F5" s="3718"/>
      <c r="G5" s="3804" t="s">
        <v>3311</v>
      </c>
      <c r="H5" s="3697"/>
      <c r="I5" s="3804" t="s">
        <v>3312</v>
      </c>
      <c r="J5" s="3697"/>
      <c r="K5" s="826"/>
      <c r="L5" s="1969"/>
      <c r="M5" s="1970"/>
      <c r="N5" s="1970"/>
      <c r="O5" s="1970"/>
      <c r="P5" s="3684"/>
      <c r="Q5" s="3685"/>
      <c r="R5" s="3690"/>
      <c r="S5" s="3691"/>
      <c r="T5" s="3690"/>
      <c r="U5" s="3691"/>
      <c r="V5" s="3675"/>
      <c r="W5" s="3675"/>
      <c r="X5" s="1457"/>
      <c r="Y5" s="3690"/>
      <c r="Z5" s="3691"/>
      <c r="AA5" s="3678"/>
      <c r="AB5" s="3678"/>
      <c r="AC5" s="3678"/>
    </row>
    <row r="6" spans="1:29" ht="15.75" thickBot="1">
      <c r="A6" s="494"/>
      <c r="B6" s="495"/>
      <c r="C6" s="3694" t="s">
        <v>2635</v>
      </c>
      <c r="D6" s="3695"/>
      <c r="E6" s="3713" t="s">
        <v>2635</v>
      </c>
      <c r="F6" s="3714"/>
      <c r="G6" s="3694" t="s">
        <v>2635</v>
      </c>
      <c r="H6" s="3695"/>
      <c r="I6" s="3694" t="s">
        <v>2635</v>
      </c>
      <c r="J6" s="3695"/>
      <c r="K6" s="826" t="s">
        <v>511</v>
      </c>
      <c r="L6" s="1969"/>
      <c r="M6" s="1970"/>
      <c r="N6" s="1970"/>
      <c r="O6" s="1970"/>
      <c r="P6" s="3686"/>
      <c r="Q6" s="3687"/>
      <c r="R6" s="3690"/>
      <c r="S6" s="3691"/>
      <c r="T6" s="3692"/>
      <c r="U6" s="3693"/>
      <c r="V6" s="3675"/>
      <c r="W6" s="3675"/>
      <c r="X6" s="1457"/>
      <c r="Y6" s="3692"/>
      <c r="Z6" s="3693"/>
      <c r="AA6" s="3679"/>
      <c r="AB6" s="3679"/>
      <c r="AC6" s="3679"/>
    </row>
    <row r="7" spans="1:29" s="1166" customFormat="1" ht="15.75" thickBot="1">
      <c r="A7" s="2551"/>
      <c r="B7" s="2558" t="s">
        <v>512</v>
      </c>
      <c r="C7" s="496">
        <f>'数据-取费表'!B2</f>
        <v>44756</v>
      </c>
      <c r="D7" s="497">
        <v>100</v>
      </c>
      <c r="E7" s="498">
        <f>C7</f>
        <v>44756</v>
      </c>
      <c r="F7" s="499">
        <f>SUMIF(58:58,YEAR(E7)&amp;"-"&amp;MONTH(E7),59:59)</f>
        <v>100</v>
      </c>
      <c r="G7" s="500">
        <f>C7</f>
        <v>44756</v>
      </c>
      <c r="H7" s="497">
        <f>SUMIF(58:58,YEAR(G7)&amp;"-"&amp;MONTH(G7),59:59)</f>
        <v>100</v>
      </c>
      <c r="I7" s="500">
        <f>C7</f>
        <v>44756</v>
      </c>
      <c r="J7" s="497">
        <f>SUMIF(58:58,YEAR(I7)&amp;"-"&amp;MONTH(I7),59:59)</f>
        <v>100</v>
      </c>
      <c r="K7" s="827"/>
      <c r="L7" s="1971"/>
      <c r="M7" s="1972"/>
      <c r="N7" s="1972"/>
      <c r="O7" s="1972"/>
      <c r="P7" s="3704" t="s">
        <v>513</v>
      </c>
      <c r="Q7" s="3706"/>
      <c r="R7" s="1458" t="s">
        <v>13</v>
      </c>
      <c r="S7" s="1459">
        <f t="shared" ref="S7:S15" si="0">F7</f>
        <v>100</v>
      </c>
      <c r="T7" s="1458" t="s">
        <v>13</v>
      </c>
      <c r="U7" s="1459">
        <f t="shared" ref="U7:U15" si="1">H7</f>
        <v>100</v>
      </c>
      <c r="V7" s="1458" t="s">
        <v>13</v>
      </c>
      <c r="W7" s="1459">
        <f t="shared" ref="W7:W15" si="2">J7</f>
        <v>100</v>
      </c>
      <c r="X7" s="1460"/>
      <c r="Y7" s="3704" t="s">
        <v>513</v>
      </c>
      <c r="Z7" s="3705"/>
      <c r="AA7" s="1461">
        <f>D7/F7</f>
        <v>1</v>
      </c>
      <c r="AB7" s="1461">
        <f>D7/H7</f>
        <v>1</v>
      </c>
      <c r="AC7" s="1461">
        <f>D7/J7</f>
        <v>1</v>
      </c>
    </row>
    <row r="8" spans="1:29" s="1166" customFormat="1" ht="15.75" thickBot="1">
      <c r="A8" s="2552"/>
      <c r="B8" s="2559" t="s">
        <v>514</v>
      </c>
      <c r="C8" s="502" t="s">
        <v>558</v>
      </c>
      <c r="D8" s="497">
        <v>100</v>
      </c>
      <c r="E8" s="3480" t="s">
        <v>3313</v>
      </c>
      <c r="F8" s="499">
        <f>SUMIF(61:61,E8,62:62)-SUMIF(61:61,C8,62:62)+100</f>
        <v>100</v>
      </c>
      <c r="G8" s="3458" t="s">
        <v>3314</v>
      </c>
      <c r="H8" s="497">
        <f>SUMIF(61:61,G8,62:62)-SUMIF(61:61,C8,62:62)+100</f>
        <v>100</v>
      </c>
      <c r="I8" s="3480" t="s">
        <v>3314</v>
      </c>
      <c r="J8" s="497">
        <f>SUMIF(61:61,I8,62:62)-SUMIF(61:61,C8,62:62)+100</f>
        <v>100</v>
      </c>
      <c r="K8" s="827"/>
      <c r="L8" s="1971"/>
      <c r="M8" s="1972"/>
      <c r="N8" s="1972"/>
      <c r="O8" s="1972"/>
      <c r="P8" s="3704" t="s">
        <v>516</v>
      </c>
      <c r="Q8" s="3705"/>
      <c r="R8" s="1458" t="s">
        <v>13</v>
      </c>
      <c r="S8" s="1459">
        <f t="shared" si="0"/>
        <v>100</v>
      </c>
      <c r="T8" s="1458" t="s">
        <v>13</v>
      </c>
      <c r="U8" s="1459">
        <f t="shared" si="1"/>
        <v>100</v>
      </c>
      <c r="V8" s="1458" t="s">
        <v>13</v>
      </c>
      <c r="W8" s="1459">
        <f t="shared" si="2"/>
        <v>100</v>
      </c>
      <c r="X8" s="1460"/>
      <c r="Y8" s="3704" t="s">
        <v>516</v>
      </c>
      <c r="Z8" s="3705"/>
      <c r="AA8" s="1461">
        <f t="shared" ref="AA8:AA46" si="3">D8/F8</f>
        <v>1</v>
      </c>
      <c r="AB8" s="1461">
        <f t="shared" ref="AB8:AB46" si="4">D8/H8</f>
        <v>1</v>
      </c>
      <c r="AC8" s="1461">
        <f t="shared" ref="AC8:AC46" si="5">D8/J8</f>
        <v>1</v>
      </c>
    </row>
    <row r="9" spans="1:29" s="1166"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74" t="s">
        <v>518</v>
      </c>
      <c r="Q9" s="1097" t="str">
        <f t="shared" ref="Q9:Q15" si="6">B9</f>
        <v>用途</v>
      </c>
      <c r="R9" s="1458" t="s">
        <v>8</v>
      </c>
      <c r="S9" s="1459">
        <f t="shared" si="0"/>
        <v>100</v>
      </c>
      <c r="T9" s="1458" t="s">
        <v>8</v>
      </c>
      <c r="U9" s="1459">
        <f t="shared" si="1"/>
        <v>100</v>
      </c>
      <c r="V9" s="1458" t="s">
        <v>8</v>
      </c>
      <c r="W9" s="1459">
        <f t="shared" si="2"/>
        <v>100</v>
      </c>
      <c r="X9" s="1460"/>
      <c r="Y9" s="361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5"/>
      <c r="B11" s="2559" t="s">
        <v>2475</v>
      </c>
      <c r="C11" s="510">
        <v>2</v>
      </c>
      <c r="D11" s="253">
        <v>100</v>
      </c>
      <c r="E11" s="511">
        <v>2</v>
      </c>
      <c r="F11" s="835">
        <f>LOOKUP(E11,68:68,69:69)-LOOKUP(C11,68:68,69:69)+100</f>
        <v>100</v>
      </c>
      <c r="G11" s="510">
        <v>1.5</v>
      </c>
      <c r="H11" s="253">
        <f>LOOKUP(G11,68:68,69:69)-LOOKUP(C11,68:68,69:69)+100</f>
        <v>102</v>
      </c>
      <c r="I11" s="510">
        <v>1.1000000000000001</v>
      </c>
      <c r="J11" s="253">
        <f>LOOKUP(I11,68:68,69:69)-LOOKUP(C11,68:68,69:69)+100</f>
        <v>102</v>
      </c>
      <c r="K11" s="836">
        <v>2</v>
      </c>
      <c r="L11" s="1976"/>
      <c r="M11" s="1970"/>
      <c r="N11" s="1970"/>
      <c r="O11" s="1977"/>
      <c r="P11" s="3674"/>
      <c r="Q11" s="1097" t="str">
        <f t="shared" si="6"/>
        <v>容积率</v>
      </c>
      <c r="R11" s="1458" t="s">
        <v>11</v>
      </c>
      <c r="S11" s="1459">
        <f t="shared" si="0"/>
        <v>100</v>
      </c>
      <c r="T11" s="1458" t="s">
        <v>11</v>
      </c>
      <c r="U11" s="1459">
        <f t="shared" si="1"/>
        <v>102</v>
      </c>
      <c r="V11" s="1458" t="s">
        <v>11</v>
      </c>
      <c r="W11" s="1459">
        <f t="shared" si="2"/>
        <v>102</v>
      </c>
      <c r="X11" s="1460"/>
      <c r="Y11" s="3618"/>
      <c r="Z11" s="1096" t="str">
        <f t="shared" si="7"/>
        <v>容积率</v>
      </c>
      <c r="AA11" s="1461">
        <f t="shared" si="3"/>
        <v>1</v>
      </c>
      <c r="AB11" s="1461">
        <f t="shared" si="4"/>
        <v>0.98039215686274506</v>
      </c>
      <c r="AC11" s="1461">
        <f t="shared" si="5"/>
        <v>0.98039215686274506</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74"/>
      <c r="Q12" s="1097">
        <f t="shared" si="6"/>
        <v>111</v>
      </c>
      <c r="R12" s="1458" t="s">
        <v>11</v>
      </c>
      <c r="S12" s="1459">
        <f t="shared" si="0"/>
        <v>100</v>
      </c>
      <c r="T12" s="1458" t="s">
        <v>11</v>
      </c>
      <c r="U12" s="1459">
        <f t="shared" si="1"/>
        <v>100</v>
      </c>
      <c r="V12" s="1458" t="s">
        <v>11</v>
      </c>
      <c r="W12" s="1459">
        <f t="shared" si="2"/>
        <v>100</v>
      </c>
      <c r="X12" s="1460"/>
      <c r="Y12" s="3618"/>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74"/>
      <c r="Q13" s="1097">
        <f t="shared" si="6"/>
        <v>111</v>
      </c>
      <c r="R13" s="1458" t="s">
        <v>11</v>
      </c>
      <c r="S13" s="1459">
        <f t="shared" si="0"/>
        <v>100</v>
      </c>
      <c r="T13" s="1458" t="s">
        <v>11</v>
      </c>
      <c r="U13" s="1459">
        <f t="shared" si="1"/>
        <v>100</v>
      </c>
      <c r="V13" s="1458" t="s">
        <v>11</v>
      </c>
      <c r="W13" s="1459">
        <f t="shared" si="2"/>
        <v>100</v>
      </c>
      <c r="X13" s="1460"/>
      <c r="Y13" s="3618"/>
      <c r="Z13" s="1096">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74"/>
      <c r="Q14" s="1097">
        <f t="shared" si="6"/>
        <v>111</v>
      </c>
      <c r="R14" s="1458" t="s">
        <v>11</v>
      </c>
      <c r="S14" s="1459">
        <f t="shared" si="0"/>
        <v>100</v>
      </c>
      <c r="T14" s="1458" t="s">
        <v>11</v>
      </c>
      <c r="U14" s="1459">
        <f t="shared" si="1"/>
        <v>100</v>
      </c>
      <c r="V14" s="1458" t="s">
        <v>11</v>
      </c>
      <c r="W14" s="1459">
        <f t="shared" si="2"/>
        <v>100</v>
      </c>
      <c r="X14" s="1460"/>
      <c r="Y14" s="3618"/>
      <c r="Z14" s="1096">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105</v>
      </c>
      <c r="G15" s="529"/>
      <c r="H15" s="526">
        <f>SUMIF(76:76,G16,77:77)-SUMIF(76:76,C16,77:77)+100</f>
        <v>105</v>
      </c>
      <c r="I15" s="527"/>
      <c r="J15" s="526">
        <f>SUMIF(76:76,I16,77:77)-SUMIF(76:76,C16,77:77)+100</f>
        <v>105</v>
      </c>
      <c r="K15" s="840">
        <v>5</v>
      </c>
      <c r="L15" s="1978"/>
      <c r="M15" s="1970"/>
      <c r="N15" s="1970"/>
      <c r="O15" s="1977"/>
      <c r="P15" s="3707" t="s">
        <v>523</v>
      </c>
      <c r="Q15" s="1462" t="str">
        <f t="shared" si="6"/>
        <v>居住社区成熟度</v>
      </c>
      <c r="R15" s="1463" t="s">
        <v>11</v>
      </c>
      <c r="S15" s="1464">
        <f t="shared" si="0"/>
        <v>105</v>
      </c>
      <c r="T15" s="1463" t="s">
        <v>11</v>
      </c>
      <c r="U15" s="1464">
        <f t="shared" si="1"/>
        <v>105</v>
      </c>
      <c r="V15" s="1463" t="s">
        <v>11</v>
      </c>
      <c r="W15" s="1464">
        <f t="shared" si="2"/>
        <v>105</v>
      </c>
      <c r="X15" s="1457"/>
      <c r="Y15" s="3707" t="s">
        <v>523</v>
      </c>
      <c r="Z15" s="1465" t="str">
        <f t="shared" si="7"/>
        <v>居住社区成熟度</v>
      </c>
      <c r="AA15" s="1466">
        <f t="shared" si="3"/>
        <v>0.95238095238095233</v>
      </c>
      <c r="AB15" s="1466">
        <f t="shared" si="4"/>
        <v>0.95238095238095233</v>
      </c>
      <c r="AC15" s="1466">
        <f t="shared" si="5"/>
        <v>0.95238095238095233</v>
      </c>
    </row>
    <row r="16" spans="1:29" ht="15">
      <c r="A16" s="509"/>
      <c r="B16" s="841"/>
      <c r="C16" s="3462" t="s">
        <v>3315</v>
      </c>
      <c r="D16" s="532"/>
      <c r="E16" s="3460" t="s">
        <v>3316</v>
      </c>
      <c r="F16" s="534"/>
      <c r="G16" s="3459" t="s">
        <v>3317</v>
      </c>
      <c r="H16" s="536"/>
      <c r="I16" s="3460" t="s">
        <v>3318</v>
      </c>
      <c r="J16" s="532"/>
      <c r="K16" s="842"/>
      <c r="L16" s="1978"/>
      <c r="M16" s="1970"/>
      <c r="N16" s="1970"/>
      <c r="O16" s="1977"/>
      <c r="P16" s="3708"/>
      <c r="Q16" s="1462"/>
      <c r="R16" s="1463"/>
      <c r="S16" s="1464"/>
      <c r="T16" s="1463"/>
      <c r="U16" s="1464"/>
      <c r="V16" s="1463"/>
      <c r="W16" s="1464"/>
      <c r="X16" s="1457"/>
      <c r="Y16" s="3708"/>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08"/>
      <c r="Q17" s="1462" t="str">
        <f>B17</f>
        <v>交通便捷度</v>
      </c>
      <c r="R17" s="1463" t="s">
        <v>11</v>
      </c>
      <c r="S17" s="1464">
        <f>F17</f>
        <v>100</v>
      </c>
      <c r="T17" s="1463" t="s">
        <v>11</v>
      </c>
      <c r="U17" s="1464">
        <f>H17</f>
        <v>100</v>
      </c>
      <c r="V17" s="1463" t="s">
        <v>11</v>
      </c>
      <c r="W17" s="1464">
        <f>J17</f>
        <v>100</v>
      </c>
      <c r="X17" s="1457"/>
      <c r="Y17" s="3708"/>
      <c r="Z17" s="1465" t="str">
        <f>Q17</f>
        <v>交通便捷度</v>
      </c>
      <c r="AA17" s="1466">
        <f t="shared" si="3"/>
        <v>1</v>
      </c>
      <c r="AB17" s="1466">
        <f t="shared" si="4"/>
        <v>1</v>
      </c>
      <c r="AC17" s="1466">
        <f t="shared" si="5"/>
        <v>1</v>
      </c>
    </row>
    <row r="18" spans="1:29" ht="15">
      <c r="A18" s="509"/>
      <c r="B18" s="572"/>
      <c r="C18" s="845" t="s">
        <v>3284</v>
      </c>
      <c r="D18" s="536"/>
      <c r="E18" s="3481" t="s">
        <v>3319</v>
      </c>
      <c r="F18" s="540"/>
      <c r="G18" s="3483" t="s">
        <v>3317</v>
      </c>
      <c r="H18" s="532"/>
      <c r="I18" s="3481" t="s">
        <v>3318</v>
      </c>
      <c r="J18" s="532"/>
      <c r="K18" s="842"/>
      <c r="L18" s="1978"/>
      <c r="M18" s="1970"/>
      <c r="N18" s="1970"/>
      <c r="O18" s="1977"/>
      <c r="P18" s="3708"/>
      <c r="Q18" s="1462"/>
      <c r="R18" s="1463"/>
      <c r="S18" s="1464"/>
      <c r="T18" s="1463"/>
      <c r="U18" s="1464"/>
      <c r="V18" s="1463"/>
      <c r="W18" s="1464"/>
      <c r="X18" s="1457"/>
      <c r="Y18" s="3708"/>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08"/>
      <c r="Q19" s="1462" t="str">
        <f>B19</f>
        <v>公共配套设施</v>
      </c>
      <c r="R19" s="1463" t="s">
        <v>11</v>
      </c>
      <c r="S19" s="1464">
        <f>F19</f>
        <v>100</v>
      </c>
      <c r="T19" s="1463" t="s">
        <v>11</v>
      </c>
      <c r="U19" s="1464">
        <f>H19</f>
        <v>100</v>
      </c>
      <c r="V19" s="1463" t="s">
        <v>11</v>
      </c>
      <c r="W19" s="1464">
        <f>J19</f>
        <v>100</v>
      </c>
      <c r="X19" s="1457"/>
      <c r="Y19" s="3708"/>
      <c r="Z19" s="1465" t="str">
        <f>Q19</f>
        <v>公共配套设施</v>
      </c>
      <c r="AA19" s="1466">
        <f t="shared" si="3"/>
        <v>1</v>
      </c>
      <c r="AB19" s="1466">
        <f t="shared" si="4"/>
        <v>1</v>
      </c>
      <c r="AC19" s="1466">
        <f t="shared" si="5"/>
        <v>1</v>
      </c>
    </row>
    <row r="20" spans="1:29" ht="15">
      <c r="A20" s="509"/>
      <c r="B20" s="572"/>
      <c r="C20" s="3462" t="s">
        <v>3318</v>
      </c>
      <c r="D20" s="532"/>
      <c r="E20" s="3460" t="s">
        <v>3318</v>
      </c>
      <c r="F20" s="534"/>
      <c r="G20" s="3459" t="s">
        <v>3318</v>
      </c>
      <c r="H20" s="532"/>
      <c r="I20" s="3460" t="s">
        <v>3318</v>
      </c>
      <c r="J20" s="532"/>
      <c r="K20" s="842"/>
      <c r="L20" s="1978"/>
      <c r="M20" s="1970"/>
      <c r="N20" s="1970"/>
      <c r="O20" s="1977"/>
      <c r="P20" s="3708"/>
      <c r="Q20" s="1462"/>
      <c r="R20" s="1463"/>
      <c r="S20" s="1464"/>
      <c r="T20" s="1463"/>
      <c r="U20" s="1464"/>
      <c r="V20" s="1463"/>
      <c r="W20" s="1464"/>
      <c r="X20" s="1457"/>
      <c r="Y20" s="3708"/>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08"/>
      <c r="Q21" s="2351" t="str">
        <f>B21</f>
        <v>基础设施水平</v>
      </c>
      <c r="R21" s="1463" t="s">
        <v>11</v>
      </c>
      <c r="S21" s="1464">
        <f>F21</f>
        <v>100</v>
      </c>
      <c r="T21" s="1463" t="s">
        <v>11</v>
      </c>
      <c r="U21" s="1464">
        <f>H21</f>
        <v>100</v>
      </c>
      <c r="V21" s="1463" t="s">
        <v>11</v>
      </c>
      <c r="W21" s="1464">
        <f>J21</f>
        <v>100</v>
      </c>
      <c r="X21" s="2353"/>
      <c r="Y21" s="3708"/>
      <c r="Z21" s="2352" t="str">
        <f>Q21</f>
        <v>基础设施水平</v>
      </c>
      <c r="AA21" s="1466">
        <f t="shared" ref="AA21" si="8">D21/F21</f>
        <v>1</v>
      </c>
      <c r="AB21" s="1466">
        <f t="shared" ref="AB21" si="9">D21/H21</f>
        <v>1</v>
      </c>
      <c r="AC21" s="1466">
        <f t="shared" ref="AC21" si="10">D21/J21</f>
        <v>1</v>
      </c>
    </row>
    <row r="22" spans="1:29" ht="15">
      <c r="A22" s="509"/>
      <c r="B22" s="893"/>
      <c r="C22" s="3484" t="s">
        <v>3326</v>
      </c>
      <c r="D22" s="532"/>
      <c r="E22" s="3462" t="s">
        <v>3326</v>
      </c>
      <c r="F22" s="534"/>
      <c r="G22" s="3462" t="s">
        <v>3327</v>
      </c>
      <c r="H22" s="532"/>
      <c r="I22" s="3462" t="s">
        <v>3328</v>
      </c>
      <c r="J22" s="532"/>
      <c r="K22" s="2365"/>
      <c r="L22" s="1978"/>
      <c r="M22" s="1970"/>
      <c r="N22" s="1970"/>
      <c r="O22" s="1977"/>
      <c r="P22" s="3708"/>
      <c r="Q22" s="2351"/>
      <c r="R22" s="1463"/>
      <c r="S22" s="1464"/>
      <c r="T22" s="1463"/>
      <c r="U22" s="1464"/>
      <c r="V22" s="1463"/>
      <c r="W22" s="1464"/>
      <c r="X22" s="2353"/>
      <c r="Y22" s="3708"/>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08"/>
      <c r="Q23" s="1462" t="str">
        <f>B23</f>
        <v>自然及人文环境</v>
      </c>
      <c r="R23" s="1463" t="s">
        <v>11</v>
      </c>
      <c r="S23" s="1464">
        <f>F23</f>
        <v>100</v>
      </c>
      <c r="T23" s="1463" t="s">
        <v>11</v>
      </c>
      <c r="U23" s="1464">
        <f>H23</f>
        <v>100</v>
      </c>
      <c r="V23" s="1463" t="s">
        <v>11</v>
      </c>
      <c r="W23" s="1464">
        <f>J23</f>
        <v>100</v>
      </c>
      <c r="X23" s="1457"/>
      <c r="Y23" s="3708"/>
      <c r="Z23" s="1465" t="str">
        <f>Q23</f>
        <v>自然及人文环境</v>
      </c>
      <c r="AA23" s="1466">
        <f t="shared" si="3"/>
        <v>1</v>
      </c>
      <c r="AB23" s="1466">
        <f t="shared" si="4"/>
        <v>1</v>
      </c>
      <c r="AC23" s="1466">
        <f t="shared" si="5"/>
        <v>1</v>
      </c>
    </row>
    <row r="24" spans="1:29" ht="15">
      <c r="A24" s="509"/>
      <c r="B24" s="572"/>
      <c r="C24" s="3462" t="s">
        <v>3329</v>
      </c>
      <c r="D24" s="532"/>
      <c r="E24" s="3460" t="s">
        <v>3329</v>
      </c>
      <c r="F24" s="534"/>
      <c r="G24" s="3459" t="s">
        <v>3315</v>
      </c>
      <c r="H24" s="532"/>
      <c r="I24" s="3460" t="s">
        <v>3329</v>
      </c>
      <c r="J24" s="532"/>
      <c r="K24" s="842"/>
      <c r="L24" s="1978"/>
      <c r="M24" s="1970"/>
      <c r="N24" s="1970"/>
      <c r="O24" s="1977"/>
      <c r="P24" s="3708"/>
      <c r="Q24" s="1462"/>
      <c r="R24" s="1463"/>
      <c r="S24" s="1464"/>
      <c r="T24" s="1463"/>
      <c r="U24" s="1464"/>
      <c r="V24" s="1463"/>
      <c r="W24" s="1464"/>
      <c r="X24" s="1457"/>
      <c r="Y24" s="3708"/>
      <c r="Z24" s="1465"/>
      <c r="AA24" s="1466">
        <v>1</v>
      </c>
      <c r="AB24" s="1466">
        <v>1</v>
      </c>
      <c r="AC24" s="1466">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08"/>
      <c r="Q25" s="1462" t="str">
        <f t="shared" ref="Q25:Q46" si="11">B25</f>
        <v>楼层-1</v>
      </c>
      <c r="R25" s="1463" t="s">
        <v>11</v>
      </c>
      <c r="S25" s="1464">
        <f>F25</f>
        <v>100</v>
      </c>
      <c r="T25" s="1463" t="s">
        <v>11</v>
      </c>
      <c r="U25" s="1464">
        <f>H25</f>
        <v>100</v>
      </c>
      <c r="V25" s="1463" t="s">
        <v>11</v>
      </c>
      <c r="W25" s="1464">
        <f>J25</f>
        <v>100</v>
      </c>
      <c r="X25" s="1457"/>
      <c r="Y25" s="3708"/>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08"/>
      <c r="Q26" s="1462" t="str">
        <f t="shared" si="11"/>
        <v>朝向</v>
      </c>
      <c r="R26" s="1463" t="s">
        <v>11</v>
      </c>
      <c r="S26" s="1464">
        <f>F26</f>
        <v>100</v>
      </c>
      <c r="T26" s="1463" t="s">
        <v>11</v>
      </c>
      <c r="U26" s="1464">
        <f>H26</f>
        <v>100</v>
      </c>
      <c r="V26" s="1463" t="s">
        <v>11</v>
      </c>
      <c r="W26" s="1464">
        <f>J26</f>
        <v>100</v>
      </c>
      <c r="X26" s="1457"/>
      <c r="Y26" s="3708"/>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08"/>
      <c r="Q27" s="1097" t="str">
        <f t="shared" si="11"/>
        <v>道路级别</v>
      </c>
      <c r="R27" s="1458" t="s">
        <v>11</v>
      </c>
      <c r="S27" s="1459">
        <f>F27</f>
        <v>100</v>
      </c>
      <c r="T27" s="1458" t="s">
        <v>11</v>
      </c>
      <c r="U27" s="1459">
        <f>H27</f>
        <v>100</v>
      </c>
      <c r="V27" s="1458" t="s">
        <v>11</v>
      </c>
      <c r="W27" s="1459">
        <f>J27</f>
        <v>100</v>
      </c>
      <c r="X27" s="1460"/>
      <c r="Y27" s="3708"/>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08"/>
      <c r="Q28" s="1462">
        <f t="shared" si="11"/>
        <v>111</v>
      </c>
      <c r="R28" s="1463" t="s">
        <v>11</v>
      </c>
      <c r="S28" s="1464">
        <f t="shared" ref="S28:S46" si="12">F28</f>
        <v>100</v>
      </c>
      <c r="T28" s="1463" t="s">
        <v>11</v>
      </c>
      <c r="U28" s="1464">
        <f t="shared" ref="U28:U46" si="13">H28</f>
        <v>100</v>
      </c>
      <c r="V28" s="1463" t="s">
        <v>11</v>
      </c>
      <c r="W28" s="1464">
        <f t="shared" ref="W28:W46" si="14">J28</f>
        <v>100</v>
      </c>
      <c r="X28" s="1457"/>
      <c r="Y28" s="3708"/>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08"/>
      <c r="Q29" s="1462">
        <f t="shared" si="11"/>
        <v>111</v>
      </c>
      <c r="R29" s="1463" t="s">
        <v>11</v>
      </c>
      <c r="S29" s="1464">
        <f t="shared" si="12"/>
        <v>100</v>
      </c>
      <c r="T29" s="1463" t="s">
        <v>11</v>
      </c>
      <c r="U29" s="1464">
        <f t="shared" si="13"/>
        <v>100</v>
      </c>
      <c r="V29" s="1463" t="s">
        <v>11</v>
      </c>
      <c r="W29" s="1464">
        <f t="shared" si="14"/>
        <v>100</v>
      </c>
      <c r="X29" s="1457"/>
      <c r="Y29" s="3708"/>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08"/>
      <c r="Q30" s="1462">
        <f t="shared" si="11"/>
        <v>111</v>
      </c>
      <c r="R30" s="1463" t="s">
        <v>11</v>
      </c>
      <c r="S30" s="1464">
        <f t="shared" si="12"/>
        <v>100</v>
      </c>
      <c r="T30" s="1463" t="s">
        <v>11</v>
      </c>
      <c r="U30" s="1464">
        <f t="shared" si="13"/>
        <v>100</v>
      </c>
      <c r="V30" s="1463" t="s">
        <v>11</v>
      </c>
      <c r="W30" s="1464">
        <f t="shared" si="14"/>
        <v>100</v>
      </c>
      <c r="X30" s="1457"/>
      <c r="Y30" s="3708"/>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08"/>
      <c r="Q31" s="1462">
        <f t="shared" si="11"/>
        <v>111</v>
      </c>
      <c r="R31" s="1463" t="s">
        <v>11</v>
      </c>
      <c r="S31" s="1464">
        <f t="shared" si="12"/>
        <v>100</v>
      </c>
      <c r="T31" s="1463" t="s">
        <v>11</v>
      </c>
      <c r="U31" s="1464">
        <f t="shared" si="13"/>
        <v>100</v>
      </c>
      <c r="V31" s="1463" t="s">
        <v>11</v>
      </c>
      <c r="W31" s="1464">
        <f t="shared" si="14"/>
        <v>100</v>
      </c>
      <c r="X31" s="1457"/>
      <c r="Y31" s="3708"/>
      <c r="Z31" s="1465">
        <f t="shared" si="15"/>
        <v>111</v>
      </c>
      <c r="AA31" s="1466">
        <f t="shared" si="3"/>
        <v>1</v>
      </c>
      <c r="AB31" s="1466">
        <f t="shared" si="4"/>
        <v>1</v>
      </c>
      <c r="AC31" s="1466">
        <f t="shared" si="5"/>
        <v>1</v>
      </c>
    </row>
    <row r="32" spans="1:29" ht="15">
      <c r="A32" s="2546" t="s">
        <v>2472</v>
      </c>
      <c r="B32" s="170" t="s">
        <v>707</v>
      </c>
      <c r="C32" s="3485" t="s">
        <v>3330</v>
      </c>
      <c r="D32" s="574">
        <v>100</v>
      </c>
      <c r="E32" s="3486" t="s">
        <v>3330</v>
      </c>
      <c r="F32" s="552">
        <f>SUMIF(100:100,E32,101:101)-SUMIF(100:100,C32,101:101)+100</f>
        <v>100</v>
      </c>
      <c r="G32" s="3485" t="s">
        <v>3330</v>
      </c>
      <c r="H32" s="574">
        <f>SUMIF(100:100,G32,101:101)-SUMIF(100:100,C32,101:101)+100</f>
        <v>100</v>
      </c>
      <c r="I32" s="3486" t="s">
        <v>3330</v>
      </c>
      <c r="J32" s="517">
        <f>SUMIF(100:100,I32,101:101)-SUMIF(100:100,C32,101:101)+100</f>
        <v>100</v>
      </c>
      <c r="K32" s="836"/>
      <c r="L32" s="1978"/>
      <c r="M32" s="1970"/>
      <c r="N32" s="1970"/>
      <c r="O32" s="1977"/>
      <c r="P32" s="3709" t="s">
        <v>533</v>
      </c>
      <c r="Q32" s="1462" t="str">
        <f t="shared" si="11"/>
        <v>建筑类型</v>
      </c>
      <c r="R32" s="1463" t="s">
        <v>11</v>
      </c>
      <c r="S32" s="1464">
        <f t="shared" si="12"/>
        <v>100</v>
      </c>
      <c r="T32" s="1463" t="s">
        <v>11</v>
      </c>
      <c r="U32" s="1464">
        <f t="shared" si="13"/>
        <v>100</v>
      </c>
      <c r="V32" s="1463" t="s">
        <v>11</v>
      </c>
      <c r="W32" s="1464">
        <f t="shared" si="14"/>
        <v>100</v>
      </c>
      <c r="X32" s="1457"/>
      <c r="Y32" s="3710" t="s">
        <v>533</v>
      </c>
      <c r="Z32" s="1465" t="str">
        <f t="shared" si="15"/>
        <v>建筑类型</v>
      </c>
      <c r="AA32" s="1466">
        <f t="shared" si="3"/>
        <v>1</v>
      </c>
      <c r="AB32" s="1466">
        <f t="shared" si="4"/>
        <v>1</v>
      </c>
      <c r="AC32" s="1466">
        <f t="shared" si="5"/>
        <v>1</v>
      </c>
    </row>
    <row r="33" spans="1:29" s="1248" customFormat="1" ht="15">
      <c r="A33" s="580"/>
      <c r="B33" s="504" t="s">
        <v>708</v>
      </c>
      <c r="C33" s="851">
        <f>'数据-基础表'!B3</f>
        <v>98965.430000000008</v>
      </c>
      <c r="D33" s="253">
        <v>100</v>
      </c>
      <c r="E33" s="511">
        <v>114739</v>
      </c>
      <c r="F33" s="835">
        <f>LOOKUP(E33,103:103,104:104)-LOOKUP(C33,103:103,104:104)+100</f>
        <v>102</v>
      </c>
      <c r="G33" s="510">
        <v>215892</v>
      </c>
      <c r="H33" s="253">
        <f>LOOKUP(G33,103:103,104:104)-LOOKUP(C33,103:103,104:104)+100</f>
        <v>104</v>
      </c>
      <c r="I33" s="511">
        <v>130000</v>
      </c>
      <c r="J33" s="253">
        <f>LOOKUP(I33,103:103,104:104)-LOOKUP(C33,103:103,104:104)+100</f>
        <v>102</v>
      </c>
      <c r="K33" s="837"/>
      <c r="L33" s="1976"/>
      <c r="M33" s="2006"/>
      <c r="N33" s="2006"/>
      <c r="O33" s="1979"/>
      <c r="P33" s="3710"/>
      <c r="Q33" s="1491" t="str">
        <f t="shared" si="11"/>
        <v>项目建筑规模</v>
      </c>
      <c r="R33" s="1467" t="s">
        <v>11</v>
      </c>
      <c r="S33" s="1468">
        <f t="shared" si="12"/>
        <v>102</v>
      </c>
      <c r="T33" s="1467" t="s">
        <v>11</v>
      </c>
      <c r="U33" s="1468">
        <f t="shared" si="13"/>
        <v>104</v>
      </c>
      <c r="V33" s="1467" t="s">
        <v>11</v>
      </c>
      <c r="W33" s="1468">
        <f t="shared" si="14"/>
        <v>102</v>
      </c>
      <c r="X33" s="1469"/>
      <c r="Y33" s="3710"/>
      <c r="Z33" s="1470" t="str">
        <f t="shared" si="15"/>
        <v>项目建筑规模</v>
      </c>
      <c r="AA33" s="1466">
        <f t="shared" si="3"/>
        <v>0.98039215686274506</v>
      </c>
      <c r="AB33" s="1466">
        <f t="shared" si="4"/>
        <v>0.96153846153846156</v>
      </c>
      <c r="AC33" s="1466">
        <f t="shared" si="5"/>
        <v>0.98039215686274506</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710"/>
      <c r="Q34" s="1462" t="str">
        <f t="shared" si="11"/>
        <v>建筑结构</v>
      </c>
      <c r="R34" s="1463" t="s">
        <v>11</v>
      </c>
      <c r="S34" s="1464">
        <f t="shared" si="12"/>
        <v>100</v>
      </c>
      <c r="T34" s="1463" t="s">
        <v>11</v>
      </c>
      <c r="U34" s="1464">
        <f t="shared" si="13"/>
        <v>100</v>
      </c>
      <c r="V34" s="1463" t="s">
        <v>11</v>
      </c>
      <c r="W34" s="1464">
        <f t="shared" si="14"/>
        <v>100</v>
      </c>
      <c r="X34" s="1457"/>
      <c r="Y34" s="3710"/>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10"/>
      <c r="Q35" s="1462" t="str">
        <f t="shared" si="11"/>
        <v>建筑品质</v>
      </c>
      <c r="R35" s="1463" t="s">
        <v>11</v>
      </c>
      <c r="S35" s="1464">
        <f t="shared" si="12"/>
        <v>100</v>
      </c>
      <c r="T35" s="1463" t="s">
        <v>11</v>
      </c>
      <c r="U35" s="1464">
        <f t="shared" si="13"/>
        <v>100</v>
      </c>
      <c r="V35" s="1463" t="s">
        <v>11</v>
      </c>
      <c r="W35" s="1464">
        <f t="shared" si="14"/>
        <v>100</v>
      </c>
      <c r="X35" s="1457"/>
      <c r="Y35" s="3710"/>
      <c r="Z35" s="1465" t="str">
        <f t="shared" si="15"/>
        <v>建筑品质</v>
      </c>
      <c r="AA35" s="1466">
        <f t="shared" si="3"/>
        <v>1</v>
      </c>
      <c r="AB35" s="1466">
        <f t="shared" si="4"/>
        <v>1</v>
      </c>
      <c r="AC35" s="1466">
        <f t="shared" si="5"/>
        <v>1</v>
      </c>
    </row>
    <row r="36" spans="1:29" ht="15">
      <c r="A36" s="571"/>
      <c r="B36" s="504" t="s">
        <v>711</v>
      </c>
      <c r="C36" s="3465" t="s">
        <v>3331</v>
      </c>
      <c r="D36" s="517">
        <v>100</v>
      </c>
      <c r="E36" s="3488" t="s">
        <v>3331</v>
      </c>
      <c r="F36" s="552">
        <f>SUMIF(109:109,E36,110:110)-SUMIF(109:109,C36,110:110)+100</f>
        <v>100</v>
      </c>
      <c r="G36" s="3465" t="s">
        <v>3331</v>
      </c>
      <c r="H36" s="517">
        <f>SUMIF(109:109,G36,110:110)-SUMIF(109:109,C36,110:110)+100</f>
        <v>100</v>
      </c>
      <c r="I36" s="3488" t="s">
        <v>3331</v>
      </c>
      <c r="J36" s="517">
        <f>SUMIF(109:109,I36,110:110)-SUMIF(109:109,C36,110:110)+100</f>
        <v>100</v>
      </c>
      <c r="K36" s="836"/>
      <c r="L36" s="1978"/>
      <c r="M36" s="1970"/>
      <c r="N36" s="1970"/>
      <c r="O36" s="1977"/>
      <c r="P36" s="3710"/>
      <c r="Q36" s="1462" t="str">
        <f t="shared" si="11"/>
        <v>公共部分装修</v>
      </c>
      <c r="R36" s="1463" t="s">
        <v>11</v>
      </c>
      <c r="S36" s="1464">
        <f t="shared" si="12"/>
        <v>100</v>
      </c>
      <c r="T36" s="1463" t="s">
        <v>11</v>
      </c>
      <c r="U36" s="1464">
        <f t="shared" si="13"/>
        <v>100</v>
      </c>
      <c r="V36" s="1463" t="s">
        <v>11</v>
      </c>
      <c r="W36" s="1464">
        <f t="shared" si="14"/>
        <v>100</v>
      </c>
      <c r="X36" s="1457"/>
      <c r="Y36" s="3710"/>
      <c r="Z36" s="1465" t="str">
        <f t="shared" si="15"/>
        <v>公共部分装修</v>
      </c>
      <c r="AA36" s="1466">
        <f t="shared" si="3"/>
        <v>1</v>
      </c>
      <c r="AB36" s="1466">
        <f t="shared" si="4"/>
        <v>1</v>
      </c>
      <c r="AC36" s="1466">
        <f t="shared" si="5"/>
        <v>1</v>
      </c>
    </row>
    <row r="37" spans="1:29" s="1166" customFormat="1" ht="15">
      <c r="A37" s="577"/>
      <c r="B37" s="504" t="s">
        <v>712</v>
      </c>
      <c r="C37" s="854">
        <v>0.7</v>
      </c>
      <c r="D37" s="253">
        <v>100</v>
      </c>
      <c r="E37" s="855">
        <f>ROUND(1-(2022-E50)/60,2)</f>
        <v>0.8</v>
      </c>
      <c r="F37" s="835">
        <f>LOOKUP(E37,112:112,113:113)-LOOKUP(C37,112:112,113:113)+100</f>
        <v>105</v>
      </c>
      <c r="G37" s="856">
        <f>ROUND(1-(2022-G50)/60,2)</f>
        <v>0.8</v>
      </c>
      <c r="H37" s="253">
        <f>LOOKUP(G37,112:112,113:113)-LOOKUP(C37,112:112,113:113)+100</f>
        <v>105</v>
      </c>
      <c r="I37" s="855">
        <f>ROUND(1-(2022-I50)/60,2)</f>
        <v>0.7</v>
      </c>
      <c r="J37" s="253">
        <f>LOOKUP(I37,112:112,113:113)-LOOKUP(C37,112:112,113:113)+100</f>
        <v>100</v>
      </c>
      <c r="K37" s="836">
        <v>5</v>
      </c>
      <c r="L37" s="1971"/>
      <c r="M37" s="1972"/>
      <c r="N37" s="1972"/>
      <c r="O37" s="1973"/>
      <c r="P37" s="3710"/>
      <c r="Q37" s="1097" t="str">
        <f t="shared" si="11"/>
        <v>成新度</v>
      </c>
      <c r="R37" s="1458" t="s">
        <v>11</v>
      </c>
      <c r="S37" s="1459">
        <f t="shared" si="12"/>
        <v>105</v>
      </c>
      <c r="T37" s="1458" t="s">
        <v>11</v>
      </c>
      <c r="U37" s="1459">
        <f t="shared" si="13"/>
        <v>105</v>
      </c>
      <c r="V37" s="1458" t="s">
        <v>11</v>
      </c>
      <c r="W37" s="1459">
        <f t="shared" si="14"/>
        <v>100</v>
      </c>
      <c r="X37" s="1460"/>
      <c r="Y37" s="3710"/>
      <c r="Z37" s="1096" t="str">
        <f t="shared" si="15"/>
        <v>成新度</v>
      </c>
      <c r="AA37" s="1461">
        <f t="shared" si="3"/>
        <v>0.95238095238095233</v>
      </c>
      <c r="AB37" s="1461">
        <f t="shared" si="4"/>
        <v>0.95238095238095233</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10" t="s">
        <v>533</v>
      </c>
      <c r="Q38" s="1462" t="str">
        <f t="shared" si="11"/>
        <v>物业管理</v>
      </c>
      <c r="R38" s="1463" t="s">
        <v>11</v>
      </c>
      <c r="S38" s="1464">
        <f t="shared" si="12"/>
        <v>100</v>
      </c>
      <c r="T38" s="1463" t="s">
        <v>11</v>
      </c>
      <c r="U38" s="1464">
        <f t="shared" si="13"/>
        <v>100</v>
      </c>
      <c r="V38" s="1463" t="s">
        <v>11</v>
      </c>
      <c r="W38" s="1464">
        <f t="shared" si="14"/>
        <v>100</v>
      </c>
      <c r="X38" s="1457"/>
      <c r="Y38" s="3710" t="s">
        <v>533</v>
      </c>
      <c r="Z38" s="1465" t="str">
        <f t="shared" si="15"/>
        <v>物业管理</v>
      </c>
      <c r="AA38" s="1466">
        <f t="shared" si="3"/>
        <v>1</v>
      </c>
      <c r="AB38" s="1466">
        <f t="shared" si="4"/>
        <v>1</v>
      </c>
      <c r="AC38" s="1466">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10"/>
      <c r="Q39" s="1462" t="str">
        <f t="shared" si="11"/>
        <v>市政基础设施</v>
      </c>
      <c r="R39" s="1463" t="s">
        <v>11</v>
      </c>
      <c r="S39" s="1464">
        <f t="shared" si="12"/>
        <v>100</v>
      </c>
      <c r="T39" s="1463" t="s">
        <v>11</v>
      </c>
      <c r="U39" s="1464">
        <f t="shared" si="13"/>
        <v>100</v>
      </c>
      <c r="V39" s="1463" t="s">
        <v>11</v>
      </c>
      <c r="W39" s="1464">
        <f t="shared" si="14"/>
        <v>100</v>
      </c>
      <c r="X39" s="1457"/>
      <c r="Y39" s="3710"/>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10"/>
      <c r="Q40" s="1462" t="str">
        <f t="shared" si="11"/>
        <v>房型</v>
      </c>
      <c r="R40" s="1463" t="s">
        <v>11</v>
      </c>
      <c r="S40" s="1464">
        <f t="shared" si="12"/>
        <v>100</v>
      </c>
      <c r="T40" s="1463" t="s">
        <v>11</v>
      </c>
      <c r="U40" s="1464">
        <f t="shared" si="13"/>
        <v>100</v>
      </c>
      <c r="V40" s="1463" t="s">
        <v>11</v>
      </c>
      <c r="W40" s="1464">
        <f t="shared" si="14"/>
        <v>100</v>
      </c>
      <c r="X40" s="1457"/>
      <c r="Y40" s="3710"/>
      <c r="Z40" s="1465" t="str">
        <f t="shared" si="15"/>
        <v>房型</v>
      </c>
      <c r="AA40" s="1466">
        <f t="shared" si="3"/>
        <v>1</v>
      </c>
      <c r="AB40" s="1466">
        <f t="shared" si="4"/>
        <v>1</v>
      </c>
      <c r="AC40" s="1466">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10"/>
      <c r="Q41" s="1491" t="str">
        <f t="shared" si="11"/>
        <v>单套/主力户型建筑面积</v>
      </c>
      <c r="R41" s="1467" t="s">
        <v>11</v>
      </c>
      <c r="S41" s="1468">
        <f t="shared" si="12"/>
        <v>100</v>
      </c>
      <c r="T41" s="1467" t="s">
        <v>11</v>
      </c>
      <c r="U41" s="1468">
        <f t="shared" si="13"/>
        <v>100</v>
      </c>
      <c r="V41" s="1467" t="s">
        <v>11</v>
      </c>
      <c r="W41" s="1468">
        <f t="shared" si="14"/>
        <v>100</v>
      </c>
      <c r="X41" s="1469"/>
      <c r="Y41" s="3710"/>
      <c r="Z41" s="1470" t="str">
        <f t="shared" si="15"/>
        <v>单套/主力户型建筑面积</v>
      </c>
      <c r="AA41" s="1466">
        <f t="shared" si="3"/>
        <v>1</v>
      </c>
      <c r="AB41" s="1466">
        <f t="shared" si="4"/>
        <v>1</v>
      </c>
      <c r="AC41" s="1466">
        <f t="shared" si="5"/>
        <v>1</v>
      </c>
    </row>
    <row r="42" spans="1:29" ht="15">
      <c r="A42" s="571"/>
      <c r="B42" s="504" t="s">
        <v>716</v>
      </c>
      <c r="C42" s="3465" t="s">
        <v>3331</v>
      </c>
      <c r="D42" s="517">
        <v>100</v>
      </c>
      <c r="E42" s="3488" t="s">
        <v>3331</v>
      </c>
      <c r="F42" s="552">
        <f>SUMIF(122:122,E42,123:123)-SUMIF(122:122,C42,123:123)+100</f>
        <v>100</v>
      </c>
      <c r="G42" s="3465" t="s">
        <v>3331</v>
      </c>
      <c r="H42" s="517">
        <f>SUMIF(122:122,G42,123:123)-SUMIF(122:122,C42,123:123)+100</f>
        <v>100</v>
      </c>
      <c r="I42" s="3488" t="s">
        <v>3331</v>
      </c>
      <c r="J42" s="517">
        <f>SUMIF(122:122,I42,123:123)-SUMIF(122:122,C42,123:123)+100</f>
        <v>100</v>
      </c>
      <c r="K42" s="836"/>
      <c r="L42" s="1978"/>
      <c r="M42" s="1970"/>
      <c r="N42" s="1970"/>
      <c r="O42" s="1977"/>
      <c r="P42" s="3710"/>
      <c r="Q42" s="1462" t="str">
        <f t="shared" si="11"/>
        <v>内部装修</v>
      </c>
      <c r="R42" s="1463" t="s">
        <v>11</v>
      </c>
      <c r="S42" s="1464">
        <f t="shared" si="12"/>
        <v>100</v>
      </c>
      <c r="T42" s="1463" t="s">
        <v>11</v>
      </c>
      <c r="U42" s="1464">
        <f t="shared" si="13"/>
        <v>100</v>
      </c>
      <c r="V42" s="1463" t="s">
        <v>11</v>
      </c>
      <c r="W42" s="1464">
        <f t="shared" si="14"/>
        <v>100</v>
      </c>
      <c r="X42" s="1457"/>
      <c r="Y42" s="3710"/>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10"/>
      <c r="Q43" s="1462" t="str">
        <f t="shared" si="11"/>
        <v>内部装修维护情况</v>
      </c>
      <c r="R43" s="1463" t="s">
        <v>11</v>
      </c>
      <c r="S43" s="1464">
        <f t="shared" si="12"/>
        <v>100</v>
      </c>
      <c r="T43" s="1463" t="s">
        <v>11</v>
      </c>
      <c r="U43" s="1464">
        <f t="shared" si="13"/>
        <v>100</v>
      </c>
      <c r="V43" s="1463" t="s">
        <v>11</v>
      </c>
      <c r="W43" s="1464">
        <f t="shared" si="14"/>
        <v>100</v>
      </c>
      <c r="X43" s="1457"/>
      <c r="Y43" s="3710"/>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10"/>
      <c r="Q44" s="1097">
        <f t="shared" si="11"/>
        <v>111</v>
      </c>
      <c r="R44" s="1458" t="s">
        <v>11</v>
      </c>
      <c r="S44" s="1459">
        <f t="shared" si="12"/>
        <v>100</v>
      </c>
      <c r="T44" s="1458" t="s">
        <v>11</v>
      </c>
      <c r="U44" s="1459">
        <f t="shared" si="13"/>
        <v>100</v>
      </c>
      <c r="V44" s="1458" t="s">
        <v>11</v>
      </c>
      <c r="W44" s="1459">
        <f t="shared" si="14"/>
        <v>100</v>
      </c>
      <c r="X44" s="1460"/>
      <c r="Y44" s="3710"/>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10"/>
      <c r="Q45" s="1462">
        <f t="shared" si="11"/>
        <v>111</v>
      </c>
      <c r="R45" s="1463" t="s">
        <v>11</v>
      </c>
      <c r="S45" s="1464">
        <f t="shared" si="12"/>
        <v>100</v>
      </c>
      <c r="T45" s="1463" t="s">
        <v>11</v>
      </c>
      <c r="U45" s="1464">
        <f t="shared" si="13"/>
        <v>100</v>
      </c>
      <c r="V45" s="1463" t="s">
        <v>11</v>
      </c>
      <c r="W45" s="1464">
        <f t="shared" si="14"/>
        <v>100</v>
      </c>
      <c r="X45" s="1457"/>
      <c r="Y45" s="3710"/>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03"/>
      <c r="Q46" s="1462">
        <f t="shared" si="11"/>
        <v>111</v>
      </c>
      <c r="R46" s="1463" t="s">
        <v>10</v>
      </c>
      <c r="S46" s="1464">
        <f t="shared" si="12"/>
        <v>100</v>
      </c>
      <c r="T46" s="1463" t="s">
        <v>10</v>
      </c>
      <c r="U46" s="1464">
        <f t="shared" si="13"/>
        <v>100</v>
      </c>
      <c r="V46" s="1463" t="s">
        <v>10</v>
      </c>
      <c r="W46" s="1464">
        <f t="shared" si="14"/>
        <v>100</v>
      </c>
      <c r="X46" s="1457"/>
      <c r="Y46" s="3803"/>
      <c r="Z46" s="1465">
        <f t="shared" si="15"/>
        <v>111</v>
      </c>
      <c r="AA46" s="1466">
        <f t="shared" si="3"/>
        <v>1</v>
      </c>
      <c r="AB46" s="1466">
        <f t="shared" si="4"/>
        <v>1</v>
      </c>
      <c r="AC46" s="1466">
        <f t="shared" si="5"/>
        <v>1</v>
      </c>
    </row>
    <row r="47" spans="1:29" ht="15">
      <c r="A47" s="584" t="s">
        <v>718</v>
      </c>
      <c r="B47" s="858"/>
      <c r="C47" s="2392" t="s">
        <v>9</v>
      </c>
      <c r="D47" s="2393"/>
      <c r="E47" s="2394">
        <v>42000</v>
      </c>
      <c r="F47" s="2395"/>
      <c r="G47" s="2396">
        <v>42000</v>
      </c>
      <c r="H47" s="2397"/>
      <c r="I47" s="2394">
        <v>40000</v>
      </c>
      <c r="J47" s="2397"/>
      <c r="K47" s="1492"/>
      <c r="L47" s="1980"/>
      <c r="M47" s="1981"/>
      <c r="N47" s="1970"/>
      <c r="O47" s="1981"/>
      <c r="P47" s="3674" t="str">
        <f>A47</f>
        <v>成交单价（元/平方米）</v>
      </c>
      <c r="Q47" s="3674"/>
      <c r="R47" s="3802">
        <f>E47</f>
        <v>42000</v>
      </c>
      <c r="S47" s="3802"/>
      <c r="T47" s="3802">
        <f>G47</f>
        <v>42000</v>
      </c>
      <c r="U47" s="3802"/>
      <c r="V47" s="3802">
        <f>I47</f>
        <v>40000</v>
      </c>
      <c r="W47" s="3802"/>
      <c r="X47" s="1452"/>
      <c r="Y47" s="1471"/>
      <c r="Z47" s="1452"/>
      <c r="AA47" s="1452"/>
      <c r="AB47" s="1452"/>
      <c r="AC47" s="1452"/>
    </row>
    <row r="48" spans="1:29" ht="15.75" thickBot="1">
      <c r="A48" s="592" t="s">
        <v>2477</v>
      </c>
      <c r="B48" s="859"/>
      <c r="C48" s="2398">
        <f>R49</f>
        <v>36625</v>
      </c>
      <c r="D48" s="2922" t="s">
        <v>2702</v>
      </c>
      <c r="E48" s="2399">
        <f>R48</f>
        <v>37348</v>
      </c>
      <c r="F48" s="2923"/>
      <c r="G48" s="2398">
        <f>T48</f>
        <v>35912</v>
      </c>
      <c r="H48" s="2923"/>
      <c r="I48" s="2399">
        <f>V48</f>
        <v>36616</v>
      </c>
      <c r="J48" s="2923"/>
      <c r="K48" s="2931">
        <f>F48+H48+J48</f>
        <v>0</v>
      </c>
      <c r="L48" s="1980"/>
      <c r="M48" s="1981"/>
      <c r="N48" s="1981"/>
      <c r="O48" s="1981"/>
      <c r="P48" s="3674" t="str">
        <f>A48</f>
        <v>比较价格（元/平方米）</v>
      </c>
      <c r="Q48" s="3674"/>
      <c r="R48" s="3802">
        <f>IF(F1="售价",ROUND(PRODUCT(R47,AA7:AA46),0),ROUND(PRODUCT(R47,AA7:AA46),1))</f>
        <v>37348</v>
      </c>
      <c r="S48" s="3802"/>
      <c r="T48" s="3802">
        <f>IF(F1="售价",ROUND(PRODUCT(T47,AB7:AB46),0),ROUND(PRODUCT(T47,AB7:AB46),1))</f>
        <v>35912</v>
      </c>
      <c r="U48" s="3802"/>
      <c r="V48" s="3802">
        <f>IF(F1="售价",ROUND(PRODUCT(V47,AC7:AC46),0),ROUND(PRODUCT(V47,AC7:AC46),1))</f>
        <v>36616</v>
      </c>
      <c r="W48" s="3802"/>
      <c r="X48" s="1452"/>
      <c r="Y48" s="1452"/>
      <c r="Z48" s="1452"/>
      <c r="AA48" s="1452"/>
      <c r="AB48" s="1452"/>
      <c r="AC48" s="1452"/>
    </row>
    <row r="49" spans="1:29" ht="15.75" thickBot="1">
      <c r="A49" s="596" t="s">
        <v>2637</v>
      </c>
      <c r="B49" s="597"/>
      <c r="C49" s="2400">
        <f>R49</f>
        <v>36625</v>
      </c>
      <c r="D49" s="2400"/>
      <c r="E49" s="2400"/>
      <c r="F49" s="2400"/>
      <c r="G49" s="2400"/>
      <c r="H49" s="2400"/>
      <c r="I49" s="2400"/>
      <c r="J49" s="2400"/>
      <c r="K49" s="1493"/>
      <c r="L49" s="1980"/>
      <c r="M49" s="1981"/>
      <c r="N49" s="1981"/>
      <c r="O49" s="1981"/>
      <c r="P49" s="3711" t="str">
        <f>A49</f>
        <v>估价对象XX用房的比较价格（楼面单价，元/平方米）</v>
      </c>
      <c r="Q49" s="3712"/>
      <c r="R49" s="3801">
        <f>IF(F1="售价",ROUND(IF(D48="简单平均",AVERAGE(R48:V48),R48*F48+T48*H48+V48*J48),0),ROUND(IF(D48="简单平均",AVERAGE(R48:V48),R48*F48+T48*H48+V48*J48),1))</f>
        <v>36625</v>
      </c>
      <c r="S49" s="3801"/>
      <c r="T49" s="3801"/>
      <c r="U49" s="3801"/>
      <c r="V49" s="3801"/>
      <c r="W49" s="3801"/>
      <c r="X49" s="1452"/>
      <c r="Y49" s="1452"/>
      <c r="Z49" s="1452"/>
      <c r="AA49" s="1452"/>
      <c r="AB49" s="1452"/>
      <c r="AC49" s="1452"/>
    </row>
    <row r="50" spans="1:29">
      <c r="A50" s="3122"/>
      <c r="B50" s="3122"/>
      <c r="C50" s="3122"/>
      <c r="D50" s="3122"/>
      <c r="E50" s="3122">
        <v>2010</v>
      </c>
      <c r="F50" s="3122"/>
      <c r="G50" s="3487">
        <v>2010</v>
      </c>
      <c r="H50" s="3122"/>
      <c r="I50" s="3122">
        <v>2004</v>
      </c>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0.12455820927492778</v>
      </c>
      <c r="F52" s="602" t="str">
        <f>IF(OR(E52&gt;=0.3,E52&lt;=-0.3),"超过30%","")</f>
        <v/>
      </c>
      <c r="G52" s="601">
        <f>IF(G47&lt;G48,G48/G47-1,G47/G48-1)</f>
        <v>0.16952550679438638</v>
      </c>
      <c r="H52" s="602" t="str">
        <f>IF(OR(G52&gt;=0.3,G52&lt;=-0.3),"超过30%","")</f>
        <v/>
      </c>
      <c r="I52" s="601">
        <f>IF(I47&lt;I48,I48/I47-1,I47/I48-1)</f>
        <v>9.2418614813196465E-2</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3.9986633994208098E-2</v>
      </c>
      <c r="F53" s="602" t="str">
        <f>IF(OR(E53&gt;=0.2,E53&lt;=-0.2),"超过20%","")</f>
        <v/>
      </c>
      <c r="G53" s="601">
        <f>IF(G48&lt;I48,I48/G48-1,G48/I48-1)</f>
        <v>1.9603475161505957E-2</v>
      </c>
      <c r="H53" s="602" t="str">
        <f>IF(OR(G53&gt;=0.2,G53&lt;=-0.2),"超过20%","")</f>
        <v/>
      </c>
      <c r="I53" s="601">
        <f>IF(I48&lt;E48,E48/I48-1,I48/E48-1)</f>
        <v>1.9991260651081477E-2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0</v>
      </c>
      <c r="F54" s="602" t="str">
        <f>IF(OR(E54&gt;=0.3,E54&lt;=-0.3),"超过30%","")</f>
        <v/>
      </c>
      <c r="G54" s="601">
        <f>IF(G47&lt;I47,I47/G47-1,G47/I47-1)</f>
        <v>5.0000000000000044E-2</v>
      </c>
      <c r="H54" s="602" t="str">
        <f>IF(OR(G54&gt;=0.3,G54&lt;=-0.3),"超过30%","")</f>
        <v/>
      </c>
      <c r="I54" s="601">
        <f>IF(I47&lt;E47,E47/I47-1,I47/E47-1)</f>
        <v>5.0000000000000044E-2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105</v>
      </c>
      <c r="E113" s="654">
        <f>D113+$K37</f>
        <v>110</v>
      </c>
      <c r="F113" s="654">
        <f>E113+$K37</f>
        <v>115</v>
      </c>
      <c r="G113" s="654">
        <f>F113+$K37</f>
        <v>120</v>
      </c>
      <c r="H113" s="654">
        <f>G113+$K37</f>
        <v>125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80" t="s">
        <v>505</v>
      </c>
      <c r="D4" s="3681"/>
      <c r="E4" s="3715" t="s">
        <v>506</v>
      </c>
      <c r="F4" s="3716"/>
      <c r="G4" s="3680" t="s">
        <v>507</v>
      </c>
      <c r="H4" s="3681"/>
      <c r="I4" s="3680" t="s">
        <v>508</v>
      </c>
      <c r="J4" s="3681"/>
      <c r="K4" s="491" t="s">
        <v>509</v>
      </c>
      <c r="L4" s="1969"/>
      <c r="M4" s="1970"/>
      <c r="N4" s="1970"/>
      <c r="O4" s="1970"/>
      <c r="P4" s="3682" t="s">
        <v>510</v>
      </c>
      <c r="Q4" s="3683"/>
      <c r="R4" s="3688" t="s">
        <v>506</v>
      </c>
      <c r="S4" s="3689"/>
      <c r="T4" s="3688" t="s">
        <v>507</v>
      </c>
      <c r="U4" s="3689"/>
      <c r="V4" s="3675" t="s">
        <v>508</v>
      </c>
      <c r="W4" s="3675"/>
      <c r="X4" s="1457"/>
      <c r="Y4" s="3688" t="s">
        <v>510</v>
      </c>
      <c r="Z4" s="3689"/>
      <c r="AA4" s="3677" t="s">
        <v>506</v>
      </c>
      <c r="AB4" s="3675" t="s">
        <v>507</v>
      </c>
      <c r="AC4" s="3677" t="s">
        <v>508</v>
      </c>
    </row>
    <row r="5" spans="1:29" ht="15">
      <c r="A5" s="492"/>
      <c r="B5" s="493"/>
      <c r="C5" s="3696" t="s">
        <v>2631</v>
      </c>
      <c r="D5" s="3697"/>
      <c r="E5" s="3717" t="s">
        <v>2632</v>
      </c>
      <c r="F5" s="3718"/>
      <c r="G5" s="3696" t="s">
        <v>2633</v>
      </c>
      <c r="H5" s="3697"/>
      <c r="I5" s="3696" t="s">
        <v>2634</v>
      </c>
      <c r="J5" s="3697"/>
      <c r="K5" s="491"/>
      <c r="L5" s="1969"/>
      <c r="M5" s="1970"/>
      <c r="N5" s="1970"/>
      <c r="O5" s="1970"/>
      <c r="P5" s="3684"/>
      <c r="Q5" s="3685"/>
      <c r="R5" s="3690"/>
      <c r="S5" s="3691"/>
      <c r="T5" s="3690"/>
      <c r="U5" s="3691"/>
      <c r="V5" s="3675"/>
      <c r="W5" s="3675"/>
      <c r="X5" s="1457"/>
      <c r="Y5" s="3690"/>
      <c r="Z5" s="3691"/>
      <c r="AA5" s="3678"/>
      <c r="AB5" s="3675"/>
      <c r="AC5" s="3678"/>
    </row>
    <row r="6" spans="1:29" ht="15.75" thickBot="1">
      <c r="A6" s="494"/>
      <c r="B6" s="495"/>
      <c r="C6" s="3694" t="s">
        <v>2635</v>
      </c>
      <c r="D6" s="3695"/>
      <c r="E6" s="3713" t="s">
        <v>2635</v>
      </c>
      <c r="F6" s="3714"/>
      <c r="G6" s="3694" t="s">
        <v>2635</v>
      </c>
      <c r="H6" s="3695"/>
      <c r="I6" s="3694" t="s">
        <v>2635</v>
      </c>
      <c r="J6" s="3695"/>
      <c r="K6" s="491" t="s">
        <v>511</v>
      </c>
      <c r="L6" s="1969"/>
      <c r="M6" s="1970"/>
      <c r="N6" s="1970"/>
      <c r="O6" s="1970"/>
      <c r="P6" s="3686"/>
      <c r="Q6" s="3687"/>
      <c r="R6" s="3690"/>
      <c r="S6" s="3691"/>
      <c r="T6" s="3692"/>
      <c r="U6" s="3693"/>
      <c r="V6" s="3675"/>
      <c r="W6" s="3675"/>
      <c r="X6" s="1457"/>
      <c r="Y6" s="3692"/>
      <c r="Z6" s="3693"/>
      <c r="AA6" s="3679"/>
      <c r="AB6" s="3675"/>
      <c r="AC6" s="3679"/>
    </row>
    <row r="7" spans="1:29" s="1166" customFormat="1" ht="15.75" thickBot="1">
      <c r="A7" s="2551"/>
      <c r="B7" s="2558" t="s">
        <v>512</v>
      </c>
      <c r="C7" s="496">
        <f>'数据-取费表'!B2</f>
        <v>44756</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04" t="s">
        <v>513</v>
      </c>
      <c r="Q7" s="3706"/>
      <c r="R7" s="1458" t="s">
        <v>8</v>
      </c>
      <c r="S7" s="1459">
        <f t="shared" ref="S7:S15" si="0">F7</f>
        <v>0</v>
      </c>
      <c r="T7" s="1458" t="s">
        <v>8</v>
      </c>
      <c r="U7" s="1459">
        <f t="shared" ref="U7:U15" si="1">H7</f>
        <v>0</v>
      </c>
      <c r="V7" s="1458" t="s">
        <v>8</v>
      </c>
      <c r="W7" s="1459">
        <f t="shared" ref="W7:W15" si="2">J7</f>
        <v>0</v>
      </c>
      <c r="X7" s="1460"/>
      <c r="Y7" s="3704" t="s">
        <v>513</v>
      </c>
      <c r="Z7" s="3705"/>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04" t="s">
        <v>516</v>
      </c>
      <c r="Q8" s="3705"/>
      <c r="R8" s="1458" t="s">
        <v>8</v>
      </c>
      <c r="S8" s="1459">
        <f t="shared" si="0"/>
        <v>0</v>
      </c>
      <c r="T8" s="1458" t="s">
        <v>8</v>
      </c>
      <c r="U8" s="1459">
        <f t="shared" si="1"/>
        <v>0</v>
      </c>
      <c r="V8" s="1458" t="s">
        <v>8</v>
      </c>
      <c r="W8" s="1459">
        <f t="shared" si="2"/>
        <v>0</v>
      </c>
      <c r="X8" s="1460"/>
      <c r="Y8" s="3704" t="s">
        <v>516</v>
      </c>
      <c r="Z8" s="3705"/>
      <c r="AA8" s="1461" t="e">
        <f t="shared" ref="AA8:AA46" si="3">D8/F8</f>
        <v>#DIV/0!</v>
      </c>
      <c r="AB8" s="1461" t="e">
        <f t="shared" ref="AB8:AB46" si="4">D8/H8</f>
        <v>#DIV/0!</v>
      </c>
      <c r="AC8" s="1461" t="e">
        <f t="shared" ref="AC8:AC46" si="5">D8/J8</f>
        <v>#DIV/0!</v>
      </c>
    </row>
    <row r="9" spans="1:29" s="1166"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74" t="s">
        <v>518</v>
      </c>
      <c r="Q9" s="1097" t="str">
        <f t="shared" ref="Q9:Q15" si="6">B9</f>
        <v>用途</v>
      </c>
      <c r="R9" s="1458" t="s">
        <v>8</v>
      </c>
      <c r="S9" s="1459">
        <f t="shared" si="0"/>
        <v>100</v>
      </c>
      <c r="T9" s="1458" t="s">
        <v>8</v>
      </c>
      <c r="U9" s="1459">
        <f t="shared" si="1"/>
        <v>100</v>
      </c>
      <c r="V9" s="1458" t="s">
        <v>8</v>
      </c>
      <c r="W9" s="1459">
        <f t="shared" si="2"/>
        <v>100</v>
      </c>
      <c r="X9" s="1460"/>
      <c r="Y9" s="361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74"/>
      <c r="Q11" s="1097" t="str">
        <f t="shared" si="6"/>
        <v>容积率</v>
      </c>
      <c r="R11" s="1458" t="s">
        <v>8</v>
      </c>
      <c r="S11" s="1459" t="e">
        <f t="shared" si="0"/>
        <v>#N/A</v>
      </c>
      <c r="T11" s="1458" t="s">
        <v>8</v>
      </c>
      <c r="U11" s="1459" t="e">
        <f t="shared" si="1"/>
        <v>#N/A</v>
      </c>
      <c r="V11" s="1458" t="s">
        <v>8</v>
      </c>
      <c r="W11" s="1459" t="e">
        <f t="shared" si="2"/>
        <v>#N/A</v>
      </c>
      <c r="X11" s="1460"/>
      <c r="Y11" s="361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74"/>
      <c r="Q12" s="1097">
        <f t="shared" si="6"/>
        <v>111</v>
      </c>
      <c r="R12" s="1458" t="s">
        <v>8</v>
      </c>
      <c r="S12" s="1459">
        <f t="shared" si="0"/>
        <v>100</v>
      </c>
      <c r="T12" s="1458" t="s">
        <v>8</v>
      </c>
      <c r="U12" s="1459">
        <f t="shared" si="1"/>
        <v>100</v>
      </c>
      <c r="V12" s="1458" t="s">
        <v>8</v>
      </c>
      <c r="W12" s="1459">
        <f t="shared" si="2"/>
        <v>100</v>
      </c>
      <c r="X12" s="1460"/>
      <c r="Y12" s="3618"/>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74"/>
      <c r="Q13" s="1097">
        <f t="shared" si="6"/>
        <v>111</v>
      </c>
      <c r="R13" s="1458" t="s">
        <v>8</v>
      </c>
      <c r="S13" s="1459">
        <f t="shared" si="0"/>
        <v>100</v>
      </c>
      <c r="T13" s="1458" t="s">
        <v>8</v>
      </c>
      <c r="U13" s="1459">
        <f t="shared" si="1"/>
        <v>100</v>
      </c>
      <c r="V13" s="1458" t="s">
        <v>8</v>
      </c>
      <c r="W13" s="1459">
        <f t="shared" si="2"/>
        <v>100</v>
      </c>
      <c r="X13" s="1460"/>
      <c r="Y13" s="3618"/>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74"/>
      <c r="Q14" s="1097">
        <f t="shared" si="6"/>
        <v>111</v>
      </c>
      <c r="R14" s="1458" t="s">
        <v>8</v>
      </c>
      <c r="S14" s="1459">
        <f t="shared" si="0"/>
        <v>100</v>
      </c>
      <c r="T14" s="1458" t="s">
        <v>8</v>
      </c>
      <c r="U14" s="1459">
        <f t="shared" si="1"/>
        <v>100</v>
      </c>
      <c r="V14" s="1458" t="s">
        <v>8</v>
      </c>
      <c r="W14" s="1459">
        <f t="shared" si="2"/>
        <v>100</v>
      </c>
      <c r="X14" s="1460"/>
      <c r="Y14" s="3618"/>
      <c r="Z14" s="1096">
        <f t="shared" si="7"/>
        <v>111</v>
      </c>
      <c r="AA14" s="1461">
        <f t="shared" si="3"/>
        <v>1</v>
      </c>
      <c r="AB14" s="1461">
        <f t="shared" si="4"/>
        <v>1</v>
      </c>
      <c r="AC14" s="1461">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07" t="s">
        <v>523</v>
      </c>
      <c r="Q15" s="1462" t="str">
        <f t="shared" si="6"/>
        <v>商业繁华度</v>
      </c>
      <c r="R15" s="1463" t="s">
        <v>8</v>
      </c>
      <c r="S15" s="1464">
        <f t="shared" si="0"/>
        <v>100</v>
      </c>
      <c r="T15" s="1463" t="s">
        <v>8</v>
      </c>
      <c r="U15" s="1464">
        <f t="shared" si="1"/>
        <v>100</v>
      </c>
      <c r="V15" s="1463" t="s">
        <v>8</v>
      </c>
      <c r="W15" s="1464">
        <f t="shared" si="2"/>
        <v>100</v>
      </c>
      <c r="X15" s="1457"/>
      <c r="Y15" s="3707"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08"/>
      <c r="Q16" s="1462"/>
      <c r="R16" s="1463"/>
      <c r="S16" s="1464"/>
      <c r="T16" s="1463"/>
      <c r="U16" s="1464"/>
      <c r="V16" s="1463"/>
      <c r="W16" s="1464"/>
      <c r="X16" s="1457"/>
      <c r="Y16" s="3708"/>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08"/>
      <c r="Q17" s="1462" t="str">
        <f>B17</f>
        <v>交通便捷度</v>
      </c>
      <c r="R17" s="1463" t="s">
        <v>8</v>
      </c>
      <c r="S17" s="1464">
        <f>F17</f>
        <v>100</v>
      </c>
      <c r="T17" s="1463" t="s">
        <v>8</v>
      </c>
      <c r="U17" s="1464">
        <f>H17</f>
        <v>100</v>
      </c>
      <c r="V17" s="1463" t="s">
        <v>8</v>
      </c>
      <c r="W17" s="1464">
        <f>J17</f>
        <v>100</v>
      </c>
      <c r="X17" s="1457"/>
      <c r="Y17" s="3708"/>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08"/>
      <c r="Q18" s="1462"/>
      <c r="R18" s="1463"/>
      <c r="S18" s="1464"/>
      <c r="T18" s="1463"/>
      <c r="U18" s="1464"/>
      <c r="V18" s="1463"/>
      <c r="W18" s="1464"/>
      <c r="X18" s="1457"/>
      <c r="Y18" s="3708"/>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08"/>
      <c r="Q19" s="1462" t="str">
        <f>B19</f>
        <v>公共配套设施</v>
      </c>
      <c r="R19" s="1463" t="s">
        <v>8</v>
      </c>
      <c r="S19" s="1464">
        <f>F19</f>
        <v>100</v>
      </c>
      <c r="T19" s="1463" t="s">
        <v>8</v>
      </c>
      <c r="U19" s="1464">
        <f>H19</f>
        <v>100</v>
      </c>
      <c r="V19" s="1463" t="s">
        <v>8</v>
      </c>
      <c r="W19" s="1464">
        <f>J19</f>
        <v>100</v>
      </c>
      <c r="X19" s="1457"/>
      <c r="Y19" s="3708"/>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08"/>
      <c r="Q20" s="1462"/>
      <c r="R20" s="1463"/>
      <c r="S20" s="1464"/>
      <c r="T20" s="1463"/>
      <c r="U20" s="1464"/>
      <c r="V20" s="1463"/>
      <c r="W20" s="1464"/>
      <c r="X20" s="1457"/>
      <c r="Y20" s="3708"/>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08"/>
      <c r="Q21" s="2351" t="str">
        <f>B21</f>
        <v>基础设施水平</v>
      </c>
      <c r="R21" s="1463" t="s">
        <v>8</v>
      </c>
      <c r="S21" s="1464">
        <f>F21</f>
        <v>100</v>
      </c>
      <c r="T21" s="1463" t="s">
        <v>8</v>
      </c>
      <c r="U21" s="1464">
        <f>H21</f>
        <v>100</v>
      </c>
      <c r="V21" s="1463" t="s">
        <v>8</v>
      </c>
      <c r="W21" s="1464">
        <f>J21</f>
        <v>100</v>
      </c>
      <c r="X21" s="2353"/>
      <c r="Y21" s="3708"/>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08"/>
      <c r="Q22" s="2351"/>
      <c r="R22" s="1463"/>
      <c r="S22" s="1464"/>
      <c r="T22" s="1463"/>
      <c r="U22" s="1464"/>
      <c r="V22" s="1463"/>
      <c r="W22" s="1464"/>
      <c r="X22" s="2353"/>
      <c r="Y22" s="3708"/>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08"/>
      <c r="Q23" s="1462" t="str">
        <f>B23</f>
        <v>自然及人文环境</v>
      </c>
      <c r="R23" s="1463" t="s">
        <v>8</v>
      </c>
      <c r="S23" s="1464">
        <f>F23</f>
        <v>100</v>
      </c>
      <c r="T23" s="1463" t="s">
        <v>8</v>
      </c>
      <c r="U23" s="1464">
        <f>H23</f>
        <v>100</v>
      </c>
      <c r="V23" s="1463" t="s">
        <v>8</v>
      </c>
      <c r="W23" s="1464">
        <f>J23</f>
        <v>100</v>
      </c>
      <c r="X23" s="1457"/>
      <c r="Y23" s="3708"/>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08"/>
      <c r="Q24" s="1462"/>
      <c r="R24" s="1463"/>
      <c r="S24" s="1464"/>
      <c r="T24" s="1463"/>
      <c r="U24" s="1464"/>
      <c r="V24" s="1463"/>
      <c r="W24" s="1464"/>
      <c r="X24" s="1457"/>
      <c r="Y24" s="3708"/>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08"/>
      <c r="Q25" s="1462" t="str">
        <f t="shared" ref="Q25:Q46" si="11">B25</f>
        <v>临街状况</v>
      </c>
      <c r="R25" s="1463" t="s">
        <v>8</v>
      </c>
      <c r="S25" s="1464">
        <f>F25</f>
        <v>100</v>
      </c>
      <c r="T25" s="1463" t="s">
        <v>8</v>
      </c>
      <c r="U25" s="1464">
        <f>H25</f>
        <v>100</v>
      </c>
      <c r="V25" s="1463" t="s">
        <v>8</v>
      </c>
      <c r="W25" s="1464">
        <f>J25</f>
        <v>100</v>
      </c>
      <c r="X25" s="1457"/>
      <c r="Y25" s="3708"/>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08"/>
      <c r="Q26" s="1462" t="str">
        <f t="shared" si="11"/>
        <v>平面位置/可视性</v>
      </c>
      <c r="R26" s="1463" t="s">
        <v>8</v>
      </c>
      <c r="S26" s="1464">
        <f>F26</f>
        <v>100</v>
      </c>
      <c r="T26" s="1463" t="s">
        <v>8</v>
      </c>
      <c r="U26" s="1464">
        <f>H26</f>
        <v>100</v>
      </c>
      <c r="V26" s="1463" t="s">
        <v>8</v>
      </c>
      <c r="W26" s="1464">
        <f>J26</f>
        <v>100</v>
      </c>
      <c r="X26" s="1457"/>
      <c r="Y26" s="3708"/>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08"/>
      <c r="Q27" s="1097" t="str">
        <f t="shared" si="11"/>
        <v>人流量</v>
      </c>
      <c r="R27" s="1458" t="s">
        <v>8</v>
      </c>
      <c r="S27" s="1459">
        <f>F27</f>
        <v>100</v>
      </c>
      <c r="T27" s="1458" t="s">
        <v>8</v>
      </c>
      <c r="U27" s="1459">
        <f>H27</f>
        <v>100</v>
      </c>
      <c r="V27" s="1458" t="s">
        <v>8</v>
      </c>
      <c r="W27" s="1459">
        <f>J27</f>
        <v>100</v>
      </c>
      <c r="X27" s="1460"/>
      <c r="Y27" s="3708"/>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08"/>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08"/>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08"/>
      <c r="Q29" s="1462">
        <f t="shared" si="11"/>
        <v>111</v>
      </c>
      <c r="R29" s="1463" t="s">
        <v>8</v>
      </c>
      <c r="S29" s="1464">
        <f t="shared" si="12"/>
        <v>100</v>
      </c>
      <c r="T29" s="1463" t="s">
        <v>8</v>
      </c>
      <c r="U29" s="1464">
        <f t="shared" si="13"/>
        <v>100</v>
      </c>
      <c r="V29" s="1463" t="s">
        <v>8</v>
      </c>
      <c r="W29" s="1464">
        <f t="shared" si="14"/>
        <v>100</v>
      </c>
      <c r="X29" s="1457"/>
      <c r="Y29" s="3708"/>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08"/>
      <c r="Q30" s="1462">
        <f t="shared" si="11"/>
        <v>111</v>
      </c>
      <c r="R30" s="1463" t="s">
        <v>8</v>
      </c>
      <c r="S30" s="1464">
        <f t="shared" si="12"/>
        <v>100</v>
      </c>
      <c r="T30" s="1463" t="s">
        <v>8</v>
      </c>
      <c r="U30" s="1464">
        <f t="shared" si="13"/>
        <v>100</v>
      </c>
      <c r="V30" s="1463" t="s">
        <v>8</v>
      </c>
      <c r="W30" s="1464">
        <f t="shared" si="14"/>
        <v>100</v>
      </c>
      <c r="X30" s="1457"/>
      <c r="Y30" s="3708"/>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08"/>
      <c r="Q31" s="1462">
        <f t="shared" si="11"/>
        <v>111</v>
      </c>
      <c r="R31" s="1463" t="s">
        <v>8</v>
      </c>
      <c r="S31" s="1464">
        <f t="shared" si="12"/>
        <v>100</v>
      </c>
      <c r="T31" s="1463" t="s">
        <v>8</v>
      </c>
      <c r="U31" s="1464">
        <f t="shared" si="13"/>
        <v>100</v>
      </c>
      <c r="V31" s="1463" t="s">
        <v>8</v>
      </c>
      <c r="W31" s="1464">
        <f t="shared" si="14"/>
        <v>100</v>
      </c>
      <c r="X31" s="1457"/>
      <c r="Y31" s="3708"/>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09" t="s">
        <v>533</v>
      </c>
      <c r="Q32" s="1462" t="str">
        <f t="shared" si="11"/>
        <v>商业类型</v>
      </c>
      <c r="R32" s="1463" t="s">
        <v>8</v>
      </c>
      <c r="S32" s="1464">
        <f t="shared" si="12"/>
        <v>100</v>
      </c>
      <c r="T32" s="1463" t="s">
        <v>8</v>
      </c>
      <c r="U32" s="1464">
        <f t="shared" si="13"/>
        <v>100</v>
      </c>
      <c r="V32" s="1463" t="s">
        <v>8</v>
      </c>
      <c r="W32" s="1464">
        <f t="shared" si="14"/>
        <v>100</v>
      </c>
      <c r="X32" s="1457"/>
      <c r="Y32" s="3710"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10"/>
      <c r="Q33" s="1491" t="str">
        <f t="shared" si="11"/>
        <v>项目建筑规模</v>
      </c>
      <c r="R33" s="1467" t="s">
        <v>8</v>
      </c>
      <c r="S33" s="1468" t="e">
        <f t="shared" si="12"/>
        <v>#N/A</v>
      </c>
      <c r="T33" s="1467" t="s">
        <v>8</v>
      </c>
      <c r="U33" s="1468" t="e">
        <f t="shared" si="13"/>
        <v>#N/A</v>
      </c>
      <c r="V33" s="1467" t="s">
        <v>8</v>
      </c>
      <c r="W33" s="1468" t="e">
        <f t="shared" si="14"/>
        <v>#N/A</v>
      </c>
      <c r="X33" s="1469"/>
      <c r="Y33" s="3710"/>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10"/>
      <c r="Q34" s="1462" t="str">
        <f t="shared" si="11"/>
        <v>建筑结构</v>
      </c>
      <c r="R34" s="1463" t="s">
        <v>8</v>
      </c>
      <c r="S34" s="1464">
        <f t="shared" si="12"/>
        <v>100</v>
      </c>
      <c r="T34" s="1463" t="s">
        <v>8</v>
      </c>
      <c r="U34" s="1464">
        <f t="shared" si="13"/>
        <v>100</v>
      </c>
      <c r="V34" s="1463" t="s">
        <v>8</v>
      </c>
      <c r="W34" s="1464">
        <f t="shared" si="14"/>
        <v>100</v>
      </c>
      <c r="X34" s="1457"/>
      <c r="Y34" s="3710"/>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10"/>
      <c r="Q35" s="1462" t="str">
        <f t="shared" si="11"/>
        <v>公共部分装修</v>
      </c>
      <c r="R35" s="1463" t="s">
        <v>8</v>
      </c>
      <c r="S35" s="1464">
        <f t="shared" si="12"/>
        <v>100</v>
      </c>
      <c r="T35" s="1463" t="s">
        <v>8</v>
      </c>
      <c r="U35" s="1464">
        <f t="shared" si="13"/>
        <v>100</v>
      </c>
      <c r="V35" s="1463" t="s">
        <v>8</v>
      </c>
      <c r="W35" s="1464">
        <f t="shared" si="14"/>
        <v>100</v>
      </c>
      <c r="X35" s="1457"/>
      <c r="Y35" s="3710"/>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10"/>
      <c r="Q36" s="1462" t="str">
        <f t="shared" si="11"/>
        <v>成新度</v>
      </c>
      <c r="R36" s="1463" t="s">
        <v>8</v>
      </c>
      <c r="S36" s="1464" t="e">
        <f t="shared" si="12"/>
        <v>#N/A</v>
      </c>
      <c r="T36" s="1463" t="s">
        <v>8</v>
      </c>
      <c r="U36" s="1464" t="e">
        <f t="shared" si="13"/>
        <v>#N/A</v>
      </c>
      <c r="V36" s="1463" t="s">
        <v>8</v>
      </c>
      <c r="W36" s="1464" t="e">
        <f t="shared" si="14"/>
        <v>#N/A</v>
      </c>
      <c r="X36" s="1457"/>
      <c r="Y36" s="3710"/>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10"/>
      <c r="Q37" s="1097" t="str">
        <f t="shared" si="11"/>
        <v>市政基础设施</v>
      </c>
      <c r="R37" s="1458" t="s">
        <v>8</v>
      </c>
      <c r="S37" s="1459">
        <f t="shared" si="12"/>
        <v>100</v>
      </c>
      <c r="T37" s="1458" t="s">
        <v>8</v>
      </c>
      <c r="U37" s="1459">
        <f t="shared" si="13"/>
        <v>100</v>
      </c>
      <c r="V37" s="1458" t="s">
        <v>8</v>
      </c>
      <c r="W37" s="1459">
        <f t="shared" si="14"/>
        <v>100</v>
      </c>
      <c r="X37" s="1460"/>
      <c r="Y37" s="3710"/>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10" t="s">
        <v>748</v>
      </c>
      <c r="Q38" s="1462" t="str">
        <f t="shared" si="11"/>
        <v>业态</v>
      </c>
      <c r="R38" s="1463" t="s">
        <v>8</v>
      </c>
      <c r="S38" s="1464">
        <f t="shared" si="12"/>
        <v>100</v>
      </c>
      <c r="T38" s="1463" t="s">
        <v>8</v>
      </c>
      <c r="U38" s="1464">
        <f t="shared" si="13"/>
        <v>100</v>
      </c>
      <c r="V38" s="1463" t="s">
        <v>8</v>
      </c>
      <c r="W38" s="1464">
        <f t="shared" si="14"/>
        <v>100</v>
      </c>
      <c r="X38" s="1457"/>
      <c r="Y38" s="3710"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10"/>
      <c r="Q39" s="1462" t="str">
        <f t="shared" si="11"/>
        <v>层高</v>
      </c>
      <c r="R39" s="1463" t="s">
        <v>8</v>
      </c>
      <c r="S39" s="1464">
        <f t="shared" si="12"/>
        <v>100</v>
      </c>
      <c r="T39" s="1463" t="s">
        <v>8</v>
      </c>
      <c r="U39" s="1464">
        <f t="shared" si="13"/>
        <v>100</v>
      </c>
      <c r="V39" s="1463" t="s">
        <v>8</v>
      </c>
      <c r="W39" s="1464">
        <f t="shared" si="14"/>
        <v>100</v>
      </c>
      <c r="X39" s="1457"/>
      <c r="Y39" s="3710"/>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10"/>
      <c r="Q40" s="1462" t="str">
        <f t="shared" si="11"/>
        <v>单套建筑面积</v>
      </c>
      <c r="R40" s="1463" t="s">
        <v>8</v>
      </c>
      <c r="S40" s="1464">
        <f t="shared" si="12"/>
        <v>100</v>
      </c>
      <c r="T40" s="1463" t="s">
        <v>8</v>
      </c>
      <c r="U40" s="1464">
        <f t="shared" si="13"/>
        <v>100</v>
      </c>
      <c r="V40" s="1463" t="s">
        <v>8</v>
      </c>
      <c r="W40" s="1464">
        <f t="shared" si="14"/>
        <v>100</v>
      </c>
      <c r="X40" s="1457"/>
      <c r="Y40" s="3710"/>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10"/>
      <c r="Q41" s="1491" t="str">
        <f t="shared" si="11"/>
        <v>进深比</v>
      </c>
      <c r="R41" s="1467" t="s">
        <v>8</v>
      </c>
      <c r="S41" s="1468">
        <f t="shared" si="12"/>
        <v>100</v>
      </c>
      <c r="T41" s="1467" t="s">
        <v>8</v>
      </c>
      <c r="U41" s="1468">
        <f t="shared" si="13"/>
        <v>100</v>
      </c>
      <c r="V41" s="1467" t="s">
        <v>8</v>
      </c>
      <c r="W41" s="1468">
        <f t="shared" si="14"/>
        <v>100</v>
      </c>
      <c r="X41" s="1469"/>
      <c r="Y41" s="3710"/>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10"/>
      <c r="Q42" s="1462" t="str">
        <f t="shared" si="11"/>
        <v>内部装修</v>
      </c>
      <c r="R42" s="1463" t="s">
        <v>8</v>
      </c>
      <c r="S42" s="1464">
        <f t="shared" si="12"/>
        <v>100</v>
      </c>
      <c r="T42" s="1463" t="s">
        <v>8</v>
      </c>
      <c r="U42" s="1464">
        <f t="shared" si="13"/>
        <v>100</v>
      </c>
      <c r="V42" s="1463" t="s">
        <v>8</v>
      </c>
      <c r="W42" s="1464">
        <f t="shared" si="14"/>
        <v>100</v>
      </c>
      <c r="X42" s="1457"/>
      <c r="Y42" s="3710"/>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10"/>
      <c r="Q43" s="1462" t="str">
        <f t="shared" si="11"/>
        <v>内部装修维护情况</v>
      </c>
      <c r="R43" s="1463" t="s">
        <v>8</v>
      </c>
      <c r="S43" s="1464">
        <f t="shared" si="12"/>
        <v>100</v>
      </c>
      <c r="T43" s="1463" t="s">
        <v>8</v>
      </c>
      <c r="U43" s="1464">
        <f t="shared" si="13"/>
        <v>100</v>
      </c>
      <c r="V43" s="1463" t="s">
        <v>8</v>
      </c>
      <c r="W43" s="1464">
        <f t="shared" si="14"/>
        <v>100</v>
      </c>
      <c r="X43" s="1457"/>
      <c r="Y43" s="3710"/>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10"/>
      <c r="Q44" s="1097">
        <f t="shared" si="11"/>
        <v>111</v>
      </c>
      <c r="R44" s="1458" t="s">
        <v>8</v>
      </c>
      <c r="S44" s="1459">
        <f t="shared" si="12"/>
        <v>100</v>
      </c>
      <c r="T44" s="1458" t="s">
        <v>8</v>
      </c>
      <c r="U44" s="1459">
        <f t="shared" si="13"/>
        <v>100</v>
      </c>
      <c r="V44" s="1458" t="s">
        <v>8</v>
      </c>
      <c r="W44" s="1459">
        <f t="shared" si="14"/>
        <v>100</v>
      </c>
      <c r="X44" s="1460"/>
      <c r="Y44" s="3710"/>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10"/>
      <c r="Q45" s="1462">
        <f t="shared" si="11"/>
        <v>111</v>
      </c>
      <c r="R45" s="1463" t="s">
        <v>8</v>
      </c>
      <c r="S45" s="1464">
        <f t="shared" si="12"/>
        <v>100</v>
      </c>
      <c r="T45" s="1463" t="s">
        <v>8</v>
      </c>
      <c r="U45" s="1464">
        <f t="shared" si="13"/>
        <v>100</v>
      </c>
      <c r="V45" s="1463" t="s">
        <v>8</v>
      </c>
      <c r="W45" s="1464">
        <f t="shared" si="14"/>
        <v>100</v>
      </c>
      <c r="X45" s="1457"/>
      <c r="Y45" s="3710"/>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03"/>
      <c r="Q46" s="1462">
        <f t="shared" si="11"/>
        <v>111</v>
      </c>
      <c r="R46" s="1463" t="s">
        <v>8</v>
      </c>
      <c r="S46" s="1464">
        <f t="shared" si="12"/>
        <v>100</v>
      </c>
      <c r="T46" s="1463" t="s">
        <v>8</v>
      </c>
      <c r="U46" s="1464">
        <f t="shared" si="13"/>
        <v>100</v>
      </c>
      <c r="V46" s="1463" t="s">
        <v>8</v>
      </c>
      <c r="W46" s="1464">
        <f t="shared" si="14"/>
        <v>100</v>
      </c>
      <c r="X46" s="1457"/>
      <c r="Y46" s="3803"/>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74" t="str">
        <f>A47</f>
        <v>成交单价（元/平方米）</v>
      </c>
      <c r="Q47" s="3674"/>
      <c r="R47" s="3802">
        <f>E47</f>
        <v>0</v>
      </c>
      <c r="S47" s="3802"/>
      <c r="T47" s="3802">
        <f>G47</f>
        <v>0</v>
      </c>
      <c r="U47" s="3802"/>
      <c r="V47" s="3802">
        <f>I47</f>
        <v>0</v>
      </c>
      <c r="W47" s="3802"/>
      <c r="X47" s="1452"/>
      <c r="Y47" s="1471"/>
      <c r="Z47" s="1452"/>
      <c r="AA47" s="1452"/>
      <c r="AB47" s="1452"/>
      <c r="AC47" s="1452"/>
    </row>
    <row r="48" spans="1:29" ht="15.75" thickBot="1">
      <c r="A48" s="592"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74" t="str">
        <f>A48</f>
        <v>比较价格（元/平方米）</v>
      </c>
      <c r="Q48" s="3674"/>
      <c r="R48" s="3802" t="e">
        <f>IF(F1="售价",ROUND(PRODUCT(R47,AA7:AA46),0),ROUND(PRODUCT(R47,AA7:AA46),1))</f>
        <v>#DIV/0!</v>
      </c>
      <c r="S48" s="3802"/>
      <c r="T48" s="3802" t="e">
        <f>IF(F1="售价",ROUND(PRODUCT(T47,AB7:AB46),0),ROUND(PRODUCT(T47,AB7:AB46),1))</f>
        <v>#DIV/0!</v>
      </c>
      <c r="U48" s="3802"/>
      <c r="V48" s="3802" t="e">
        <f>IF(F1="售价",ROUND(PRODUCT(V47,AC7:AC46),0),ROUND(PRODUCT(V47,AC7:AC46),1))</f>
        <v>#DIV/0!</v>
      </c>
      <c r="W48" s="3802"/>
      <c r="X48" s="1452"/>
      <c r="Y48" s="1452"/>
      <c r="Z48" s="1452"/>
      <c r="AA48" s="1452"/>
      <c r="AB48" s="1452"/>
      <c r="AC48" s="1452"/>
    </row>
    <row r="49" spans="1:29" ht="15.75" thickBot="1">
      <c r="A49" s="596" t="s">
        <v>2637</v>
      </c>
      <c r="B49" s="597"/>
      <c r="C49" s="2400" t="e">
        <f>R49</f>
        <v>#DIV/0!</v>
      </c>
      <c r="D49" s="2400"/>
      <c r="E49" s="2400"/>
      <c r="F49" s="2400"/>
      <c r="G49" s="2400"/>
      <c r="H49" s="2400"/>
      <c r="I49" s="2400"/>
      <c r="J49" s="2400"/>
      <c r="K49" s="1497"/>
      <c r="L49" s="1980"/>
      <c r="M49" s="1981"/>
      <c r="N49" s="1970"/>
      <c r="O49" s="1981"/>
      <c r="P49" s="3711" t="str">
        <f>A49</f>
        <v>估价对象XX用房的比较价格（楼面单价，元/平方米）</v>
      </c>
      <c r="Q49" s="3712"/>
      <c r="R49" s="3801" t="e">
        <f>IF(F1="售价",ROUND(IF(D48="简单平均",AVERAGE(R48:V48),R48*F48+T48*H48+V48*J48),0),ROUND(IF(D48="简单平均",AVERAGE(R48:V48),R48*F48+T48*H48+V48*J48),1))</f>
        <v>#DIV/0!</v>
      </c>
      <c r="S49" s="3801"/>
      <c r="T49" s="3801"/>
      <c r="U49" s="3801"/>
      <c r="V49" s="3801"/>
      <c r="W49" s="3801"/>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80" t="s">
        <v>505</v>
      </c>
      <c r="D4" s="3681"/>
      <c r="E4" s="3715" t="s">
        <v>506</v>
      </c>
      <c r="F4" s="3716"/>
      <c r="G4" s="3680" t="s">
        <v>507</v>
      </c>
      <c r="H4" s="3681"/>
      <c r="I4" s="3680" t="s">
        <v>508</v>
      </c>
      <c r="J4" s="3681"/>
      <c r="K4" s="491" t="s">
        <v>509</v>
      </c>
      <c r="L4" s="1969"/>
      <c r="M4" s="1970"/>
      <c r="N4" s="1970"/>
      <c r="O4" s="1970"/>
      <c r="P4" s="3807" t="s">
        <v>510</v>
      </c>
      <c r="Q4" s="3683"/>
      <c r="R4" s="3688" t="s">
        <v>506</v>
      </c>
      <c r="S4" s="3689"/>
      <c r="T4" s="3688" t="s">
        <v>507</v>
      </c>
      <c r="U4" s="3689"/>
      <c r="V4" s="3675" t="s">
        <v>508</v>
      </c>
      <c r="W4" s="3675"/>
      <c r="X4" s="1457"/>
      <c r="Y4" s="3688" t="s">
        <v>510</v>
      </c>
      <c r="Z4" s="3689"/>
      <c r="AA4" s="3677" t="s">
        <v>506</v>
      </c>
      <c r="AB4" s="3677" t="s">
        <v>507</v>
      </c>
      <c r="AC4" s="3677" t="s">
        <v>508</v>
      </c>
    </row>
    <row r="5" spans="1:29" ht="15">
      <c r="A5" s="492"/>
      <c r="B5" s="493"/>
      <c r="C5" s="3696" t="s">
        <v>2631</v>
      </c>
      <c r="D5" s="3697"/>
      <c r="E5" s="3717" t="s">
        <v>2632</v>
      </c>
      <c r="F5" s="3718"/>
      <c r="G5" s="3696" t="s">
        <v>2633</v>
      </c>
      <c r="H5" s="3697"/>
      <c r="I5" s="3696" t="s">
        <v>2634</v>
      </c>
      <c r="J5" s="3697"/>
      <c r="K5" s="491"/>
      <c r="L5" s="1969"/>
      <c r="M5" s="1970"/>
      <c r="N5" s="1970"/>
      <c r="O5" s="1970"/>
      <c r="P5" s="3808"/>
      <c r="Q5" s="3685"/>
      <c r="R5" s="3690"/>
      <c r="S5" s="3691"/>
      <c r="T5" s="3690"/>
      <c r="U5" s="3691"/>
      <c r="V5" s="3675"/>
      <c r="W5" s="3675"/>
      <c r="X5" s="1457"/>
      <c r="Y5" s="3690"/>
      <c r="Z5" s="3691"/>
      <c r="AA5" s="3678"/>
      <c r="AB5" s="3678"/>
      <c r="AC5" s="3678"/>
    </row>
    <row r="6" spans="1:29" ht="15.75" thickBot="1">
      <c r="A6" s="494"/>
      <c r="B6" s="495"/>
      <c r="C6" s="3694" t="s">
        <v>2635</v>
      </c>
      <c r="D6" s="3695"/>
      <c r="E6" s="3713" t="s">
        <v>2635</v>
      </c>
      <c r="F6" s="3714"/>
      <c r="G6" s="3694" t="s">
        <v>2635</v>
      </c>
      <c r="H6" s="3695"/>
      <c r="I6" s="3694" t="s">
        <v>2635</v>
      </c>
      <c r="J6" s="3695"/>
      <c r="K6" s="491" t="s">
        <v>511</v>
      </c>
      <c r="L6" s="1969"/>
      <c r="M6" s="1970"/>
      <c r="N6" s="1970"/>
      <c r="O6" s="1970"/>
      <c r="P6" s="3809"/>
      <c r="Q6" s="3687"/>
      <c r="R6" s="3690"/>
      <c r="S6" s="3691"/>
      <c r="T6" s="3692"/>
      <c r="U6" s="3693"/>
      <c r="V6" s="3675"/>
      <c r="W6" s="3675"/>
      <c r="X6" s="1457"/>
      <c r="Y6" s="3692"/>
      <c r="Z6" s="3693"/>
      <c r="AA6" s="3679"/>
      <c r="AB6" s="3679"/>
      <c r="AC6" s="3679"/>
    </row>
    <row r="7" spans="1:29" s="1166" customFormat="1" ht="15.75" thickBot="1">
      <c r="A7" s="2551"/>
      <c r="B7" s="2558" t="s">
        <v>512</v>
      </c>
      <c r="C7" s="496">
        <f>'数据-取费表'!B2</f>
        <v>44756</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06" t="s">
        <v>513</v>
      </c>
      <c r="Q7" s="3706"/>
      <c r="R7" s="1458" t="s">
        <v>8</v>
      </c>
      <c r="S7" s="1459">
        <f t="shared" ref="S7:S15" si="0">F7</f>
        <v>0</v>
      </c>
      <c r="T7" s="1458" t="s">
        <v>8</v>
      </c>
      <c r="U7" s="1459">
        <f t="shared" ref="U7:U15" si="1">H7</f>
        <v>0</v>
      </c>
      <c r="V7" s="1458" t="s">
        <v>8</v>
      </c>
      <c r="W7" s="1459">
        <f t="shared" ref="W7:W15" si="2">J7</f>
        <v>0</v>
      </c>
      <c r="X7" s="1460"/>
      <c r="Y7" s="3704" t="s">
        <v>513</v>
      </c>
      <c r="Z7" s="3705"/>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06" t="s">
        <v>516</v>
      </c>
      <c r="Q8" s="3705"/>
      <c r="R8" s="1458" t="s">
        <v>8</v>
      </c>
      <c r="S8" s="1459">
        <f t="shared" si="0"/>
        <v>0</v>
      </c>
      <c r="T8" s="1458" t="s">
        <v>8</v>
      </c>
      <c r="U8" s="1459">
        <f t="shared" si="1"/>
        <v>0</v>
      </c>
      <c r="V8" s="1458" t="s">
        <v>8</v>
      </c>
      <c r="W8" s="1459">
        <f t="shared" si="2"/>
        <v>0</v>
      </c>
      <c r="X8" s="1460"/>
      <c r="Y8" s="3704" t="s">
        <v>516</v>
      </c>
      <c r="Z8" s="3705"/>
      <c r="AA8" s="1461" t="e">
        <f t="shared" ref="AA8:AA47" si="3">D8/F8</f>
        <v>#DIV/0!</v>
      </c>
      <c r="AB8" s="1461" t="e">
        <f t="shared" ref="AB8:AB47" si="4">D8/H8</f>
        <v>#DIV/0!</v>
      </c>
      <c r="AC8" s="1461" t="e">
        <f t="shared" ref="AC8:AC47" si="5">D8/J8</f>
        <v>#DIV/0!</v>
      </c>
    </row>
    <row r="9" spans="1:29" s="1166"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74" t="s">
        <v>518</v>
      </c>
      <c r="Q9" s="1097" t="str">
        <f t="shared" ref="Q9:Q15" si="6">B9</f>
        <v>用途</v>
      </c>
      <c r="R9" s="1458" t="s">
        <v>8</v>
      </c>
      <c r="S9" s="1459">
        <f t="shared" si="0"/>
        <v>100</v>
      </c>
      <c r="T9" s="1458" t="s">
        <v>8</v>
      </c>
      <c r="U9" s="1459">
        <f t="shared" si="1"/>
        <v>100</v>
      </c>
      <c r="V9" s="1458" t="s">
        <v>8</v>
      </c>
      <c r="W9" s="1459">
        <f t="shared" si="2"/>
        <v>100</v>
      </c>
      <c r="X9" s="1460"/>
      <c r="Y9" s="361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74"/>
      <c r="Q11" s="1097" t="str">
        <f t="shared" si="6"/>
        <v>容积率</v>
      </c>
      <c r="R11" s="1458" t="s">
        <v>8</v>
      </c>
      <c r="S11" s="1459" t="e">
        <f t="shared" si="0"/>
        <v>#N/A</v>
      </c>
      <c r="T11" s="1458" t="s">
        <v>8</v>
      </c>
      <c r="U11" s="1459" t="e">
        <f t="shared" si="1"/>
        <v>#N/A</v>
      </c>
      <c r="V11" s="1458" t="s">
        <v>8</v>
      </c>
      <c r="W11" s="1459" t="e">
        <f t="shared" si="2"/>
        <v>#N/A</v>
      </c>
      <c r="X11" s="1460"/>
      <c r="Y11" s="361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74"/>
      <c r="Q12" s="1097">
        <f t="shared" si="6"/>
        <v>111</v>
      </c>
      <c r="R12" s="1458" t="s">
        <v>8</v>
      </c>
      <c r="S12" s="1459">
        <f t="shared" si="0"/>
        <v>100</v>
      </c>
      <c r="T12" s="1458" t="s">
        <v>8</v>
      </c>
      <c r="U12" s="1459">
        <f t="shared" si="1"/>
        <v>100</v>
      </c>
      <c r="V12" s="1458" t="s">
        <v>8</v>
      </c>
      <c r="W12" s="1459">
        <f t="shared" si="2"/>
        <v>100</v>
      </c>
      <c r="X12" s="1460"/>
      <c r="Y12" s="3618"/>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74"/>
      <c r="Q13" s="1097">
        <f t="shared" si="6"/>
        <v>111</v>
      </c>
      <c r="R13" s="1458" t="s">
        <v>8</v>
      </c>
      <c r="S13" s="1459">
        <f t="shared" si="0"/>
        <v>100</v>
      </c>
      <c r="T13" s="1458" t="s">
        <v>8</v>
      </c>
      <c r="U13" s="1459">
        <f t="shared" si="1"/>
        <v>100</v>
      </c>
      <c r="V13" s="1458" t="s">
        <v>8</v>
      </c>
      <c r="W13" s="1459">
        <f t="shared" si="2"/>
        <v>100</v>
      </c>
      <c r="X13" s="1460"/>
      <c r="Y13" s="3618"/>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74"/>
      <c r="Q14" s="1097">
        <f t="shared" si="6"/>
        <v>111</v>
      </c>
      <c r="R14" s="1458" t="s">
        <v>8</v>
      </c>
      <c r="S14" s="1459">
        <f t="shared" si="0"/>
        <v>100</v>
      </c>
      <c r="T14" s="1458" t="s">
        <v>8</v>
      </c>
      <c r="U14" s="1459">
        <f t="shared" si="1"/>
        <v>100</v>
      </c>
      <c r="V14" s="1458" t="s">
        <v>8</v>
      </c>
      <c r="W14" s="1459">
        <f t="shared" si="2"/>
        <v>100</v>
      </c>
      <c r="X14" s="1460"/>
      <c r="Y14" s="3618"/>
      <c r="Z14" s="1096">
        <f t="shared" si="7"/>
        <v>111</v>
      </c>
      <c r="AA14" s="1461">
        <f t="shared" si="3"/>
        <v>1</v>
      </c>
      <c r="AB14" s="1461">
        <f t="shared" si="4"/>
        <v>1</v>
      </c>
      <c r="AC14" s="1461">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07" t="s">
        <v>523</v>
      </c>
      <c r="Q15" s="1462" t="str">
        <f t="shared" si="6"/>
        <v>办公集聚程度</v>
      </c>
      <c r="R15" s="1463" t="s">
        <v>8</v>
      </c>
      <c r="S15" s="1464">
        <f t="shared" si="0"/>
        <v>100</v>
      </c>
      <c r="T15" s="1463" t="s">
        <v>8</v>
      </c>
      <c r="U15" s="1464">
        <f t="shared" si="1"/>
        <v>100</v>
      </c>
      <c r="V15" s="1463" t="s">
        <v>8</v>
      </c>
      <c r="W15" s="1464">
        <f t="shared" si="2"/>
        <v>100</v>
      </c>
      <c r="X15" s="1457"/>
      <c r="Y15" s="3707"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08"/>
      <c r="Q16" s="1462"/>
      <c r="R16" s="1463"/>
      <c r="S16" s="1464"/>
      <c r="T16" s="1463"/>
      <c r="U16" s="1464"/>
      <c r="V16" s="1463"/>
      <c r="W16" s="1464"/>
      <c r="X16" s="1457"/>
      <c r="Y16" s="3708"/>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08"/>
      <c r="Q17" s="1462" t="str">
        <f>B17</f>
        <v>交通便捷度</v>
      </c>
      <c r="R17" s="1463" t="s">
        <v>8</v>
      </c>
      <c r="S17" s="1464">
        <f>F17</f>
        <v>100</v>
      </c>
      <c r="T17" s="1463" t="s">
        <v>8</v>
      </c>
      <c r="U17" s="1464">
        <f>H17</f>
        <v>100</v>
      </c>
      <c r="V17" s="1463" t="s">
        <v>8</v>
      </c>
      <c r="W17" s="1464">
        <f>J17</f>
        <v>100</v>
      </c>
      <c r="X17" s="1457"/>
      <c r="Y17" s="3708"/>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08"/>
      <c r="Q18" s="1462"/>
      <c r="R18" s="1463"/>
      <c r="S18" s="1464"/>
      <c r="T18" s="1463"/>
      <c r="U18" s="1464"/>
      <c r="V18" s="1463"/>
      <c r="W18" s="1464"/>
      <c r="X18" s="1457"/>
      <c r="Y18" s="3708"/>
      <c r="Z18" s="1465"/>
      <c r="AA18" s="1466">
        <v>1</v>
      </c>
      <c r="AB18" s="1466">
        <v>1</v>
      </c>
      <c r="AC18" s="1466">
        <v>1</v>
      </c>
    </row>
    <row r="19" spans="1:29" ht="42.75">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08"/>
      <c r="Q19" s="1462" t="str">
        <f>B19</f>
        <v>公共配套设施</v>
      </c>
      <c r="R19" s="1463" t="s">
        <v>8</v>
      </c>
      <c r="S19" s="1464">
        <f>F19</f>
        <v>100</v>
      </c>
      <c r="T19" s="1463" t="s">
        <v>8</v>
      </c>
      <c r="U19" s="1464">
        <f>H19</f>
        <v>100</v>
      </c>
      <c r="V19" s="1463" t="s">
        <v>8</v>
      </c>
      <c r="W19" s="1464">
        <f>J19</f>
        <v>100</v>
      </c>
      <c r="X19" s="1457"/>
      <c r="Y19" s="3708"/>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08"/>
      <c r="Q20" s="1462"/>
      <c r="R20" s="1463"/>
      <c r="S20" s="1464"/>
      <c r="T20" s="1463"/>
      <c r="U20" s="1464"/>
      <c r="V20" s="1463"/>
      <c r="W20" s="1464"/>
      <c r="X20" s="1457"/>
      <c r="Y20" s="3708"/>
      <c r="Z20" s="1465"/>
      <c r="AA20" s="1466">
        <v>1</v>
      </c>
      <c r="AB20" s="1466">
        <v>1</v>
      </c>
      <c r="AC20" s="1466">
        <v>1</v>
      </c>
    </row>
    <row r="21" spans="1:29" ht="28.5">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08"/>
      <c r="Q21" s="2351" t="str">
        <f>B21</f>
        <v>基础设施水平</v>
      </c>
      <c r="R21" s="1463" t="s">
        <v>8</v>
      </c>
      <c r="S21" s="1464">
        <f>F21</f>
        <v>100</v>
      </c>
      <c r="T21" s="1463" t="s">
        <v>8</v>
      </c>
      <c r="U21" s="1464">
        <f>H21</f>
        <v>100</v>
      </c>
      <c r="V21" s="1463" t="s">
        <v>8</v>
      </c>
      <c r="W21" s="1464">
        <f>J21</f>
        <v>100</v>
      </c>
      <c r="X21" s="2353"/>
      <c r="Y21" s="3708"/>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08"/>
      <c r="Q22" s="2351"/>
      <c r="R22" s="1463"/>
      <c r="S22" s="1464"/>
      <c r="T22" s="1463"/>
      <c r="U22" s="1464"/>
      <c r="V22" s="1463"/>
      <c r="W22" s="1464"/>
      <c r="X22" s="2353"/>
      <c r="Y22" s="3708"/>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08"/>
      <c r="Q23" s="1462" t="str">
        <f>B23</f>
        <v>环境质量</v>
      </c>
      <c r="R23" s="1463" t="s">
        <v>8</v>
      </c>
      <c r="S23" s="1464">
        <f>F23</f>
        <v>100</v>
      </c>
      <c r="T23" s="1463" t="s">
        <v>8</v>
      </c>
      <c r="U23" s="1464">
        <f>H23</f>
        <v>100</v>
      </c>
      <c r="V23" s="1463" t="s">
        <v>8</v>
      </c>
      <c r="W23" s="1464">
        <f>J23</f>
        <v>100</v>
      </c>
      <c r="X23" s="1457"/>
      <c r="Y23" s="3708"/>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08"/>
      <c r="Q24" s="1462"/>
      <c r="R24" s="1463"/>
      <c r="S24" s="1464"/>
      <c r="T24" s="1463"/>
      <c r="U24" s="1464"/>
      <c r="V24" s="1463"/>
      <c r="W24" s="1464"/>
      <c r="X24" s="1457"/>
      <c r="Y24" s="3708"/>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08"/>
      <c r="Q25" s="1462" t="str">
        <f>B25</f>
        <v>毗邻道路的类型与等级</v>
      </c>
      <c r="R25" s="1463" t="s">
        <v>8</v>
      </c>
      <c r="S25" s="1464">
        <f>F25</f>
        <v>100</v>
      </c>
      <c r="T25" s="1463" t="s">
        <v>8</v>
      </c>
      <c r="U25" s="1464">
        <f>H25</f>
        <v>100</v>
      </c>
      <c r="V25" s="1463" t="s">
        <v>8</v>
      </c>
      <c r="W25" s="1464">
        <f>J25</f>
        <v>100</v>
      </c>
      <c r="X25" s="1457"/>
      <c r="Y25" s="3708"/>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08"/>
      <c r="Q26" s="1462"/>
      <c r="R26" s="1463"/>
      <c r="S26" s="1464"/>
      <c r="T26" s="1463"/>
      <c r="U26" s="1464"/>
      <c r="V26" s="1463"/>
      <c r="W26" s="1464"/>
      <c r="X26" s="1457"/>
      <c r="Y26" s="3708"/>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08"/>
      <c r="Q27" s="1462" t="str">
        <f t="shared" ref="Q27:Q47" si="11">B27</f>
        <v>楼层</v>
      </c>
      <c r="R27" s="1463" t="s">
        <v>8</v>
      </c>
      <c r="S27" s="1464">
        <f>F27</f>
        <v>100</v>
      </c>
      <c r="T27" s="1463" t="s">
        <v>8</v>
      </c>
      <c r="U27" s="1464">
        <f>H27</f>
        <v>100</v>
      </c>
      <c r="V27" s="1463" t="s">
        <v>8</v>
      </c>
      <c r="W27" s="1464">
        <f>J27</f>
        <v>100</v>
      </c>
      <c r="X27" s="1457"/>
      <c r="Y27" s="3708"/>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08"/>
      <c r="Q28" s="1097" t="str">
        <f t="shared" si="11"/>
        <v>朝向</v>
      </c>
      <c r="R28" s="1458" t="s">
        <v>8</v>
      </c>
      <c r="S28" s="1459">
        <f>F28</f>
        <v>100</v>
      </c>
      <c r="T28" s="1458" t="s">
        <v>8</v>
      </c>
      <c r="U28" s="1459">
        <f>H28</f>
        <v>100</v>
      </c>
      <c r="V28" s="1458" t="s">
        <v>8</v>
      </c>
      <c r="W28" s="1459">
        <f>J28</f>
        <v>100</v>
      </c>
      <c r="X28" s="1460"/>
      <c r="Y28" s="3708"/>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08"/>
      <c r="Q29" s="1462">
        <f t="shared" si="11"/>
        <v>111</v>
      </c>
      <c r="R29" s="1463" t="s">
        <v>8</v>
      </c>
      <c r="S29" s="1464">
        <f t="shared" ref="S29:S47" si="12">F29</f>
        <v>100</v>
      </c>
      <c r="T29" s="1463" t="s">
        <v>8</v>
      </c>
      <c r="U29" s="1464">
        <f t="shared" ref="U29:U47" si="13">H29</f>
        <v>100</v>
      </c>
      <c r="V29" s="1463" t="s">
        <v>8</v>
      </c>
      <c r="W29" s="1464">
        <f t="shared" ref="W29:W47" si="14">J29</f>
        <v>100</v>
      </c>
      <c r="X29" s="1457"/>
      <c r="Y29" s="3708"/>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08"/>
      <c r="Q30" s="1462">
        <f t="shared" si="11"/>
        <v>111</v>
      </c>
      <c r="R30" s="1463" t="s">
        <v>8</v>
      </c>
      <c r="S30" s="1464">
        <f t="shared" si="12"/>
        <v>100</v>
      </c>
      <c r="T30" s="1463" t="s">
        <v>8</v>
      </c>
      <c r="U30" s="1464">
        <f t="shared" si="13"/>
        <v>100</v>
      </c>
      <c r="V30" s="1463" t="s">
        <v>8</v>
      </c>
      <c r="W30" s="1464">
        <f t="shared" si="14"/>
        <v>100</v>
      </c>
      <c r="X30" s="1457"/>
      <c r="Y30" s="3708"/>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08"/>
      <c r="Q31" s="1462">
        <f t="shared" si="11"/>
        <v>111</v>
      </c>
      <c r="R31" s="1463" t="s">
        <v>8</v>
      </c>
      <c r="S31" s="1464">
        <f t="shared" si="12"/>
        <v>100</v>
      </c>
      <c r="T31" s="1463" t="s">
        <v>8</v>
      </c>
      <c r="U31" s="1464">
        <f t="shared" si="13"/>
        <v>100</v>
      </c>
      <c r="V31" s="1463" t="s">
        <v>8</v>
      </c>
      <c r="W31" s="1464">
        <f t="shared" si="14"/>
        <v>100</v>
      </c>
      <c r="X31" s="1457"/>
      <c r="Y31" s="3708"/>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08"/>
      <c r="Q32" s="1462">
        <f t="shared" si="11"/>
        <v>111</v>
      </c>
      <c r="R32" s="1463" t="s">
        <v>8</v>
      </c>
      <c r="S32" s="1464">
        <f t="shared" si="12"/>
        <v>100</v>
      </c>
      <c r="T32" s="1463" t="s">
        <v>8</v>
      </c>
      <c r="U32" s="1464">
        <f t="shared" si="13"/>
        <v>100</v>
      </c>
      <c r="V32" s="1463" t="s">
        <v>8</v>
      </c>
      <c r="W32" s="1464">
        <f t="shared" si="14"/>
        <v>100</v>
      </c>
      <c r="X32" s="1457"/>
      <c r="Y32" s="3708"/>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09" t="s">
        <v>533</v>
      </c>
      <c r="Q33" s="1462" t="str">
        <f t="shared" si="11"/>
        <v>建筑类型</v>
      </c>
      <c r="R33" s="1463" t="s">
        <v>8</v>
      </c>
      <c r="S33" s="1464">
        <f t="shared" si="12"/>
        <v>100</v>
      </c>
      <c r="T33" s="1463" t="s">
        <v>8</v>
      </c>
      <c r="U33" s="1464">
        <f t="shared" si="13"/>
        <v>100</v>
      </c>
      <c r="V33" s="1463" t="s">
        <v>8</v>
      </c>
      <c r="W33" s="1464">
        <f t="shared" si="14"/>
        <v>100</v>
      </c>
      <c r="X33" s="1457"/>
      <c r="Y33" s="3710"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10"/>
      <c r="Q34" s="1491" t="str">
        <f t="shared" si="11"/>
        <v>项目建筑规模</v>
      </c>
      <c r="R34" s="1467" t="s">
        <v>8</v>
      </c>
      <c r="S34" s="1468" t="e">
        <f t="shared" si="12"/>
        <v>#N/A</v>
      </c>
      <c r="T34" s="1467" t="s">
        <v>8</v>
      </c>
      <c r="U34" s="1468" t="e">
        <f t="shared" si="13"/>
        <v>#N/A</v>
      </c>
      <c r="V34" s="1467" t="s">
        <v>8</v>
      </c>
      <c r="W34" s="1468" t="e">
        <f t="shared" si="14"/>
        <v>#N/A</v>
      </c>
      <c r="X34" s="1469"/>
      <c r="Y34" s="3710"/>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10"/>
      <c r="Q35" s="1462" t="str">
        <f t="shared" si="11"/>
        <v>建筑结构</v>
      </c>
      <c r="R35" s="1463" t="s">
        <v>8</v>
      </c>
      <c r="S35" s="1464">
        <f t="shared" si="12"/>
        <v>100</v>
      </c>
      <c r="T35" s="1463" t="s">
        <v>8</v>
      </c>
      <c r="U35" s="1464">
        <f t="shared" si="13"/>
        <v>100</v>
      </c>
      <c r="V35" s="1463" t="s">
        <v>8</v>
      </c>
      <c r="W35" s="1464">
        <f t="shared" si="14"/>
        <v>100</v>
      </c>
      <c r="X35" s="1457"/>
      <c r="Y35" s="3710"/>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10"/>
      <c r="Q36" s="1462" t="str">
        <f t="shared" si="11"/>
        <v>公共部分装修</v>
      </c>
      <c r="R36" s="1463" t="s">
        <v>8</v>
      </c>
      <c r="S36" s="1464">
        <f t="shared" si="12"/>
        <v>100</v>
      </c>
      <c r="T36" s="1463" t="s">
        <v>8</v>
      </c>
      <c r="U36" s="1464">
        <f t="shared" si="13"/>
        <v>100</v>
      </c>
      <c r="V36" s="1463" t="s">
        <v>8</v>
      </c>
      <c r="W36" s="1464">
        <f t="shared" si="14"/>
        <v>100</v>
      </c>
      <c r="X36" s="1457"/>
      <c r="Y36" s="3710"/>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10"/>
      <c r="Q37" s="1462" t="str">
        <f t="shared" si="11"/>
        <v>成新度</v>
      </c>
      <c r="R37" s="1463" t="s">
        <v>8</v>
      </c>
      <c r="S37" s="1464" t="e">
        <f t="shared" si="12"/>
        <v>#N/A</v>
      </c>
      <c r="T37" s="1463" t="s">
        <v>8</v>
      </c>
      <c r="U37" s="1464" t="e">
        <f t="shared" si="13"/>
        <v>#N/A</v>
      </c>
      <c r="V37" s="1463" t="s">
        <v>8</v>
      </c>
      <c r="W37" s="1464" t="e">
        <f t="shared" si="14"/>
        <v>#N/A</v>
      </c>
      <c r="X37" s="1457"/>
      <c r="Y37" s="3710"/>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10"/>
      <c r="Q38" s="1097" t="str">
        <f t="shared" si="11"/>
        <v>写字楼等级</v>
      </c>
      <c r="R38" s="1458" t="s">
        <v>8</v>
      </c>
      <c r="S38" s="1459">
        <f t="shared" si="12"/>
        <v>100</v>
      </c>
      <c r="T38" s="1458" t="s">
        <v>8</v>
      </c>
      <c r="U38" s="1459">
        <f t="shared" si="13"/>
        <v>100</v>
      </c>
      <c r="V38" s="1458" t="s">
        <v>8</v>
      </c>
      <c r="W38" s="1459">
        <f t="shared" si="14"/>
        <v>100</v>
      </c>
      <c r="X38" s="1460"/>
      <c r="Y38" s="3710"/>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10" t="s">
        <v>533</v>
      </c>
      <c r="Q39" s="1462" t="str">
        <f t="shared" si="11"/>
        <v>物业管理</v>
      </c>
      <c r="R39" s="1463" t="s">
        <v>8</v>
      </c>
      <c r="S39" s="1464">
        <f t="shared" si="12"/>
        <v>100</v>
      </c>
      <c r="T39" s="1463" t="s">
        <v>8</v>
      </c>
      <c r="U39" s="1464">
        <f t="shared" si="13"/>
        <v>100</v>
      </c>
      <c r="V39" s="1463" t="s">
        <v>8</v>
      </c>
      <c r="W39" s="1464">
        <f t="shared" si="14"/>
        <v>100</v>
      </c>
      <c r="X39" s="1457"/>
      <c r="Y39" s="3710"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10"/>
      <c r="Q40" s="1462" t="str">
        <f t="shared" si="11"/>
        <v>市政基础设施</v>
      </c>
      <c r="R40" s="1463" t="s">
        <v>8</v>
      </c>
      <c r="S40" s="1464">
        <f t="shared" si="12"/>
        <v>100</v>
      </c>
      <c r="T40" s="1463" t="s">
        <v>8</v>
      </c>
      <c r="U40" s="1464">
        <f t="shared" si="13"/>
        <v>100</v>
      </c>
      <c r="V40" s="1463" t="s">
        <v>8</v>
      </c>
      <c r="W40" s="1464">
        <f t="shared" si="14"/>
        <v>100</v>
      </c>
      <c r="X40" s="1457"/>
      <c r="Y40" s="3710"/>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10"/>
      <c r="Q41" s="1462" t="str">
        <f t="shared" si="11"/>
        <v>层高</v>
      </c>
      <c r="R41" s="1463" t="s">
        <v>8</v>
      </c>
      <c r="S41" s="1464">
        <f t="shared" si="12"/>
        <v>100</v>
      </c>
      <c r="T41" s="1463" t="s">
        <v>8</v>
      </c>
      <c r="U41" s="1464">
        <f t="shared" si="13"/>
        <v>100</v>
      </c>
      <c r="V41" s="1463" t="s">
        <v>8</v>
      </c>
      <c r="W41" s="1464">
        <f t="shared" si="14"/>
        <v>100</v>
      </c>
      <c r="X41" s="1457"/>
      <c r="Y41" s="3710"/>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10"/>
      <c r="Q42" s="1491" t="str">
        <f t="shared" si="11"/>
        <v>单套建筑面积</v>
      </c>
      <c r="R42" s="1467" t="s">
        <v>8</v>
      </c>
      <c r="S42" s="1468">
        <f t="shared" si="12"/>
        <v>100</v>
      </c>
      <c r="T42" s="1467" t="s">
        <v>8</v>
      </c>
      <c r="U42" s="1468">
        <f t="shared" si="13"/>
        <v>100</v>
      </c>
      <c r="V42" s="1467" t="s">
        <v>8</v>
      </c>
      <c r="W42" s="1468">
        <f t="shared" si="14"/>
        <v>100</v>
      </c>
      <c r="X42" s="1469"/>
      <c r="Y42" s="3710"/>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10"/>
      <c r="Q43" s="1462" t="str">
        <f t="shared" si="11"/>
        <v>内部装修</v>
      </c>
      <c r="R43" s="1463" t="s">
        <v>8</v>
      </c>
      <c r="S43" s="1464">
        <f t="shared" si="12"/>
        <v>100</v>
      </c>
      <c r="T43" s="1463" t="s">
        <v>8</v>
      </c>
      <c r="U43" s="1464">
        <f t="shared" si="13"/>
        <v>100</v>
      </c>
      <c r="V43" s="1463" t="s">
        <v>8</v>
      </c>
      <c r="W43" s="1464">
        <f t="shared" si="14"/>
        <v>100</v>
      </c>
      <c r="X43" s="1457"/>
      <c r="Y43" s="3710"/>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10"/>
      <c r="Q44" s="1462" t="str">
        <f t="shared" si="11"/>
        <v>内部装修维护情况</v>
      </c>
      <c r="R44" s="1463" t="s">
        <v>8</v>
      </c>
      <c r="S44" s="1464">
        <f t="shared" si="12"/>
        <v>100</v>
      </c>
      <c r="T44" s="1463" t="s">
        <v>8</v>
      </c>
      <c r="U44" s="1464">
        <f t="shared" si="13"/>
        <v>100</v>
      </c>
      <c r="V44" s="1463" t="s">
        <v>8</v>
      </c>
      <c r="W44" s="1464">
        <f t="shared" si="14"/>
        <v>100</v>
      </c>
      <c r="X44" s="1457"/>
      <c r="Y44" s="3710"/>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10"/>
      <c r="Q45" s="1097">
        <f t="shared" si="11"/>
        <v>111</v>
      </c>
      <c r="R45" s="1458" t="s">
        <v>8</v>
      </c>
      <c r="S45" s="1459">
        <f t="shared" si="12"/>
        <v>100</v>
      </c>
      <c r="T45" s="1458" t="s">
        <v>8</v>
      </c>
      <c r="U45" s="1459">
        <f t="shared" si="13"/>
        <v>100</v>
      </c>
      <c r="V45" s="1458" t="s">
        <v>8</v>
      </c>
      <c r="W45" s="1459">
        <f t="shared" si="14"/>
        <v>100</v>
      </c>
      <c r="X45" s="1460"/>
      <c r="Y45" s="3710"/>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10"/>
      <c r="Q46" s="1462">
        <f t="shared" si="11"/>
        <v>111</v>
      </c>
      <c r="R46" s="1463" t="s">
        <v>8</v>
      </c>
      <c r="S46" s="1464">
        <f t="shared" si="12"/>
        <v>100</v>
      </c>
      <c r="T46" s="1463" t="s">
        <v>8</v>
      </c>
      <c r="U46" s="1464">
        <f t="shared" si="13"/>
        <v>100</v>
      </c>
      <c r="V46" s="1463" t="s">
        <v>8</v>
      </c>
      <c r="W46" s="1464">
        <f t="shared" si="14"/>
        <v>100</v>
      </c>
      <c r="X46" s="1457"/>
      <c r="Y46" s="3710"/>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03"/>
      <c r="Q47" s="1462">
        <f t="shared" si="11"/>
        <v>111</v>
      </c>
      <c r="R47" s="1463" t="s">
        <v>8</v>
      </c>
      <c r="S47" s="1464">
        <f t="shared" si="12"/>
        <v>100</v>
      </c>
      <c r="T47" s="1463" t="s">
        <v>8</v>
      </c>
      <c r="U47" s="1464">
        <f t="shared" si="13"/>
        <v>100</v>
      </c>
      <c r="V47" s="1463" t="s">
        <v>8</v>
      </c>
      <c r="W47" s="1464">
        <f t="shared" si="14"/>
        <v>100</v>
      </c>
      <c r="X47" s="1457"/>
      <c r="Y47" s="3803"/>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12" t="str">
        <f>A48</f>
        <v>成交单价（元/平方米）</v>
      </c>
      <c r="Q48" s="3674"/>
      <c r="R48" s="3802">
        <f>E48</f>
        <v>0</v>
      </c>
      <c r="S48" s="3802"/>
      <c r="T48" s="3802">
        <f>G48</f>
        <v>0</v>
      </c>
      <c r="U48" s="3802"/>
      <c r="V48" s="3802">
        <f>I48</f>
        <v>0</v>
      </c>
      <c r="W48" s="3802"/>
      <c r="X48" s="1452"/>
      <c r="Y48" s="1471"/>
      <c r="Z48" s="1452"/>
      <c r="AA48" s="1452"/>
      <c r="AB48" s="1452"/>
      <c r="AC48" s="1452"/>
    </row>
    <row r="49" spans="1:29" ht="15.75" thickBot="1">
      <c r="A49" s="592"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712" t="str">
        <f>A49</f>
        <v>比较价格（元/平方米）</v>
      </c>
      <c r="Q49" s="3674"/>
      <c r="R49" s="3802" t="e">
        <f>IF(F1="售价",ROUND(PRODUCT(R48,AA7:AA47),0),ROUND(PRODUCT(R48,AA7:AA47),1))</f>
        <v>#DIV/0!</v>
      </c>
      <c r="S49" s="3802"/>
      <c r="T49" s="3802" t="e">
        <f>IF(F1="售价",ROUND(PRODUCT(T48,AB7:AB47),0),ROUND(PRODUCT(T48,AB7:AB47),1))</f>
        <v>#DIV/0!</v>
      </c>
      <c r="U49" s="3802"/>
      <c r="V49" s="3802" t="e">
        <f>IF(F1="售价",ROUND(PRODUCT(V48,AC7:AC47),0),ROUND(PRODUCT(V48,AC7:AC47),1))</f>
        <v>#DIV/0!</v>
      </c>
      <c r="W49" s="3802"/>
      <c r="X49" s="1452"/>
      <c r="Y49" s="1452"/>
      <c r="Z49" s="1452"/>
      <c r="AA49" s="1452"/>
      <c r="AB49" s="1452"/>
      <c r="AC49" s="1452"/>
    </row>
    <row r="50" spans="1:29" ht="15.75" thickBot="1">
      <c r="A50" s="596" t="s">
        <v>2637</v>
      </c>
      <c r="B50" s="597"/>
      <c r="C50" s="2400" t="e">
        <f>R50</f>
        <v>#DIV/0!</v>
      </c>
      <c r="D50" s="2400"/>
      <c r="E50" s="2400"/>
      <c r="F50" s="2400"/>
      <c r="G50" s="2400"/>
      <c r="H50" s="2400"/>
      <c r="I50" s="2400"/>
      <c r="J50" s="2400"/>
      <c r="K50" s="1497"/>
      <c r="L50" s="1980"/>
      <c r="M50" s="1970"/>
      <c r="N50" s="1970"/>
      <c r="O50" s="1970"/>
      <c r="P50" s="3806" t="str">
        <f>A50</f>
        <v>估价对象XX用房的比较价格（楼面单价，元/平方米）</v>
      </c>
      <c r="Q50" s="3712"/>
      <c r="R50" s="3801" t="e">
        <f>IF(F1="售价",ROUND(IF(D49="简单平均",AVERAGE(R49:V49),R49*F49+T49*H49+V49*J49),0),ROUND(IF(D49="简单平均",AVERAGE(R49:V49),R49*F49+T49*H49+V49*J49),1))</f>
        <v>#DIV/0!</v>
      </c>
      <c r="S50" s="3801"/>
      <c r="T50" s="3801"/>
      <c r="U50" s="3801"/>
      <c r="V50" s="3801"/>
      <c r="W50" s="3801"/>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80" t="s">
        <v>505</v>
      </c>
      <c r="D4" s="3681"/>
      <c r="E4" s="3715" t="s">
        <v>506</v>
      </c>
      <c r="F4" s="3716"/>
      <c r="G4" s="3680" t="s">
        <v>507</v>
      </c>
      <c r="H4" s="3681"/>
      <c r="I4" s="3680" t="s">
        <v>508</v>
      </c>
      <c r="J4" s="3681"/>
      <c r="K4" s="491" t="s">
        <v>509</v>
      </c>
      <c r="L4" s="1969"/>
      <c r="M4" s="1970"/>
      <c r="N4" s="1970"/>
      <c r="O4" s="1970"/>
      <c r="P4" s="3682" t="s">
        <v>510</v>
      </c>
      <c r="Q4" s="3683"/>
      <c r="R4" s="3688" t="s">
        <v>506</v>
      </c>
      <c r="S4" s="3689"/>
      <c r="T4" s="3688" t="s">
        <v>507</v>
      </c>
      <c r="U4" s="3689"/>
      <c r="V4" s="3675" t="s">
        <v>508</v>
      </c>
      <c r="W4" s="3675"/>
      <c r="X4" s="1457"/>
      <c r="Y4" s="3688" t="s">
        <v>510</v>
      </c>
      <c r="Z4" s="3689"/>
      <c r="AA4" s="3677" t="s">
        <v>506</v>
      </c>
      <c r="AB4" s="3678" t="s">
        <v>507</v>
      </c>
      <c r="AC4" s="3677" t="s">
        <v>508</v>
      </c>
    </row>
    <row r="5" spans="1:29" ht="15">
      <c r="A5" s="492"/>
      <c r="B5" s="493"/>
      <c r="C5" s="3696" t="s">
        <v>2631</v>
      </c>
      <c r="D5" s="3697"/>
      <c r="E5" s="3717" t="s">
        <v>2632</v>
      </c>
      <c r="F5" s="3718"/>
      <c r="G5" s="3696" t="s">
        <v>2633</v>
      </c>
      <c r="H5" s="3697"/>
      <c r="I5" s="3696" t="s">
        <v>2634</v>
      </c>
      <c r="J5" s="3697"/>
      <c r="K5" s="491"/>
      <c r="L5" s="1969"/>
      <c r="M5" s="1970"/>
      <c r="N5" s="1970"/>
      <c r="O5" s="1970"/>
      <c r="P5" s="3684"/>
      <c r="Q5" s="3685"/>
      <c r="R5" s="3690"/>
      <c r="S5" s="3691"/>
      <c r="T5" s="3690"/>
      <c r="U5" s="3691"/>
      <c r="V5" s="3675"/>
      <c r="W5" s="3675"/>
      <c r="X5" s="1457"/>
      <c r="Y5" s="3690"/>
      <c r="Z5" s="3691"/>
      <c r="AA5" s="3678"/>
      <c r="AB5" s="3678"/>
      <c r="AC5" s="3678"/>
    </row>
    <row r="6" spans="1:29" ht="15.75" thickBot="1">
      <c r="A6" s="494"/>
      <c r="B6" s="495"/>
      <c r="C6" s="3694" t="s">
        <v>2635</v>
      </c>
      <c r="D6" s="3695"/>
      <c r="E6" s="3713" t="s">
        <v>2635</v>
      </c>
      <c r="F6" s="3714"/>
      <c r="G6" s="3694" t="s">
        <v>2635</v>
      </c>
      <c r="H6" s="3695"/>
      <c r="I6" s="3694" t="s">
        <v>2635</v>
      </c>
      <c r="J6" s="3695"/>
      <c r="K6" s="491" t="s">
        <v>511</v>
      </c>
      <c r="L6" s="1969"/>
      <c r="M6" s="1970"/>
      <c r="N6" s="1970"/>
      <c r="O6" s="1970"/>
      <c r="P6" s="3686"/>
      <c r="Q6" s="3687"/>
      <c r="R6" s="3690"/>
      <c r="S6" s="3691"/>
      <c r="T6" s="3692"/>
      <c r="U6" s="3693"/>
      <c r="V6" s="3675"/>
      <c r="W6" s="3675"/>
      <c r="X6" s="1457"/>
      <c r="Y6" s="3692"/>
      <c r="Z6" s="3693"/>
      <c r="AA6" s="3679"/>
      <c r="AB6" s="3679"/>
      <c r="AC6" s="3679"/>
    </row>
    <row r="7" spans="1:29" s="1166" customFormat="1" ht="15.75" thickBot="1">
      <c r="A7" s="2551"/>
      <c r="B7" s="2558" t="s">
        <v>512</v>
      </c>
      <c r="C7" s="496">
        <f>'数据-取费表'!B2</f>
        <v>44756</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04" t="s">
        <v>513</v>
      </c>
      <c r="Q7" s="3706"/>
      <c r="R7" s="1458" t="s">
        <v>8</v>
      </c>
      <c r="S7" s="1459">
        <f t="shared" ref="S7:S15" si="0">F7</f>
        <v>0</v>
      </c>
      <c r="T7" s="1458" t="s">
        <v>8</v>
      </c>
      <c r="U7" s="1459">
        <f t="shared" ref="U7:U15" si="1">H7</f>
        <v>0</v>
      </c>
      <c r="V7" s="1458" t="s">
        <v>8</v>
      </c>
      <c r="W7" s="1459">
        <f t="shared" ref="W7:W15" si="2">J7</f>
        <v>0</v>
      </c>
      <c r="X7" s="1460"/>
      <c r="Y7" s="3704" t="s">
        <v>513</v>
      </c>
      <c r="Z7" s="3705"/>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04" t="s">
        <v>516</v>
      </c>
      <c r="Q8" s="3705"/>
      <c r="R8" s="1458" t="s">
        <v>8</v>
      </c>
      <c r="S8" s="1459">
        <f t="shared" si="0"/>
        <v>0</v>
      </c>
      <c r="T8" s="1458" t="s">
        <v>8</v>
      </c>
      <c r="U8" s="1459">
        <f t="shared" si="1"/>
        <v>0</v>
      </c>
      <c r="V8" s="1458" t="s">
        <v>8</v>
      </c>
      <c r="W8" s="1459">
        <f t="shared" si="2"/>
        <v>0</v>
      </c>
      <c r="X8" s="1460"/>
      <c r="Y8" s="3704" t="s">
        <v>516</v>
      </c>
      <c r="Z8" s="3705"/>
      <c r="AA8" s="1461" t="e">
        <f t="shared" ref="AA8:AA40" si="3">D8/F8</f>
        <v>#DIV/0!</v>
      </c>
      <c r="AB8" s="1461" t="e">
        <f t="shared" ref="AB8:AB40" si="4">D8/H8</f>
        <v>#DIV/0!</v>
      </c>
      <c r="AC8" s="1461" t="e">
        <f t="shared" ref="AC8:AC40" si="5">D8/J8</f>
        <v>#DIV/0!</v>
      </c>
    </row>
    <row r="9" spans="1:29" s="1166"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74" t="s">
        <v>518</v>
      </c>
      <c r="Q9" s="1097" t="str">
        <f t="shared" ref="Q9:Q15" si="6">B9</f>
        <v>用途</v>
      </c>
      <c r="R9" s="1458" t="s">
        <v>8</v>
      </c>
      <c r="S9" s="1459">
        <f t="shared" si="0"/>
        <v>100</v>
      </c>
      <c r="T9" s="1458" t="s">
        <v>8</v>
      </c>
      <c r="U9" s="1459">
        <f t="shared" si="1"/>
        <v>100</v>
      </c>
      <c r="V9" s="1458" t="s">
        <v>8</v>
      </c>
      <c r="W9" s="1459">
        <f t="shared" si="2"/>
        <v>100</v>
      </c>
      <c r="X9" s="1460"/>
      <c r="Y9" s="361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74"/>
      <c r="Q11" s="1097" t="str">
        <f t="shared" si="6"/>
        <v>容积率</v>
      </c>
      <c r="R11" s="1458" t="s">
        <v>8</v>
      </c>
      <c r="S11" s="1459" t="e">
        <f t="shared" si="0"/>
        <v>#N/A</v>
      </c>
      <c r="T11" s="1458" t="s">
        <v>8</v>
      </c>
      <c r="U11" s="1459" t="e">
        <f t="shared" si="1"/>
        <v>#N/A</v>
      </c>
      <c r="V11" s="1458" t="s">
        <v>8</v>
      </c>
      <c r="W11" s="1459" t="e">
        <f t="shared" si="2"/>
        <v>#N/A</v>
      </c>
      <c r="X11" s="1460"/>
      <c r="Y11" s="361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74"/>
      <c r="Q12" s="1097">
        <f t="shared" si="6"/>
        <v>111</v>
      </c>
      <c r="R12" s="1458" t="s">
        <v>8</v>
      </c>
      <c r="S12" s="1459">
        <f t="shared" si="0"/>
        <v>100</v>
      </c>
      <c r="T12" s="1458" t="s">
        <v>8</v>
      </c>
      <c r="U12" s="1459">
        <f t="shared" si="1"/>
        <v>100</v>
      </c>
      <c r="V12" s="1458" t="s">
        <v>8</v>
      </c>
      <c r="W12" s="1459">
        <f t="shared" si="2"/>
        <v>100</v>
      </c>
      <c r="X12" s="1460"/>
      <c r="Y12" s="3618"/>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74"/>
      <c r="Q13" s="1097">
        <f t="shared" si="6"/>
        <v>111</v>
      </c>
      <c r="R13" s="1458" t="s">
        <v>8</v>
      </c>
      <c r="S13" s="1459">
        <f t="shared" si="0"/>
        <v>100</v>
      </c>
      <c r="T13" s="1458" t="s">
        <v>8</v>
      </c>
      <c r="U13" s="1459">
        <f t="shared" si="1"/>
        <v>100</v>
      </c>
      <c r="V13" s="1458" t="s">
        <v>8</v>
      </c>
      <c r="W13" s="1459">
        <f t="shared" si="2"/>
        <v>100</v>
      </c>
      <c r="X13" s="1460"/>
      <c r="Y13" s="3618"/>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74"/>
      <c r="Q14" s="1097">
        <f t="shared" si="6"/>
        <v>111</v>
      </c>
      <c r="R14" s="1458" t="s">
        <v>8</v>
      </c>
      <c r="S14" s="1459">
        <f t="shared" si="0"/>
        <v>100</v>
      </c>
      <c r="T14" s="1458" t="s">
        <v>8</v>
      </c>
      <c r="U14" s="1459">
        <f t="shared" si="1"/>
        <v>100</v>
      </c>
      <c r="V14" s="1458" t="s">
        <v>8</v>
      </c>
      <c r="W14" s="1459">
        <f t="shared" si="2"/>
        <v>100</v>
      </c>
      <c r="X14" s="1460"/>
      <c r="Y14" s="3618"/>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07" t="s">
        <v>523</v>
      </c>
      <c r="Q15" s="1462" t="str">
        <f t="shared" si="6"/>
        <v>产业集聚程度</v>
      </c>
      <c r="R15" s="1463" t="s">
        <v>8</v>
      </c>
      <c r="S15" s="1464">
        <f t="shared" si="0"/>
        <v>100</v>
      </c>
      <c r="T15" s="1463" t="s">
        <v>8</v>
      </c>
      <c r="U15" s="1464">
        <f t="shared" si="1"/>
        <v>100</v>
      </c>
      <c r="V15" s="1463" t="s">
        <v>8</v>
      </c>
      <c r="W15" s="1464">
        <f t="shared" si="2"/>
        <v>100</v>
      </c>
      <c r="X15" s="1457"/>
      <c r="Y15" s="3707"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08"/>
      <c r="Q16" s="1462"/>
      <c r="R16" s="1463"/>
      <c r="S16" s="1464"/>
      <c r="T16" s="1463"/>
      <c r="U16" s="1464"/>
      <c r="V16" s="1463"/>
      <c r="W16" s="1464"/>
      <c r="X16" s="1457"/>
      <c r="Y16" s="3708"/>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08"/>
      <c r="Q17" s="1462" t="str">
        <f>B17</f>
        <v>交通便捷度</v>
      </c>
      <c r="R17" s="1463" t="s">
        <v>8</v>
      </c>
      <c r="S17" s="1464">
        <f>F17</f>
        <v>100</v>
      </c>
      <c r="T17" s="1463" t="s">
        <v>8</v>
      </c>
      <c r="U17" s="1464">
        <f>H17</f>
        <v>100</v>
      </c>
      <c r="V17" s="1463" t="s">
        <v>8</v>
      </c>
      <c r="W17" s="1464">
        <f>J17</f>
        <v>100</v>
      </c>
      <c r="X17" s="1457"/>
      <c r="Y17" s="3708"/>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08"/>
      <c r="Q18" s="1462"/>
      <c r="R18" s="1463"/>
      <c r="S18" s="1464"/>
      <c r="T18" s="1463"/>
      <c r="U18" s="1464"/>
      <c r="V18" s="1463"/>
      <c r="W18" s="1464"/>
      <c r="X18" s="1457"/>
      <c r="Y18" s="3708"/>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08"/>
      <c r="Q19" s="1462" t="str">
        <f>B19</f>
        <v>公共配套设施</v>
      </c>
      <c r="R19" s="1463" t="s">
        <v>8</v>
      </c>
      <c r="S19" s="1464">
        <f>F19</f>
        <v>100</v>
      </c>
      <c r="T19" s="1463" t="s">
        <v>8</v>
      </c>
      <c r="U19" s="1464">
        <f>H19</f>
        <v>100</v>
      </c>
      <c r="V19" s="1463" t="s">
        <v>8</v>
      </c>
      <c r="W19" s="1464">
        <f>J19</f>
        <v>100</v>
      </c>
      <c r="X19" s="1457"/>
      <c r="Y19" s="3708"/>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08"/>
      <c r="Q20" s="1462"/>
      <c r="R20" s="1463"/>
      <c r="S20" s="1464"/>
      <c r="T20" s="1463"/>
      <c r="U20" s="1464"/>
      <c r="V20" s="1463"/>
      <c r="W20" s="1464"/>
      <c r="X20" s="1457"/>
      <c r="Y20" s="3708"/>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08"/>
      <c r="Q21" s="2351" t="str">
        <f>B21</f>
        <v>基础设施水平</v>
      </c>
      <c r="R21" s="1463" t="s">
        <v>8</v>
      </c>
      <c r="S21" s="1464">
        <f>F21</f>
        <v>100</v>
      </c>
      <c r="T21" s="1463" t="s">
        <v>8</v>
      </c>
      <c r="U21" s="1464">
        <f>H21</f>
        <v>100</v>
      </c>
      <c r="V21" s="1463" t="s">
        <v>8</v>
      </c>
      <c r="W21" s="1464">
        <f>J21</f>
        <v>100</v>
      </c>
      <c r="X21" s="2353"/>
      <c r="Y21" s="3708"/>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08"/>
      <c r="Q22" s="2351"/>
      <c r="R22" s="1463"/>
      <c r="S22" s="1464"/>
      <c r="T22" s="1463"/>
      <c r="U22" s="1464"/>
      <c r="V22" s="1463"/>
      <c r="W22" s="1464"/>
      <c r="X22" s="2353"/>
      <c r="Y22" s="3708"/>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08"/>
      <c r="Q23" s="1462" t="str">
        <f>B23</f>
        <v>环境质量</v>
      </c>
      <c r="R23" s="1463" t="s">
        <v>8</v>
      </c>
      <c r="S23" s="1464">
        <f>F23</f>
        <v>100</v>
      </c>
      <c r="T23" s="1463" t="s">
        <v>8</v>
      </c>
      <c r="U23" s="1464">
        <f>H23</f>
        <v>100</v>
      </c>
      <c r="V23" s="1463" t="s">
        <v>8</v>
      </c>
      <c r="W23" s="1464">
        <f>J23</f>
        <v>100</v>
      </c>
      <c r="X23" s="1457"/>
      <c r="Y23" s="3708"/>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08"/>
      <c r="Q24" s="1462"/>
      <c r="R24" s="1463"/>
      <c r="S24" s="1464"/>
      <c r="T24" s="1463"/>
      <c r="U24" s="1464"/>
      <c r="V24" s="1463"/>
      <c r="W24" s="1464"/>
      <c r="X24" s="1457"/>
      <c r="Y24" s="3708"/>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08"/>
      <c r="Q25" s="1462">
        <f>B25</f>
        <v>111</v>
      </c>
      <c r="R25" s="1463" t="s">
        <v>8</v>
      </c>
      <c r="S25" s="1464">
        <f>F25</f>
        <v>100</v>
      </c>
      <c r="T25" s="1463" t="s">
        <v>8</v>
      </c>
      <c r="U25" s="1464">
        <f>H25</f>
        <v>100</v>
      </c>
      <c r="V25" s="1463" t="s">
        <v>8</v>
      </c>
      <c r="W25" s="1464">
        <f>J25</f>
        <v>100</v>
      </c>
      <c r="X25" s="1457"/>
      <c r="Y25" s="3708"/>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08"/>
      <c r="Q26" s="1462">
        <f t="shared" ref="Q26:Q40" si="11">B26</f>
        <v>111</v>
      </c>
      <c r="R26" s="1463" t="s">
        <v>8</v>
      </c>
      <c r="S26" s="1464">
        <f>F26</f>
        <v>100</v>
      </c>
      <c r="T26" s="1463" t="s">
        <v>8</v>
      </c>
      <c r="U26" s="1464">
        <f>H26</f>
        <v>100</v>
      </c>
      <c r="V26" s="1463" t="s">
        <v>8</v>
      </c>
      <c r="W26" s="1464">
        <f>J26</f>
        <v>100</v>
      </c>
      <c r="X26" s="1457"/>
      <c r="Y26" s="3708"/>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08"/>
      <c r="Q27" s="1097">
        <f t="shared" si="11"/>
        <v>111</v>
      </c>
      <c r="R27" s="1458" t="s">
        <v>8</v>
      </c>
      <c r="S27" s="1459">
        <f>F27</f>
        <v>100</v>
      </c>
      <c r="T27" s="1458" t="s">
        <v>8</v>
      </c>
      <c r="U27" s="1459">
        <f>H27</f>
        <v>100</v>
      </c>
      <c r="V27" s="1458" t="s">
        <v>8</v>
      </c>
      <c r="W27" s="1459">
        <f>J27</f>
        <v>100</v>
      </c>
      <c r="X27" s="1460"/>
      <c r="Y27" s="3708"/>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08"/>
      <c r="Q28" s="1462">
        <f t="shared" si="11"/>
        <v>111</v>
      </c>
      <c r="R28" s="1463" t="s">
        <v>8</v>
      </c>
      <c r="S28" s="1464">
        <f t="shared" ref="S28:S40" si="12">F28</f>
        <v>100</v>
      </c>
      <c r="T28" s="1463" t="s">
        <v>8</v>
      </c>
      <c r="U28" s="1464">
        <f t="shared" ref="U28:U40" si="13">H28</f>
        <v>100</v>
      </c>
      <c r="V28" s="1463" t="s">
        <v>8</v>
      </c>
      <c r="W28" s="1464">
        <f t="shared" ref="W28:W40" si="14">J28</f>
        <v>100</v>
      </c>
      <c r="X28" s="1457"/>
      <c r="Y28" s="3708"/>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09" t="s">
        <v>533</v>
      </c>
      <c r="Q29" s="1462" t="str">
        <f t="shared" si="11"/>
        <v>建筑类型</v>
      </c>
      <c r="R29" s="1463" t="s">
        <v>8</v>
      </c>
      <c r="S29" s="1464">
        <f t="shared" si="12"/>
        <v>100</v>
      </c>
      <c r="T29" s="1463" t="s">
        <v>8</v>
      </c>
      <c r="U29" s="1464">
        <f t="shared" si="13"/>
        <v>100</v>
      </c>
      <c r="V29" s="1463" t="s">
        <v>8</v>
      </c>
      <c r="W29" s="1464">
        <f t="shared" si="14"/>
        <v>100</v>
      </c>
      <c r="X29" s="1457"/>
      <c r="Y29" s="3710"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10"/>
      <c r="Q30" s="1491" t="str">
        <f t="shared" si="11"/>
        <v>项目建筑规模</v>
      </c>
      <c r="R30" s="1467" t="s">
        <v>8</v>
      </c>
      <c r="S30" s="1468" t="e">
        <f t="shared" si="12"/>
        <v>#N/A</v>
      </c>
      <c r="T30" s="1467" t="s">
        <v>8</v>
      </c>
      <c r="U30" s="1468" t="e">
        <f t="shared" si="13"/>
        <v>#N/A</v>
      </c>
      <c r="V30" s="1467" t="s">
        <v>8</v>
      </c>
      <c r="W30" s="1468" t="e">
        <f t="shared" si="14"/>
        <v>#N/A</v>
      </c>
      <c r="X30" s="1469"/>
      <c r="Y30" s="3710"/>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10"/>
      <c r="Q31" s="1462" t="str">
        <f t="shared" si="11"/>
        <v>建筑结构</v>
      </c>
      <c r="R31" s="1463" t="s">
        <v>8</v>
      </c>
      <c r="S31" s="1464">
        <f t="shared" si="12"/>
        <v>100</v>
      </c>
      <c r="T31" s="1463" t="s">
        <v>8</v>
      </c>
      <c r="U31" s="1464">
        <f t="shared" si="13"/>
        <v>100</v>
      </c>
      <c r="V31" s="1463" t="s">
        <v>8</v>
      </c>
      <c r="W31" s="1464">
        <f t="shared" si="14"/>
        <v>100</v>
      </c>
      <c r="X31" s="1457"/>
      <c r="Y31" s="3710"/>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10"/>
      <c r="Q32" s="1462" t="str">
        <f t="shared" si="11"/>
        <v>公共部分装修</v>
      </c>
      <c r="R32" s="1463" t="s">
        <v>8</v>
      </c>
      <c r="S32" s="1464">
        <f t="shared" si="12"/>
        <v>100</v>
      </c>
      <c r="T32" s="1463" t="s">
        <v>8</v>
      </c>
      <c r="U32" s="1464">
        <f t="shared" si="13"/>
        <v>100</v>
      </c>
      <c r="V32" s="1463" t="s">
        <v>8</v>
      </c>
      <c r="W32" s="1464">
        <f t="shared" si="14"/>
        <v>100</v>
      </c>
      <c r="X32" s="1457"/>
      <c r="Y32" s="3710"/>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10"/>
      <c r="Q33" s="1462" t="str">
        <f t="shared" si="11"/>
        <v>成新度</v>
      </c>
      <c r="R33" s="1463" t="s">
        <v>8</v>
      </c>
      <c r="S33" s="1464" t="e">
        <f t="shared" si="12"/>
        <v>#N/A</v>
      </c>
      <c r="T33" s="1463" t="s">
        <v>8</v>
      </c>
      <c r="U33" s="1464" t="e">
        <f t="shared" si="13"/>
        <v>#N/A</v>
      </c>
      <c r="V33" s="1463" t="s">
        <v>8</v>
      </c>
      <c r="W33" s="1464" t="e">
        <f t="shared" si="14"/>
        <v>#N/A</v>
      </c>
      <c r="X33" s="1457"/>
      <c r="Y33" s="3710"/>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10"/>
      <c r="Q34" s="1097" t="str">
        <f t="shared" si="11"/>
        <v>物业管理</v>
      </c>
      <c r="R34" s="1458" t="s">
        <v>8</v>
      </c>
      <c r="S34" s="1459">
        <f t="shared" si="12"/>
        <v>100</v>
      </c>
      <c r="T34" s="1458" t="s">
        <v>8</v>
      </c>
      <c r="U34" s="1459">
        <f t="shared" si="13"/>
        <v>100</v>
      </c>
      <c r="V34" s="1458" t="s">
        <v>8</v>
      </c>
      <c r="W34" s="1459">
        <f t="shared" si="14"/>
        <v>100</v>
      </c>
      <c r="X34" s="1460"/>
      <c r="Y34" s="3710"/>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10" t="s">
        <v>533</v>
      </c>
      <c r="Q35" s="1462" t="str">
        <f t="shared" si="11"/>
        <v>市政基础设施</v>
      </c>
      <c r="R35" s="1463" t="s">
        <v>8</v>
      </c>
      <c r="S35" s="1464">
        <f t="shared" si="12"/>
        <v>100</v>
      </c>
      <c r="T35" s="1463" t="s">
        <v>8</v>
      </c>
      <c r="U35" s="1464">
        <f t="shared" si="13"/>
        <v>100</v>
      </c>
      <c r="V35" s="1463" t="s">
        <v>8</v>
      </c>
      <c r="W35" s="1464">
        <f t="shared" si="14"/>
        <v>100</v>
      </c>
      <c r="X35" s="1457"/>
      <c r="Y35" s="3710"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10"/>
      <c r="Q36" s="1462" t="str">
        <f t="shared" si="11"/>
        <v>内部装修</v>
      </c>
      <c r="R36" s="1463" t="s">
        <v>8</v>
      </c>
      <c r="S36" s="1464">
        <f t="shared" si="12"/>
        <v>100</v>
      </c>
      <c r="T36" s="1463" t="s">
        <v>8</v>
      </c>
      <c r="U36" s="1464">
        <f t="shared" si="13"/>
        <v>100</v>
      </c>
      <c r="V36" s="1463" t="s">
        <v>8</v>
      </c>
      <c r="W36" s="1464">
        <f t="shared" si="14"/>
        <v>100</v>
      </c>
      <c r="X36" s="1457"/>
      <c r="Y36" s="3710"/>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10"/>
      <c r="Q37" s="1462" t="str">
        <f t="shared" si="11"/>
        <v>内部装修状况</v>
      </c>
      <c r="R37" s="1463" t="s">
        <v>8</v>
      </c>
      <c r="S37" s="1464">
        <f t="shared" si="12"/>
        <v>100</v>
      </c>
      <c r="T37" s="1463" t="s">
        <v>8</v>
      </c>
      <c r="U37" s="1464">
        <f t="shared" si="13"/>
        <v>100</v>
      </c>
      <c r="V37" s="1463" t="s">
        <v>8</v>
      </c>
      <c r="W37" s="1464">
        <f t="shared" si="14"/>
        <v>100</v>
      </c>
      <c r="X37" s="1457"/>
      <c r="Y37" s="3710"/>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10"/>
      <c r="Q38" s="1491">
        <f t="shared" si="11"/>
        <v>111</v>
      </c>
      <c r="R38" s="1467" t="s">
        <v>8</v>
      </c>
      <c r="S38" s="1468">
        <f t="shared" si="12"/>
        <v>100</v>
      </c>
      <c r="T38" s="1467" t="s">
        <v>8</v>
      </c>
      <c r="U38" s="1468">
        <f t="shared" si="13"/>
        <v>100</v>
      </c>
      <c r="V38" s="1467" t="s">
        <v>8</v>
      </c>
      <c r="W38" s="1468">
        <f t="shared" si="14"/>
        <v>100</v>
      </c>
      <c r="X38" s="1469"/>
      <c r="Y38" s="3710"/>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10"/>
      <c r="Q39" s="1462">
        <f t="shared" si="11"/>
        <v>111</v>
      </c>
      <c r="R39" s="1463" t="s">
        <v>8</v>
      </c>
      <c r="S39" s="1464">
        <f t="shared" si="12"/>
        <v>100</v>
      </c>
      <c r="T39" s="1463" t="s">
        <v>8</v>
      </c>
      <c r="U39" s="1464">
        <f t="shared" si="13"/>
        <v>100</v>
      </c>
      <c r="V39" s="1463" t="s">
        <v>8</v>
      </c>
      <c r="W39" s="1464">
        <f t="shared" si="14"/>
        <v>100</v>
      </c>
      <c r="X39" s="1457"/>
      <c r="Y39" s="3710"/>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03"/>
      <c r="Q40" s="1462">
        <f t="shared" si="11"/>
        <v>111</v>
      </c>
      <c r="R40" s="1463" t="s">
        <v>8</v>
      </c>
      <c r="S40" s="1464">
        <f t="shared" si="12"/>
        <v>100</v>
      </c>
      <c r="T40" s="1463" t="s">
        <v>8</v>
      </c>
      <c r="U40" s="1464">
        <f t="shared" si="13"/>
        <v>100</v>
      </c>
      <c r="V40" s="1463" t="s">
        <v>8</v>
      </c>
      <c r="W40" s="1464">
        <f t="shared" si="14"/>
        <v>100</v>
      </c>
      <c r="X40" s="1457"/>
      <c r="Y40" s="3803"/>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74" t="str">
        <f>A41</f>
        <v>成交单价（元/平方米）</v>
      </c>
      <c r="Q41" s="3674"/>
      <c r="R41" s="3802">
        <f>E41</f>
        <v>0</v>
      </c>
      <c r="S41" s="3802"/>
      <c r="T41" s="3802">
        <f>G41</f>
        <v>0</v>
      </c>
      <c r="U41" s="3802"/>
      <c r="V41" s="3802">
        <f>I41</f>
        <v>0</v>
      </c>
      <c r="W41" s="3802"/>
      <c r="X41" s="1452"/>
      <c r="Y41" s="1471"/>
      <c r="Z41" s="1452"/>
      <c r="AA41" s="1452"/>
      <c r="AB41" s="1452"/>
      <c r="AC41" s="1452"/>
    </row>
    <row r="42" spans="1:29" ht="15.75" thickBot="1">
      <c r="A42" s="592"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74" t="str">
        <f>A42</f>
        <v>比较价格（元/平方米）</v>
      </c>
      <c r="Q42" s="3674"/>
      <c r="R42" s="3802" t="e">
        <f>IF(F1="售价",ROUND(PRODUCT(R41,AA7:AA40),0),ROUND(PRODUCT(R41,AA7:AA40),1))</f>
        <v>#DIV/0!</v>
      </c>
      <c r="S42" s="3802"/>
      <c r="T42" s="3802" t="e">
        <f>IF(F1="售价",ROUND(PRODUCT(T41,AB7:AB40),0),ROUND(PRODUCT(T41,AB7:AB40),1))</f>
        <v>#DIV/0!</v>
      </c>
      <c r="U42" s="3802"/>
      <c r="V42" s="3802" t="e">
        <f>IF(F1="售价",ROUND(PRODUCT(V41,AC7:AC40),0),ROUND(PRODUCT(V41,AC7:AC40),1))</f>
        <v>#DIV/0!</v>
      </c>
      <c r="W42" s="3802"/>
      <c r="X42" s="1452"/>
      <c r="Y42" s="1452"/>
      <c r="Z42" s="1452"/>
      <c r="AA42" s="1452"/>
      <c r="AB42" s="1452"/>
      <c r="AC42" s="1452"/>
    </row>
    <row r="43" spans="1:29" ht="15.75" thickBot="1">
      <c r="A43" s="596" t="s">
        <v>2637</v>
      </c>
      <c r="B43" s="597"/>
      <c r="C43" s="2400" t="e">
        <f>R43</f>
        <v>#DIV/0!</v>
      </c>
      <c r="D43" s="2400"/>
      <c r="E43" s="2400"/>
      <c r="F43" s="2400"/>
      <c r="G43" s="2400"/>
      <c r="H43" s="2400"/>
      <c r="I43" s="2400"/>
      <c r="J43" s="2400"/>
      <c r="K43" s="1497"/>
      <c r="L43" s="1980"/>
      <c r="M43" s="1981"/>
      <c r="N43" s="1981"/>
      <c r="O43" s="1981"/>
      <c r="P43" s="3711" t="str">
        <f>A43</f>
        <v>估价对象XX用房的比较价格（楼面单价，元/平方米）</v>
      </c>
      <c r="Q43" s="3712"/>
      <c r="R43" s="3801" t="e">
        <f>IF(F1="售价",ROUND(IF(D42="简单平均",AVERAGE(R42:V42),R42*F42+T42*H42+V42*J42),0),ROUND(IF(D42="简单平均",AVERAGE(R42:V42),R42*F42+T42*H42+V42*J42),1))</f>
        <v>#DIV/0!</v>
      </c>
      <c r="S43" s="3801"/>
      <c r="T43" s="3801"/>
      <c r="U43" s="3801"/>
      <c r="V43" s="3801"/>
      <c r="W43" s="3801"/>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80" t="s">
        <v>780</v>
      </c>
      <c r="D4" s="3681"/>
      <c r="E4" s="3680" t="s">
        <v>781</v>
      </c>
      <c r="F4" s="3681"/>
      <c r="G4" s="3680" t="s">
        <v>782</v>
      </c>
      <c r="H4" s="3681"/>
      <c r="I4" s="3680" t="s">
        <v>783</v>
      </c>
      <c r="J4" s="3681"/>
      <c r="K4" s="491" t="s">
        <v>784</v>
      </c>
      <c r="L4" s="1969"/>
      <c r="M4" s="1970"/>
      <c r="N4" s="1970"/>
      <c r="O4" s="1970"/>
      <c r="P4" s="3682" t="s">
        <v>785</v>
      </c>
      <c r="Q4" s="3683"/>
      <c r="R4" s="3688" t="s">
        <v>781</v>
      </c>
      <c r="S4" s="3689"/>
      <c r="T4" s="3688" t="s">
        <v>782</v>
      </c>
      <c r="U4" s="3689"/>
      <c r="V4" s="3675" t="s">
        <v>783</v>
      </c>
      <c r="W4" s="3675"/>
      <c r="X4" s="1457"/>
      <c r="Y4" s="3688" t="s">
        <v>785</v>
      </c>
      <c r="Z4" s="3689"/>
      <c r="AA4" s="3677" t="s">
        <v>781</v>
      </c>
      <c r="AB4" s="3678" t="s">
        <v>782</v>
      </c>
      <c r="AC4" s="3677" t="s">
        <v>783</v>
      </c>
    </row>
    <row r="5" spans="1:29" ht="15">
      <c r="A5" s="492"/>
      <c r="B5" s="493"/>
      <c r="C5" s="3696" t="s">
        <v>2631</v>
      </c>
      <c r="D5" s="3697"/>
      <c r="E5" s="3696" t="s">
        <v>2632</v>
      </c>
      <c r="F5" s="3697"/>
      <c r="G5" s="3696" t="s">
        <v>2633</v>
      </c>
      <c r="H5" s="3697"/>
      <c r="I5" s="3696" t="s">
        <v>2634</v>
      </c>
      <c r="J5" s="3697"/>
      <c r="K5" s="491"/>
      <c r="L5" s="1969"/>
      <c r="M5" s="1970"/>
      <c r="N5" s="1970"/>
      <c r="O5" s="1970"/>
      <c r="P5" s="3684"/>
      <c r="Q5" s="3685"/>
      <c r="R5" s="3690"/>
      <c r="S5" s="3691"/>
      <c r="T5" s="3690"/>
      <c r="U5" s="3691"/>
      <c r="V5" s="3675"/>
      <c r="W5" s="3675"/>
      <c r="X5" s="1457"/>
      <c r="Y5" s="3690"/>
      <c r="Z5" s="3691"/>
      <c r="AA5" s="3678"/>
      <c r="AB5" s="3678"/>
      <c r="AC5" s="3678"/>
    </row>
    <row r="6" spans="1:29" ht="15.75" thickBot="1">
      <c r="A6" s="494"/>
      <c r="B6" s="495"/>
      <c r="C6" s="3694" t="s">
        <v>2635</v>
      </c>
      <c r="D6" s="3695"/>
      <c r="E6" s="3698" t="s">
        <v>2635</v>
      </c>
      <c r="F6" s="3699"/>
      <c r="G6" s="3694" t="s">
        <v>2635</v>
      </c>
      <c r="H6" s="3695"/>
      <c r="I6" s="3694" t="s">
        <v>2635</v>
      </c>
      <c r="J6" s="3695"/>
      <c r="K6" s="491" t="s">
        <v>511</v>
      </c>
      <c r="L6" s="1969"/>
      <c r="M6" s="1970"/>
      <c r="N6" s="1970"/>
      <c r="O6" s="1970"/>
      <c r="P6" s="3686"/>
      <c r="Q6" s="3687"/>
      <c r="R6" s="3690"/>
      <c r="S6" s="3691"/>
      <c r="T6" s="3692"/>
      <c r="U6" s="3693"/>
      <c r="V6" s="3675"/>
      <c r="W6" s="3675"/>
      <c r="X6" s="1457"/>
      <c r="Y6" s="3692"/>
      <c r="Z6" s="3693"/>
      <c r="AA6" s="3679"/>
      <c r="AB6" s="3679"/>
      <c r="AC6" s="3679"/>
    </row>
    <row r="7" spans="1:29" s="1166" customFormat="1" ht="15.75" thickBot="1">
      <c r="A7" s="2551"/>
      <c r="B7" s="2558" t="s">
        <v>512</v>
      </c>
      <c r="C7" s="496">
        <f>'数据-取费表'!B2</f>
        <v>44756</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04" t="s">
        <v>513</v>
      </c>
      <c r="Q7" s="3706"/>
      <c r="R7" s="1458" t="s">
        <v>8</v>
      </c>
      <c r="S7" s="1459">
        <f t="shared" ref="S7:S14" si="0">F7</f>
        <v>0</v>
      </c>
      <c r="T7" s="1458" t="s">
        <v>8</v>
      </c>
      <c r="U7" s="1459">
        <f t="shared" ref="U7:U14" si="1">H7</f>
        <v>0</v>
      </c>
      <c r="V7" s="1458" t="s">
        <v>8</v>
      </c>
      <c r="W7" s="1459">
        <f t="shared" ref="W7:W14" si="2">J7</f>
        <v>0</v>
      </c>
      <c r="X7" s="1460"/>
      <c r="Y7" s="3704" t="s">
        <v>513</v>
      </c>
      <c r="Z7" s="3705"/>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04" t="s">
        <v>516</v>
      </c>
      <c r="Q8" s="3705"/>
      <c r="R8" s="1458" t="s">
        <v>8</v>
      </c>
      <c r="S8" s="1459">
        <f t="shared" si="0"/>
        <v>0</v>
      </c>
      <c r="T8" s="1458" t="s">
        <v>8</v>
      </c>
      <c r="U8" s="1459">
        <f t="shared" si="1"/>
        <v>0</v>
      </c>
      <c r="V8" s="1458" t="s">
        <v>8</v>
      </c>
      <c r="W8" s="1459">
        <f t="shared" si="2"/>
        <v>0</v>
      </c>
      <c r="X8" s="1460"/>
      <c r="Y8" s="3704" t="s">
        <v>516</v>
      </c>
      <c r="Z8" s="3705"/>
      <c r="AA8" s="1461" t="e">
        <f t="shared" ref="AA8:AA36" si="3">D8/F8</f>
        <v>#DIV/0!</v>
      </c>
      <c r="AB8" s="1461" t="e">
        <f t="shared" ref="AB8:AB36" si="4">D8/H8</f>
        <v>#DIV/0!</v>
      </c>
      <c r="AC8" s="1461" t="e">
        <f t="shared" ref="AC8:AC36" si="5">D8/J8</f>
        <v>#DIV/0!</v>
      </c>
    </row>
    <row r="9" spans="1:29" s="1166"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74" t="s">
        <v>518</v>
      </c>
      <c r="Q9" s="1097" t="str">
        <f t="shared" ref="Q9:Q14" si="6">B9</f>
        <v>用途</v>
      </c>
      <c r="R9" s="1458" t="s">
        <v>8</v>
      </c>
      <c r="S9" s="1459">
        <f t="shared" si="0"/>
        <v>100</v>
      </c>
      <c r="T9" s="1458" t="s">
        <v>8</v>
      </c>
      <c r="U9" s="1459">
        <f t="shared" si="1"/>
        <v>100</v>
      </c>
      <c r="V9" s="1458" t="s">
        <v>8</v>
      </c>
      <c r="W9" s="1459">
        <f t="shared" si="2"/>
        <v>100</v>
      </c>
      <c r="X9" s="1460"/>
      <c r="Y9" s="3618"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74"/>
      <c r="Q11" s="1097">
        <f t="shared" si="6"/>
        <v>111</v>
      </c>
      <c r="R11" s="1458" t="s">
        <v>8</v>
      </c>
      <c r="S11" s="1459">
        <f t="shared" si="0"/>
        <v>100</v>
      </c>
      <c r="T11" s="1458" t="s">
        <v>8</v>
      </c>
      <c r="U11" s="1459">
        <f t="shared" si="1"/>
        <v>100</v>
      </c>
      <c r="V11" s="1458" t="s">
        <v>8</v>
      </c>
      <c r="W11" s="1459">
        <f t="shared" si="2"/>
        <v>100</v>
      </c>
      <c r="X11" s="1460"/>
      <c r="Y11" s="3618"/>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74"/>
      <c r="Q12" s="1097">
        <f t="shared" si="6"/>
        <v>111</v>
      </c>
      <c r="R12" s="1458" t="s">
        <v>8</v>
      </c>
      <c r="S12" s="1459">
        <f t="shared" si="0"/>
        <v>100</v>
      </c>
      <c r="T12" s="1458" t="s">
        <v>8</v>
      </c>
      <c r="U12" s="1459">
        <f t="shared" si="1"/>
        <v>100</v>
      </c>
      <c r="V12" s="1458" t="s">
        <v>8</v>
      </c>
      <c r="W12" s="1459">
        <f t="shared" si="2"/>
        <v>100</v>
      </c>
      <c r="X12" s="1460"/>
      <c r="Y12" s="3618"/>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74"/>
      <c r="Q13" s="1097">
        <f t="shared" si="6"/>
        <v>111</v>
      </c>
      <c r="R13" s="1458" t="s">
        <v>8</v>
      </c>
      <c r="S13" s="1459">
        <f t="shared" si="0"/>
        <v>100</v>
      </c>
      <c r="T13" s="1458" t="s">
        <v>8</v>
      </c>
      <c r="U13" s="1459">
        <f t="shared" si="1"/>
        <v>100</v>
      </c>
      <c r="V13" s="1458" t="s">
        <v>8</v>
      </c>
      <c r="W13" s="1459">
        <f t="shared" si="2"/>
        <v>100</v>
      </c>
      <c r="X13" s="1460"/>
      <c r="Y13" s="3618"/>
      <c r="Z13" s="1096">
        <f t="shared" si="7"/>
        <v>111</v>
      </c>
      <c r="AA13" s="1461">
        <f t="shared" si="3"/>
        <v>1</v>
      </c>
      <c r="AB13" s="1461">
        <f t="shared" si="4"/>
        <v>1</v>
      </c>
      <c r="AC13" s="1461">
        <f t="shared" si="5"/>
        <v>1</v>
      </c>
    </row>
    <row r="14" spans="1:29" ht="85.5">
      <c r="A14" s="2549" t="s">
        <v>2471</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07" t="s">
        <v>523</v>
      </c>
      <c r="Q14" s="1462" t="str">
        <f t="shared" si="6"/>
        <v>交通便捷度</v>
      </c>
      <c r="R14" s="1463" t="s">
        <v>8</v>
      </c>
      <c r="S14" s="1464">
        <f t="shared" si="0"/>
        <v>100</v>
      </c>
      <c r="T14" s="1463" t="s">
        <v>8</v>
      </c>
      <c r="U14" s="1464">
        <f t="shared" si="1"/>
        <v>100</v>
      </c>
      <c r="V14" s="1463" t="s">
        <v>8</v>
      </c>
      <c r="W14" s="1464">
        <f t="shared" si="2"/>
        <v>100</v>
      </c>
      <c r="X14" s="1457"/>
      <c r="Y14" s="3707"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08"/>
      <c r="Q15" s="1462"/>
      <c r="R15" s="1463"/>
      <c r="S15" s="1464"/>
      <c r="T15" s="1463"/>
      <c r="U15" s="1464"/>
      <c r="V15" s="1463"/>
      <c r="W15" s="1464"/>
      <c r="X15" s="1457"/>
      <c r="Y15" s="3708"/>
      <c r="Z15" s="1465"/>
      <c r="AA15" s="1466">
        <v>1</v>
      </c>
      <c r="AB15" s="1466">
        <v>1</v>
      </c>
      <c r="AC15" s="1466">
        <v>1</v>
      </c>
    </row>
    <row r="16" spans="1:29" ht="42.75">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08"/>
      <c r="Q16" s="1462" t="str">
        <f>B16</f>
        <v>公共配套设施</v>
      </c>
      <c r="R16" s="1463" t="s">
        <v>8</v>
      </c>
      <c r="S16" s="1464">
        <f>F16</f>
        <v>100</v>
      </c>
      <c r="T16" s="1463" t="s">
        <v>8</v>
      </c>
      <c r="U16" s="1464">
        <f>H16</f>
        <v>100</v>
      </c>
      <c r="V16" s="1463" t="s">
        <v>8</v>
      </c>
      <c r="W16" s="1464">
        <f>J16</f>
        <v>100</v>
      </c>
      <c r="X16" s="1457"/>
      <c r="Y16" s="3708"/>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08"/>
      <c r="Q17" s="1462"/>
      <c r="R17" s="1463"/>
      <c r="S17" s="1464"/>
      <c r="T17" s="1463"/>
      <c r="U17" s="1464"/>
      <c r="V17" s="1463"/>
      <c r="W17" s="1464"/>
      <c r="X17" s="1457"/>
      <c r="Y17" s="3708"/>
      <c r="Z17" s="1465"/>
      <c r="AA17" s="1466">
        <v>1</v>
      </c>
      <c r="AB17" s="1466">
        <v>1</v>
      </c>
      <c r="AC17" s="1466">
        <v>1</v>
      </c>
    </row>
    <row r="18" spans="1:29" ht="28.5">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08"/>
      <c r="Q18" s="2351" t="str">
        <f>B18</f>
        <v>基础设施水平</v>
      </c>
      <c r="R18" s="1463" t="s">
        <v>8</v>
      </c>
      <c r="S18" s="1464">
        <f>F18</f>
        <v>100</v>
      </c>
      <c r="T18" s="1463" t="s">
        <v>8</v>
      </c>
      <c r="U18" s="1464">
        <f>H18</f>
        <v>100</v>
      </c>
      <c r="V18" s="1463" t="s">
        <v>8</v>
      </c>
      <c r="W18" s="1464">
        <f>J18</f>
        <v>100</v>
      </c>
      <c r="X18" s="2353"/>
      <c r="Y18" s="3708"/>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08"/>
      <c r="Q19" s="2351"/>
      <c r="R19" s="1463"/>
      <c r="S19" s="1464"/>
      <c r="T19" s="1463"/>
      <c r="U19" s="1464"/>
      <c r="V19" s="1463"/>
      <c r="W19" s="1464"/>
      <c r="X19" s="2353"/>
      <c r="Y19" s="3708"/>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08"/>
      <c r="Q20" s="1462" t="str">
        <f>B20</f>
        <v>自然及人文环境</v>
      </c>
      <c r="R20" s="1463" t="s">
        <v>8</v>
      </c>
      <c r="S20" s="1464">
        <f>F20</f>
        <v>100</v>
      </c>
      <c r="T20" s="1463" t="s">
        <v>8</v>
      </c>
      <c r="U20" s="1464">
        <f>H20</f>
        <v>100</v>
      </c>
      <c r="V20" s="1463" t="s">
        <v>8</v>
      </c>
      <c r="W20" s="1464">
        <f>J20</f>
        <v>100</v>
      </c>
      <c r="X20" s="1457"/>
      <c r="Y20" s="3708"/>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08"/>
      <c r="Q21" s="1462"/>
      <c r="R21" s="1463"/>
      <c r="S21" s="1464"/>
      <c r="T21" s="1463"/>
      <c r="U21" s="1464"/>
      <c r="V21" s="1463"/>
      <c r="W21" s="1464"/>
      <c r="X21" s="1457"/>
      <c r="Y21" s="3708"/>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08"/>
      <c r="Q22" s="1462" t="str">
        <f>B22</f>
        <v>楼层</v>
      </c>
      <c r="R22" s="1463" t="s">
        <v>8</v>
      </c>
      <c r="S22" s="1464">
        <f>F22</f>
        <v>100</v>
      </c>
      <c r="T22" s="1463" t="s">
        <v>8</v>
      </c>
      <c r="U22" s="1464">
        <f>H22</f>
        <v>100</v>
      </c>
      <c r="V22" s="1463" t="s">
        <v>8</v>
      </c>
      <c r="W22" s="1464">
        <f>J22</f>
        <v>100</v>
      </c>
      <c r="X22" s="1457"/>
      <c r="Y22" s="3708"/>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08"/>
      <c r="Q23" s="1462">
        <f>B23</f>
        <v>111</v>
      </c>
      <c r="R23" s="1463" t="s">
        <v>8</v>
      </c>
      <c r="S23" s="1464">
        <f>F23</f>
        <v>100</v>
      </c>
      <c r="T23" s="1463" t="s">
        <v>8</v>
      </c>
      <c r="U23" s="1464">
        <f>H23</f>
        <v>100</v>
      </c>
      <c r="V23" s="1463" t="s">
        <v>8</v>
      </c>
      <c r="W23" s="1464">
        <f>J23</f>
        <v>100</v>
      </c>
      <c r="X23" s="1457"/>
      <c r="Y23" s="3708"/>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08"/>
      <c r="Q24" s="1462">
        <f t="shared" ref="Q24:Q36" si="11">B24</f>
        <v>111</v>
      </c>
      <c r="R24" s="1463" t="s">
        <v>8</v>
      </c>
      <c r="S24" s="1464">
        <f>F24</f>
        <v>100</v>
      </c>
      <c r="T24" s="1463" t="s">
        <v>8</v>
      </c>
      <c r="U24" s="1464">
        <f>H24</f>
        <v>100</v>
      </c>
      <c r="V24" s="1463" t="s">
        <v>8</v>
      </c>
      <c r="W24" s="1464">
        <f>J24</f>
        <v>100</v>
      </c>
      <c r="X24" s="1457"/>
      <c r="Y24" s="3708"/>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08"/>
      <c r="Q25" s="1097">
        <f t="shared" si="11"/>
        <v>111</v>
      </c>
      <c r="R25" s="1458" t="s">
        <v>8</v>
      </c>
      <c r="S25" s="1459">
        <f>F25</f>
        <v>100</v>
      </c>
      <c r="T25" s="1458" t="s">
        <v>8</v>
      </c>
      <c r="U25" s="1459">
        <f>H25</f>
        <v>100</v>
      </c>
      <c r="V25" s="1458" t="s">
        <v>8</v>
      </c>
      <c r="W25" s="1459">
        <f>J25</f>
        <v>100</v>
      </c>
      <c r="X25" s="1460"/>
      <c r="Y25" s="3708"/>
      <c r="Z25" s="1096">
        <f>Q25</f>
        <v>111</v>
      </c>
      <c r="AA25" s="1466">
        <f>D25/F25</f>
        <v>1</v>
      </c>
      <c r="AB25" s="1466">
        <f>D25/H25</f>
        <v>1</v>
      </c>
      <c r="AC25" s="1466">
        <f>D25/J25</f>
        <v>1</v>
      </c>
    </row>
    <row r="26" spans="1:29" ht="15">
      <c r="A26" s="2546" t="s">
        <v>2472</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09"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10"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10"/>
      <c r="Q27" s="1491" t="str">
        <f t="shared" si="11"/>
        <v>项目停车位配比</v>
      </c>
      <c r="R27" s="1467" t="s">
        <v>8</v>
      </c>
      <c r="S27" s="1468">
        <f t="shared" si="12"/>
        <v>100</v>
      </c>
      <c r="T27" s="1467" t="s">
        <v>8</v>
      </c>
      <c r="U27" s="1468">
        <f t="shared" si="13"/>
        <v>100</v>
      </c>
      <c r="V27" s="1467" t="s">
        <v>8</v>
      </c>
      <c r="W27" s="1468">
        <f t="shared" si="14"/>
        <v>100</v>
      </c>
      <c r="X27" s="1469"/>
      <c r="Y27" s="3710"/>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10"/>
      <c r="Q28" s="1462" t="str">
        <f t="shared" si="11"/>
        <v>公共部分装修</v>
      </c>
      <c r="R28" s="1463" t="s">
        <v>8</v>
      </c>
      <c r="S28" s="1464">
        <f t="shared" si="12"/>
        <v>100</v>
      </c>
      <c r="T28" s="1463" t="s">
        <v>8</v>
      </c>
      <c r="U28" s="1464">
        <f t="shared" si="13"/>
        <v>100</v>
      </c>
      <c r="V28" s="1463" t="s">
        <v>8</v>
      </c>
      <c r="W28" s="1464">
        <f t="shared" si="14"/>
        <v>100</v>
      </c>
      <c r="X28" s="1457"/>
      <c r="Y28" s="3710"/>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10"/>
      <c r="Q29" s="1462" t="str">
        <f t="shared" si="11"/>
        <v>成新率</v>
      </c>
      <c r="R29" s="1463" t="s">
        <v>8</v>
      </c>
      <c r="S29" s="1464" t="e">
        <f t="shared" si="12"/>
        <v>#N/A</v>
      </c>
      <c r="T29" s="1463" t="s">
        <v>8</v>
      </c>
      <c r="U29" s="1464" t="e">
        <f t="shared" si="13"/>
        <v>#N/A</v>
      </c>
      <c r="V29" s="1463" t="s">
        <v>8</v>
      </c>
      <c r="W29" s="1464" t="e">
        <f t="shared" si="14"/>
        <v>#N/A</v>
      </c>
      <c r="X29" s="1457"/>
      <c r="Y29" s="3710"/>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10"/>
      <c r="Q30" s="1462" t="str">
        <f t="shared" si="11"/>
        <v>物业等级</v>
      </c>
      <c r="R30" s="1463" t="s">
        <v>8</v>
      </c>
      <c r="S30" s="1464">
        <f t="shared" si="12"/>
        <v>100</v>
      </c>
      <c r="T30" s="1463" t="s">
        <v>8</v>
      </c>
      <c r="U30" s="1464">
        <f t="shared" si="13"/>
        <v>100</v>
      </c>
      <c r="V30" s="1463" t="s">
        <v>8</v>
      </c>
      <c r="W30" s="1464">
        <f t="shared" si="14"/>
        <v>100</v>
      </c>
      <c r="X30" s="1457"/>
      <c r="Y30" s="3710"/>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10"/>
      <c r="Q31" s="1097" t="str">
        <f t="shared" si="11"/>
        <v>停车位面积</v>
      </c>
      <c r="R31" s="1458" t="s">
        <v>8</v>
      </c>
      <c r="S31" s="1459" t="e">
        <f t="shared" si="12"/>
        <v>#N/A</v>
      </c>
      <c r="T31" s="1458" t="s">
        <v>8</v>
      </c>
      <c r="U31" s="1459" t="e">
        <f t="shared" si="13"/>
        <v>#N/A</v>
      </c>
      <c r="V31" s="1458" t="s">
        <v>8</v>
      </c>
      <c r="W31" s="1459" t="e">
        <f t="shared" si="14"/>
        <v>#N/A</v>
      </c>
      <c r="X31" s="1460"/>
      <c r="Y31" s="3710"/>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10" t="s">
        <v>533</v>
      </c>
      <c r="Q32" s="1462" t="str">
        <f t="shared" si="11"/>
        <v>车位类型</v>
      </c>
      <c r="R32" s="1463" t="s">
        <v>8</v>
      </c>
      <c r="S32" s="1464">
        <f t="shared" si="12"/>
        <v>100</v>
      </c>
      <c r="T32" s="1463" t="s">
        <v>8</v>
      </c>
      <c r="U32" s="1464">
        <f t="shared" si="13"/>
        <v>100</v>
      </c>
      <c r="V32" s="1463" t="s">
        <v>8</v>
      </c>
      <c r="W32" s="1464">
        <f t="shared" si="14"/>
        <v>100</v>
      </c>
      <c r="X32" s="1457"/>
      <c r="Y32" s="3710"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10"/>
      <c r="Q33" s="1462" t="str">
        <f t="shared" si="11"/>
        <v>是否直接入户</v>
      </c>
      <c r="R33" s="1463" t="s">
        <v>8</v>
      </c>
      <c r="S33" s="1464">
        <f t="shared" si="12"/>
        <v>100</v>
      </c>
      <c r="T33" s="1463" t="s">
        <v>8</v>
      </c>
      <c r="U33" s="1464">
        <f t="shared" si="13"/>
        <v>100</v>
      </c>
      <c r="V33" s="1463" t="s">
        <v>8</v>
      </c>
      <c r="W33" s="1464">
        <f t="shared" si="14"/>
        <v>100</v>
      </c>
      <c r="X33" s="1457"/>
      <c r="Y33" s="3710"/>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10"/>
      <c r="Q34" s="1462">
        <f t="shared" si="11"/>
        <v>111</v>
      </c>
      <c r="R34" s="1463" t="s">
        <v>8</v>
      </c>
      <c r="S34" s="1464">
        <f t="shared" si="12"/>
        <v>100</v>
      </c>
      <c r="T34" s="1463" t="s">
        <v>8</v>
      </c>
      <c r="U34" s="1464">
        <f t="shared" si="13"/>
        <v>100</v>
      </c>
      <c r="V34" s="1463" t="s">
        <v>8</v>
      </c>
      <c r="W34" s="1464">
        <f t="shared" si="14"/>
        <v>100</v>
      </c>
      <c r="X34" s="1457"/>
      <c r="Y34" s="3710"/>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10"/>
      <c r="Q35" s="1491">
        <f t="shared" si="11"/>
        <v>111</v>
      </c>
      <c r="R35" s="1467" t="s">
        <v>8</v>
      </c>
      <c r="S35" s="1468">
        <f t="shared" si="12"/>
        <v>100</v>
      </c>
      <c r="T35" s="1467" t="s">
        <v>8</v>
      </c>
      <c r="U35" s="1468">
        <f t="shared" si="13"/>
        <v>100</v>
      </c>
      <c r="V35" s="1467" t="s">
        <v>8</v>
      </c>
      <c r="W35" s="1468">
        <f t="shared" si="14"/>
        <v>100</v>
      </c>
      <c r="X35" s="1469"/>
      <c r="Y35" s="3710"/>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10"/>
      <c r="Q36" s="1462">
        <f t="shared" si="11"/>
        <v>111</v>
      </c>
      <c r="R36" s="1463" t="s">
        <v>8</v>
      </c>
      <c r="S36" s="1464">
        <f t="shared" si="12"/>
        <v>100</v>
      </c>
      <c r="T36" s="1463" t="s">
        <v>8</v>
      </c>
      <c r="U36" s="1464">
        <f t="shared" si="13"/>
        <v>100</v>
      </c>
      <c r="V36" s="1463" t="s">
        <v>8</v>
      </c>
      <c r="W36" s="1464">
        <f t="shared" si="14"/>
        <v>100</v>
      </c>
      <c r="X36" s="1457"/>
      <c r="Y36" s="3710"/>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74" t="str">
        <f>A37</f>
        <v>成交单价</v>
      </c>
      <c r="Q37" s="3674"/>
      <c r="R37" s="3802">
        <f>E37</f>
        <v>0</v>
      </c>
      <c r="S37" s="3802"/>
      <c r="T37" s="3802">
        <f>G37</f>
        <v>0</v>
      </c>
      <c r="U37" s="3802"/>
      <c r="V37" s="3802">
        <f>I37</f>
        <v>0</v>
      </c>
      <c r="W37" s="3802"/>
      <c r="X37" s="1452"/>
      <c r="Y37" s="1471"/>
      <c r="Z37" s="1452"/>
      <c r="AA37" s="1452"/>
      <c r="AB37" s="1452"/>
      <c r="AC37" s="1452"/>
    </row>
    <row r="38" spans="1:29" ht="15.75" thickBot="1">
      <c r="A38" s="592"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74" t="str">
        <f>A38</f>
        <v>比较价格（元/平方米）</v>
      </c>
      <c r="Q38" s="3674"/>
      <c r="R38" s="3802" t="e">
        <f>IF(F1="售价",ROUND(PRODUCT(R37,AA7:AA36),0),ROUND(PRODUCT(R37,AA7:AA36),1))</f>
        <v>#DIV/0!</v>
      </c>
      <c r="S38" s="3802"/>
      <c r="T38" s="3802" t="e">
        <f>IF(F1="售价",ROUND(PRODUCT(T37,AB7:AB36),0),ROUND(PRODUCT(T37,AB7:AB36),1))</f>
        <v>#DIV/0!</v>
      </c>
      <c r="U38" s="3802"/>
      <c r="V38" s="3802" t="e">
        <f>IF(F1="售价",ROUND(PRODUCT(V37,AC7:AC36),0),ROUND(PRODUCT(V37,AC7:AC36),1))</f>
        <v>#DIV/0!</v>
      </c>
      <c r="W38" s="3802"/>
      <c r="X38" s="1452"/>
      <c r="Y38" s="1452"/>
      <c r="Z38" s="1452"/>
      <c r="AA38" s="1452"/>
      <c r="AB38" s="1452"/>
      <c r="AC38" s="1452"/>
    </row>
    <row r="39" spans="1:29" ht="15.75" thickBot="1">
      <c r="A39" s="596" t="s">
        <v>2637</v>
      </c>
      <c r="B39" s="597"/>
      <c r="C39" s="2400" t="e">
        <f>R39</f>
        <v>#DIV/0!</v>
      </c>
      <c r="D39" s="2400"/>
      <c r="E39" s="2400"/>
      <c r="F39" s="2400"/>
      <c r="G39" s="2400"/>
      <c r="H39" s="2400"/>
      <c r="I39" s="2400"/>
      <c r="J39" s="2400"/>
      <c r="K39" s="1497"/>
      <c r="L39" s="1980"/>
      <c r="M39" s="1981"/>
      <c r="N39" s="1981"/>
      <c r="O39" s="1981"/>
      <c r="P39" s="3711" t="str">
        <f>A39</f>
        <v>估价对象XX用房的比较价格（楼面单价，元/平方米）</v>
      </c>
      <c r="Q39" s="3712"/>
      <c r="R39" s="3801" t="e">
        <f>IF(F1="售价",ROUND(IF(D38="简单平均",AVERAGE(R38:W38),R38*F38+T38*H38+V38*J38),0),ROUND(IF(D38="简单平均",AVERAGE(R38:V38),R38*F38+T38*H38+V38*J38),1))</f>
        <v>#DIV/0!</v>
      </c>
      <c r="S39" s="3801"/>
      <c r="T39" s="3801"/>
      <c r="U39" s="3801"/>
      <c r="V39" s="3801"/>
      <c r="W39" s="3801"/>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80" t="s">
        <v>780</v>
      </c>
      <c r="D4" s="3681"/>
      <c r="E4" s="3715" t="s">
        <v>781</v>
      </c>
      <c r="F4" s="3716"/>
      <c r="G4" s="3680" t="s">
        <v>782</v>
      </c>
      <c r="H4" s="3681"/>
      <c r="I4" s="3680" t="s">
        <v>783</v>
      </c>
      <c r="J4" s="3681"/>
      <c r="K4" s="491" t="s">
        <v>784</v>
      </c>
      <c r="L4" s="1969"/>
      <c r="M4" s="1970"/>
      <c r="N4" s="1970"/>
      <c r="O4" s="1970"/>
      <c r="P4" s="3682" t="s">
        <v>785</v>
      </c>
      <c r="Q4" s="3683"/>
      <c r="R4" s="3688" t="s">
        <v>781</v>
      </c>
      <c r="S4" s="3689"/>
      <c r="T4" s="3688" t="s">
        <v>782</v>
      </c>
      <c r="U4" s="3689"/>
      <c r="V4" s="3675" t="s">
        <v>783</v>
      </c>
      <c r="W4" s="3675"/>
      <c r="X4" s="1457"/>
      <c r="Y4" s="3688" t="s">
        <v>785</v>
      </c>
      <c r="Z4" s="3689"/>
      <c r="AA4" s="3677" t="s">
        <v>781</v>
      </c>
      <c r="AB4" s="3678" t="s">
        <v>782</v>
      </c>
      <c r="AC4" s="3677" t="s">
        <v>783</v>
      </c>
    </row>
    <row r="5" spans="1:29" ht="15">
      <c r="A5" s="492"/>
      <c r="B5" s="493"/>
      <c r="C5" s="3696" t="s">
        <v>2631</v>
      </c>
      <c r="D5" s="3697"/>
      <c r="E5" s="3717" t="s">
        <v>2632</v>
      </c>
      <c r="F5" s="3718"/>
      <c r="G5" s="3696" t="s">
        <v>2633</v>
      </c>
      <c r="H5" s="3697"/>
      <c r="I5" s="3696" t="s">
        <v>2634</v>
      </c>
      <c r="J5" s="3697"/>
      <c r="K5" s="491"/>
      <c r="L5" s="1969"/>
      <c r="M5" s="1970"/>
      <c r="N5" s="1970"/>
      <c r="O5" s="1970"/>
      <c r="P5" s="3684"/>
      <c r="Q5" s="3685"/>
      <c r="R5" s="3690"/>
      <c r="S5" s="3691"/>
      <c r="T5" s="3690"/>
      <c r="U5" s="3691"/>
      <c r="V5" s="3675"/>
      <c r="W5" s="3675"/>
      <c r="X5" s="1457"/>
      <c r="Y5" s="3690"/>
      <c r="Z5" s="3691"/>
      <c r="AA5" s="3678"/>
      <c r="AB5" s="3678"/>
      <c r="AC5" s="3678"/>
    </row>
    <row r="6" spans="1:29" ht="15.75" thickBot="1">
      <c r="A6" s="494"/>
      <c r="B6" s="495"/>
      <c r="C6" s="3694" t="s">
        <v>2635</v>
      </c>
      <c r="D6" s="3695"/>
      <c r="E6" s="3713" t="s">
        <v>2635</v>
      </c>
      <c r="F6" s="3714"/>
      <c r="G6" s="3694" t="s">
        <v>2635</v>
      </c>
      <c r="H6" s="3695"/>
      <c r="I6" s="3694" t="s">
        <v>2635</v>
      </c>
      <c r="J6" s="3695"/>
      <c r="K6" s="491" t="s">
        <v>511</v>
      </c>
      <c r="L6" s="1969"/>
      <c r="M6" s="1970"/>
      <c r="N6" s="1970"/>
      <c r="O6" s="1970"/>
      <c r="P6" s="3686"/>
      <c r="Q6" s="3687"/>
      <c r="R6" s="3690"/>
      <c r="S6" s="3691"/>
      <c r="T6" s="3692"/>
      <c r="U6" s="3693"/>
      <c r="V6" s="3675"/>
      <c r="W6" s="3675"/>
      <c r="X6" s="1457"/>
      <c r="Y6" s="3692"/>
      <c r="Z6" s="3693"/>
      <c r="AA6" s="3679"/>
      <c r="AB6" s="3679"/>
      <c r="AC6" s="3679"/>
    </row>
    <row r="7" spans="1:29" s="1166" customFormat="1" ht="15.75" thickBot="1">
      <c r="A7" s="2551"/>
      <c r="B7" s="2558" t="s">
        <v>512</v>
      </c>
      <c r="C7" s="496">
        <f>'数据-取费表'!B2</f>
        <v>44756</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04" t="s">
        <v>513</v>
      </c>
      <c r="Q7" s="3706"/>
      <c r="R7" s="1458" t="s">
        <v>8</v>
      </c>
      <c r="S7" s="1459">
        <f t="shared" ref="S7:S14" si="0">F7</f>
        <v>0</v>
      </c>
      <c r="T7" s="1458" t="s">
        <v>8</v>
      </c>
      <c r="U7" s="1459">
        <f t="shared" ref="U7:U14" si="1">H7</f>
        <v>0</v>
      </c>
      <c r="V7" s="1458" t="s">
        <v>8</v>
      </c>
      <c r="W7" s="1459">
        <f t="shared" ref="W7:W14" si="2">J7</f>
        <v>0</v>
      </c>
      <c r="X7" s="1460"/>
      <c r="Y7" s="3704" t="s">
        <v>513</v>
      </c>
      <c r="Z7" s="3705"/>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04" t="s">
        <v>516</v>
      </c>
      <c r="Q8" s="3705"/>
      <c r="R8" s="1458" t="s">
        <v>8</v>
      </c>
      <c r="S8" s="1459">
        <f t="shared" si="0"/>
        <v>0</v>
      </c>
      <c r="T8" s="1458" t="s">
        <v>8</v>
      </c>
      <c r="U8" s="1459">
        <f t="shared" si="1"/>
        <v>0</v>
      </c>
      <c r="V8" s="1458" t="s">
        <v>8</v>
      </c>
      <c r="W8" s="1459">
        <f t="shared" si="2"/>
        <v>0</v>
      </c>
      <c r="X8" s="1460"/>
      <c r="Y8" s="3704" t="s">
        <v>516</v>
      </c>
      <c r="Z8" s="3705"/>
      <c r="AA8" s="1461" t="e">
        <f t="shared" ref="AA8:AA34" si="3">D8/F8</f>
        <v>#DIV/0!</v>
      </c>
      <c r="AB8" s="1461" t="e">
        <f t="shared" ref="AB8:AB34" si="4">D8/H8</f>
        <v>#DIV/0!</v>
      </c>
      <c r="AC8" s="1461" t="e">
        <f t="shared" ref="AC8:AC34" si="5">D8/J8</f>
        <v>#DIV/0!</v>
      </c>
    </row>
    <row r="9" spans="1:29" s="1166"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74" t="s">
        <v>518</v>
      </c>
      <c r="Q9" s="1097" t="str">
        <f t="shared" ref="Q9:Q14" si="6">B9</f>
        <v>用途</v>
      </c>
      <c r="R9" s="1458" t="s">
        <v>8</v>
      </c>
      <c r="S9" s="1459">
        <f t="shared" si="0"/>
        <v>100</v>
      </c>
      <c r="T9" s="1458" t="s">
        <v>8</v>
      </c>
      <c r="U9" s="1459">
        <f t="shared" si="1"/>
        <v>100</v>
      </c>
      <c r="V9" s="1458" t="s">
        <v>8</v>
      </c>
      <c r="W9" s="1459">
        <f t="shared" si="2"/>
        <v>100</v>
      </c>
      <c r="X9" s="1460"/>
      <c r="Y9" s="3618"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74"/>
      <c r="Q10" s="1097" t="str">
        <f t="shared" si="6"/>
        <v>土地使用年限（年）</v>
      </c>
      <c r="R10" s="1458" t="s">
        <v>8</v>
      </c>
      <c r="S10" s="1459">
        <f t="shared" si="0"/>
        <v>100</v>
      </c>
      <c r="T10" s="1458" t="s">
        <v>8</v>
      </c>
      <c r="U10" s="1459">
        <f t="shared" si="1"/>
        <v>100</v>
      </c>
      <c r="V10" s="1458" t="s">
        <v>8</v>
      </c>
      <c r="W10" s="1459">
        <f t="shared" si="2"/>
        <v>100</v>
      </c>
      <c r="X10" s="1460"/>
      <c r="Y10" s="3618"/>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74"/>
      <c r="Q11" s="1097">
        <f t="shared" si="6"/>
        <v>111</v>
      </c>
      <c r="R11" s="1458" t="s">
        <v>8</v>
      </c>
      <c r="S11" s="1459">
        <f t="shared" si="0"/>
        <v>100</v>
      </c>
      <c r="T11" s="1458" t="s">
        <v>8</v>
      </c>
      <c r="U11" s="1459">
        <f t="shared" si="1"/>
        <v>100</v>
      </c>
      <c r="V11" s="1458" t="s">
        <v>8</v>
      </c>
      <c r="W11" s="1459">
        <f t="shared" si="2"/>
        <v>100</v>
      </c>
      <c r="X11" s="1460"/>
      <c r="Y11" s="3618"/>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74"/>
      <c r="Q12" s="1097">
        <f t="shared" si="6"/>
        <v>111</v>
      </c>
      <c r="R12" s="1458" t="s">
        <v>8</v>
      </c>
      <c r="S12" s="1459">
        <f t="shared" si="0"/>
        <v>100</v>
      </c>
      <c r="T12" s="1458" t="s">
        <v>8</v>
      </c>
      <c r="U12" s="1459">
        <f t="shared" si="1"/>
        <v>100</v>
      </c>
      <c r="V12" s="1458" t="s">
        <v>8</v>
      </c>
      <c r="W12" s="1459">
        <f t="shared" si="2"/>
        <v>100</v>
      </c>
      <c r="X12" s="1460"/>
      <c r="Y12" s="3618"/>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74"/>
      <c r="Q13" s="1097">
        <f t="shared" si="6"/>
        <v>111</v>
      </c>
      <c r="R13" s="1458" t="s">
        <v>8</v>
      </c>
      <c r="S13" s="1459">
        <f t="shared" si="0"/>
        <v>100</v>
      </c>
      <c r="T13" s="1458" t="s">
        <v>8</v>
      </c>
      <c r="U13" s="1459">
        <f t="shared" si="1"/>
        <v>100</v>
      </c>
      <c r="V13" s="1458" t="s">
        <v>8</v>
      </c>
      <c r="W13" s="1459">
        <f t="shared" si="2"/>
        <v>100</v>
      </c>
      <c r="X13" s="1460"/>
      <c r="Y13" s="3618"/>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07" t="s">
        <v>523</v>
      </c>
      <c r="Q14" s="1462" t="str">
        <f t="shared" si="6"/>
        <v>交通便捷度</v>
      </c>
      <c r="R14" s="1463" t="s">
        <v>8</v>
      </c>
      <c r="S14" s="1464">
        <f t="shared" si="0"/>
        <v>100</v>
      </c>
      <c r="T14" s="1463" t="s">
        <v>8</v>
      </c>
      <c r="U14" s="1464">
        <f t="shared" si="1"/>
        <v>100</v>
      </c>
      <c r="V14" s="1463" t="s">
        <v>8</v>
      </c>
      <c r="W14" s="1464">
        <f t="shared" si="2"/>
        <v>100</v>
      </c>
      <c r="X14" s="1457"/>
      <c r="Y14" s="3707"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08"/>
      <c r="Q15" s="1462"/>
      <c r="R15" s="1463"/>
      <c r="S15" s="1464"/>
      <c r="T15" s="1463"/>
      <c r="U15" s="1464"/>
      <c r="V15" s="1463"/>
      <c r="W15" s="1464"/>
      <c r="X15" s="1457"/>
      <c r="Y15" s="3708"/>
      <c r="Z15" s="1465"/>
      <c r="AA15" s="1466">
        <v>1</v>
      </c>
      <c r="AB15" s="1466">
        <v>1</v>
      </c>
      <c r="AC15" s="1466">
        <v>1</v>
      </c>
    </row>
    <row r="16" spans="1:29" ht="42.75">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08"/>
      <c r="Q16" s="1462" t="str">
        <f>B16</f>
        <v>公共配套设施</v>
      </c>
      <c r="R16" s="1463" t="s">
        <v>8</v>
      </c>
      <c r="S16" s="1464">
        <f>F16</f>
        <v>100</v>
      </c>
      <c r="T16" s="1463" t="s">
        <v>8</v>
      </c>
      <c r="U16" s="1464">
        <f>H16</f>
        <v>100</v>
      </c>
      <c r="V16" s="1463" t="s">
        <v>8</v>
      </c>
      <c r="W16" s="1464">
        <f>J16</f>
        <v>100</v>
      </c>
      <c r="X16" s="1457"/>
      <c r="Y16" s="3708"/>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08"/>
      <c r="Q17" s="1462"/>
      <c r="R17" s="1463"/>
      <c r="S17" s="1464"/>
      <c r="T17" s="1463"/>
      <c r="U17" s="1464"/>
      <c r="V17" s="1463"/>
      <c r="W17" s="1464"/>
      <c r="X17" s="1457"/>
      <c r="Y17" s="3708"/>
      <c r="Z17" s="1465"/>
      <c r="AA17" s="1466">
        <v>1</v>
      </c>
      <c r="AB17" s="1466">
        <v>1</v>
      </c>
      <c r="AC17" s="1466">
        <v>1</v>
      </c>
    </row>
    <row r="18" spans="1:29" ht="28.5">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08"/>
      <c r="Q18" s="2351" t="str">
        <f>B18</f>
        <v>基础设施水平</v>
      </c>
      <c r="R18" s="1463" t="s">
        <v>8</v>
      </c>
      <c r="S18" s="1464">
        <f>F18</f>
        <v>100</v>
      </c>
      <c r="T18" s="1463" t="s">
        <v>8</v>
      </c>
      <c r="U18" s="1464">
        <f>H18</f>
        <v>100</v>
      </c>
      <c r="V18" s="1463" t="s">
        <v>8</v>
      </c>
      <c r="W18" s="1464">
        <f>J18</f>
        <v>100</v>
      </c>
      <c r="X18" s="2353"/>
      <c r="Y18" s="3708"/>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08"/>
      <c r="Q19" s="2351"/>
      <c r="R19" s="1463"/>
      <c r="S19" s="1464"/>
      <c r="T19" s="1463"/>
      <c r="U19" s="1464"/>
      <c r="V19" s="1463"/>
      <c r="W19" s="1464"/>
      <c r="X19" s="2353"/>
      <c r="Y19" s="3708"/>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08"/>
      <c r="Q20" s="1462" t="str">
        <f>B20</f>
        <v>自然及人文环境</v>
      </c>
      <c r="R20" s="1463" t="s">
        <v>8</v>
      </c>
      <c r="S20" s="1464">
        <f>F20</f>
        <v>100</v>
      </c>
      <c r="T20" s="1463" t="s">
        <v>8</v>
      </c>
      <c r="U20" s="1464">
        <f>H20</f>
        <v>100</v>
      </c>
      <c r="V20" s="1463" t="s">
        <v>8</v>
      </c>
      <c r="W20" s="1464">
        <f>J20</f>
        <v>100</v>
      </c>
      <c r="X20" s="1457"/>
      <c r="Y20" s="3708"/>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08"/>
      <c r="Q21" s="1462"/>
      <c r="R21" s="1463"/>
      <c r="S21" s="1464"/>
      <c r="T21" s="1463"/>
      <c r="U21" s="1464"/>
      <c r="V21" s="1463"/>
      <c r="W21" s="1464"/>
      <c r="X21" s="1457"/>
      <c r="Y21" s="3708"/>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08"/>
      <c r="Q22" s="1462" t="str">
        <f>B22</f>
        <v>楼层</v>
      </c>
      <c r="R22" s="1463" t="s">
        <v>8</v>
      </c>
      <c r="S22" s="1464">
        <f>F22</f>
        <v>100</v>
      </c>
      <c r="T22" s="1463" t="s">
        <v>8</v>
      </c>
      <c r="U22" s="1464">
        <f>H22</f>
        <v>100</v>
      </c>
      <c r="V22" s="1463" t="s">
        <v>8</v>
      </c>
      <c r="W22" s="1464">
        <f>J22</f>
        <v>100</v>
      </c>
      <c r="X22" s="1457"/>
      <c r="Y22" s="3708"/>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08"/>
      <c r="Q23" s="1462">
        <f>B23</f>
        <v>111</v>
      </c>
      <c r="R23" s="1463" t="s">
        <v>8</v>
      </c>
      <c r="S23" s="1464">
        <f>F23</f>
        <v>100</v>
      </c>
      <c r="T23" s="1463" t="s">
        <v>8</v>
      </c>
      <c r="U23" s="1464">
        <f>H23</f>
        <v>100</v>
      </c>
      <c r="V23" s="1463" t="s">
        <v>8</v>
      </c>
      <c r="W23" s="1464">
        <f>J23</f>
        <v>100</v>
      </c>
      <c r="X23" s="1457"/>
      <c r="Y23" s="3708"/>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08"/>
      <c r="Q24" s="1462">
        <f t="shared" ref="Q24:Q34" si="11">B24</f>
        <v>111</v>
      </c>
      <c r="R24" s="1463" t="s">
        <v>8</v>
      </c>
      <c r="S24" s="1464">
        <f>F24</f>
        <v>100</v>
      </c>
      <c r="T24" s="1463" t="s">
        <v>8</v>
      </c>
      <c r="U24" s="1464">
        <f>H24</f>
        <v>100</v>
      </c>
      <c r="V24" s="1463" t="s">
        <v>8</v>
      </c>
      <c r="W24" s="1464">
        <f>J24</f>
        <v>100</v>
      </c>
      <c r="X24" s="1457"/>
      <c r="Y24" s="3708"/>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08"/>
      <c r="Q25" s="1097">
        <f t="shared" si="11"/>
        <v>111</v>
      </c>
      <c r="R25" s="1458" t="s">
        <v>8</v>
      </c>
      <c r="S25" s="1459">
        <f>F25</f>
        <v>100</v>
      </c>
      <c r="T25" s="1458" t="s">
        <v>8</v>
      </c>
      <c r="U25" s="1459">
        <f>H25</f>
        <v>100</v>
      </c>
      <c r="V25" s="1458" t="s">
        <v>8</v>
      </c>
      <c r="W25" s="1459">
        <f>J25</f>
        <v>100</v>
      </c>
      <c r="X25" s="1460"/>
      <c r="Y25" s="3708"/>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09"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10"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10"/>
      <c r="Q27" s="1491" t="str">
        <f t="shared" si="11"/>
        <v>成新率</v>
      </c>
      <c r="R27" s="1467" t="s">
        <v>8</v>
      </c>
      <c r="S27" s="1468" t="e">
        <f t="shared" si="12"/>
        <v>#N/A</v>
      </c>
      <c r="T27" s="1467" t="s">
        <v>8</v>
      </c>
      <c r="U27" s="1468" t="e">
        <f t="shared" si="13"/>
        <v>#N/A</v>
      </c>
      <c r="V27" s="1467" t="s">
        <v>8</v>
      </c>
      <c r="W27" s="1468" t="e">
        <f t="shared" si="14"/>
        <v>#N/A</v>
      </c>
      <c r="X27" s="1469"/>
      <c r="Y27" s="3710"/>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10"/>
      <c r="Q28" s="1462" t="str">
        <f t="shared" si="11"/>
        <v>物业等级</v>
      </c>
      <c r="R28" s="1463" t="s">
        <v>8</v>
      </c>
      <c r="S28" s="1464">
        <f t="shared" si="12"/>
        <v>100</v>
      </c>
      <c r="T28" s="1463" t="s">
        <v>8</v>
      </c>
      <c r="U28" s="1464">
        <f t="shared" si="13"/>
        <v>100</v>
      </c>
      <c r="V28" s="1463" t="s">
        <v>8</v>
      </c>
      <c r="W28" s="1464">
        <f t="shared" si="14"/>
        <v>100</v>
      </c>
      <c r="X28" s="1457"/>
      <c r="Y28" s="3710"/>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10"/>
      <c r="Q29" s="1462" t="str">
        <f t="shared" si="11"/>
        <v>有无电梯</v>
      </c>
      <c r="R29" s="1463" t="s">
        <v>8</v>
      </c>
      <c r="S29" s="1464">
        <f t="shared" si="12"/>
        <v>100</v>
      </c>
      <c r="T29" s="1463" t="s">
        <v>8</v>
      </c>
      <c r="U29" s="1464">
        <f t="shared" si="13"/>
        <v>100</v>
      </c>
      <c r="V29" s="1463" t="s">
        <v>8</v>
      </c>
      <c r="W29" s="1464">
        <f t="shared" si="14"/>
        <v>100</v>
      </c>
      <c r="X29" s="1457"/>
      <c r="Y29" s="3710"/>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10"/>
      <c r="Q30" s="1462" t="str">
        <f t="shared" si="11"/>
        <v>建筑面积</v>
      </c>
      <c r="R30" s="1463" t="s">
        <v>8</v>
      </c>
      <c r="S30" s="1464" t="e">
        <f t="shared" si="12"/>
        <v>#N/A</v>
      </c>
      <c r="T30" s="1463" t="s">
        <v>8</v>
      </c>
      <c r="U30" s="1464" t="e">
        <f t="shared" si="13"/>
        <v>#N/A</v>
      </c>
      <c r="V30" s="1463" t="s">
        <v>8</v>
      </c>
      <c r="W30" s="1464" t="e">
        <f t="shared" si="14"/>
        <v>#N/A</v>
      </c>
      <c r="X30" s="1457"/>
      <c r="Y30" s="3710"/>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10"/>
      <c r="Q31" s="1097" t="str">
        <f t="shared" si="11"/>
        <v>是否封闭</v>
      </c>
      <c r="R31" s="1458" t="s">
        <v>8</v>
      </c>
      <c r="S31" s="1459">
        <f t="shared" si="12"/>
        <v>100</v>
      </c>
      <c r="T31" s="1458" t="s">
        <v>8</v>
      </c>
      <c r="U31" s="1459">
        <f t="shared" si="13"/>
        <v>100</v>
      </c>
      <c r="V31" s="1458" t="s">
        <v>8</v>
      </c>
      <c r="W31" s="1459">
        <f t="shared" si="14"/>
        <v>100</v>
      </c>
      <c r="X31" s="1460"/>
      <c r="Y31" s="3710"/>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10" t="s">
        <v>533</v>
      </c>
      <c r="Q32" s="1462">
        <f t="shared" si="11"/>
        <v>111</v>
      </c>
      <c r="R32" s="1463" t="s">
        <v>8</v>
      </c>
      <c r="S32" s="1464">
        <f t="shared" si="12"/>
        <v>100</v>
      </c>
      <c r="T32" s="1463" t="s">
        <v>8</v>
      </c>
      <c r="U32" s="1464">
        <f t="shared" si="13"/>
        <v>100</v>
      </c>
      <c r="V32" s="1463" t="s">
        <v>8</v>
      </c>
      <c r="W32" s="1464">
        <f t="shared" si="14"/>
        <v>100</v>
      </c>
      <c r="X32" s="1457"/>
      <c r="Y32" s="3710"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10"/>
      <c r="Q33" s="1462">
        <f t="shared" si="11"/>
        <v>111</v>
      </c>
      <c r="R33" s="1463" t="s">
        <v>8</v>
      </c>
      <c r="S33" s="1464">
        <f t="shared" si="12"/>
        <v>100</v>
      </c>
      <c r="T33" s="1463" t="s">
        <v>8</v>
      </c>
      <c r="U33" s="1464">
        <f t="shared" si="13"/>
        <v>100</v>
      </c>
      <c r="V33" s="1463" t="s">
        <v>8</v>
      </c>
      <c r="W33" s="1464">
        <f t="shared" si="14"/>
        <v>100</v>
      </c>
      <c r="X33" s="1457"/>
      <c r="Y33" s="3710"/>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10"/>
      <c r="Q34" s="1462">
        <f t="shared" si="11"/>
        <v>111</v>
      </c>
      <c r="R34" s="1463" t="s">
        <v>8</v>
      </c>
      <c r="S34" s="1464">
        <f t="shared" si="12"/>
        <v>100</v>
      </c>
      <c r="T34" s="1463" t="s">
        <v>8</v>
      </c>
      <c r="U34" s="1464">
        <f t="shared" si="13"/>
        <v>100</v>
      </c>
      <c r="V34" s="1463" t="s">
        <v>8</v>
      </c>
      <c r="W34" s="1464">
        <f t="shared" si="14"/>
        <v>100</v>
      </c>
      <c r="X34" s="1457"/>
      <c r="Y34" s="3710"/>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74" t="str">
        <f>A35</f>
        <v>成交单价（元/平方米）</v>
      </c>
      <c r="Q35" s="3674"/>
      <c r="R35" s="3802">
        <f>E35</f>
        <v>0</v>
      </c>
      <c r="S35" s="3802"/>
      <c r="T35" s="3802">
        <f>G35</f>
        <v>0</v>
      </c>
      <c r="U35" s="3802"/>
      <c r="V35" s="3802">
        <f>I35</f>
        <v>0</v>
      </c>
      <c r="W35" s="3802"/>
      <c r="X35" s="1452"/>
      <c r="Y35" s="1471"/>
      <c r="Z35" s="1452"/>
      <c r="AA35" s="1452"/>
      <c r="AB35" s="1452"/>
      <c r="AC35" s="1452"/>
    </row>
    <row r="36" spans="1:29" ht="15.75" thickBot="1">
      <c r="A36" s="592"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74" t="str">
        <f>A36</f>
        <v>比较价格（元/平方米）</v>
      </c>
      <c r="Q36" s="3674"/>
      <c r="R36" s="3802" t="e">
        <f>IF(F1="售价",ROUND(PRODUCT(R35,AA7:AA34),0),ROUND(PRODUCT(R35,AA7:AA34),1))</f>
        <v>#DIV/0!</v>
      </c>
      <c r="S36" s="3802"/>
      <c r="T36" s="3802" t="e">
        <f>IF(F1="售价",ROUND(PRODUCT(T35,AB7:AB34),0),ROUND(PRODUCT(T35,AB7:AB34),1))</f>
        <v>#DIV/0!</v>
      </c>
      <c r="U36" s="3802"/>
      <c r="V36" s="3802" t="e">
        <f>IF(F1="售价",ROUND(PRODUCT(V35,AC7:AC34),0),ROUND(PRODUCT(V35,AC7:AC34),1))</f>
        <v>#DIV/0!</v>
      </c>
      <c r="W36" s="3802"/>
      <c r="X36" s="1452"/>
      <c r="Y36" s="1452"/>
      <c r="Z36" s="1452"/>
      <c r="AA36" s="1452"/>
      <c r="AB36" s="1452"/>
      <c r="AC36" s="1452"/>
    </row>
    <row r="37" spans="1:29" ht="15.75" thickBot="1">
      <c r="A37" s="596" t="s">
        <v>2637</v>
      </c>
      <c r="B37" s="597"/>
      <c r="C37" s="2400" t="e">
        <f>R37</f>
        <v>#DIV/0!</v>
      </c>
      <c r="D37" s="2400"/>
      <c r="E37" s="2400"/>
      <c r="F37" s="2400"/>
      <c r="G37" s="2400"/>
      <c r="H37" s="2400"/>
      <c r="I37" s="2400"/>
      <c r="J37" s="2400"/>
      <c r="K37" s="1497"/>
      <c r="L37" s="1980"/>
      <c r="M37" s="1981"/>
      <c r="N37" s="1981"/>
      <c r="O37" s="1981"/>
      <c r="P37" s="3711" t="str">
        <f>A37</f>
        <v>估价对象XX用房的比较价格（楼面单价，元/平方米）</v>
      </c>
      <c r="Q37" s="3712"/>
      <c r="R37" s="3801" t="e">
        <f>IF(F1="售价",ROUND(IF(D36="简单平均",AVERAGE(R36:W36),R36*F36+T36*H36+V36*J36),0),ROUND(IF(D36="简单平均",AVERAGE(R36:V36),R36*F36+T36*H36+V36*J36),1))</f>
        <v>#DIV/0!</v>
      </c>
      <c r="S37" s="3801"/>
      <c r="T37" s="3801"/>
      <c r="U37" s="3801"/>
      <c r="V37" s="3801"/>
      <c r="W37" s="3801"/>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32294.89平方米。根据《建设工程规划许可证》[]、《出让合同》[]，估价对象规划建筑面积为98965.43平方米。</v>
      </c>
    </row>
    <row r="7" spans="1:4" ht="93.75">
      <c r="A7" s="2512" t="s">
        <v>2465</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2022年7月14日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根据《国有土地使用证》[]，估价对象（分摊）出让国有建设用地使用权面积为32294.89平方米。根据《建设工程规划许可证》[]、《出让合同》[]，估价对象规划建筑面积为98965.43平方米。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13" t="s">
        <v>2094</v>
      </c>
      <c r="D1" s="3814"/>
      <c r="E1" s="3814"/>
      <c r="F1" s="3814"/>
      <c r="G1" s="3814"/>
      <c r="H1" s="3814"/>
      <c r="I1" s="3814"/>
      <c r="J1" s="3814"/>
      <c r="K1" s="3814"/>
      <c r="L1" s="3814"/>
      <c r="M1" s="3814"/>
      <c r="N1" s="3814"/>
      <c r="O1" s="3814"/>
      <c r="P1" s="3814"/>
      <c r="Q1" s="3814"/>
      <c r="R1" s="3814"/>
      <c r="S1" s="3815"/>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10" t="s">
        <v>20</v>
      </c>
      <c r="D22" s="3811"/>
      <c r="E22" s="3811"/>
      <c r="F22" s="3811"/>
      <c r="G22" s="3811"/>
      <c r="H22" s="3811"/>
      <c r="I22" s="3811"/>
      <c r="J22" s="3811"/>
      <c r="K22" s="3811"/>
      <c r="L22" s="3811"/>
      <c r="M22" s="3811"/>
      <c r="N22" s="3811"/>
      <c r="O22" s="3811"/>
      <c r="P22" s="3811"/>
      <c r="Q22" s="3812"/>
      <c r="R22" s="474"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4" sqref="C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44756</v>
      </c>
      <c r="H1" s="2577">
        <f>IF(C1&gt;C13,0,MATCH(C1,C$13:C$108,-1))+IF(SUMIF(C13:C108,C1,D13:D108)=0,13,12)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44701</v>
      </c>
      <c r="D13" s="2625">
        <v>3.7</v>
      </c>
      <c r="E13" s="2625">
        <f>D13</f>
        <v>3.7</v>
      </c>
      <c r="F13" s="2625">
        <f>D13</f>
        <v>3.7</v>
      </c>
      <c r="G13" s="2625">
        <f>D13</f>
        <v>3.7</v>
      </c>
      <c r="H13" s="2625">
        <v>4.45</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2732</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2534</v>
      </c>
      <c r="J63" s="2629" t="s">
        <v>2534</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40" sqref="C40"/>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902</v>
      </c>
      <c r="D1" s="2716" t="s">
        <v>3155</v>
      </c>
      <c r="E1" s="2196" t="s">
        <v>2161</v>
      </c>
      <c r="F1" s="2197">
        <f ca="1">J53</f>
        <v>66.87</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37833</v>
      </c>
      <c r="C2" s="3172"/>
      <c r="D2" s="3173"/>
      <c r="E2" s="3174"/>
      <c r="F2" s="3174"/>
      <c r="G2" s="3168"/>
      <c r="H2" s="1894"/>
      <c r="I2" s="1894"/>
      <c r="J2" s="1894"/>
      <c r="K2" s="1895"/>
      <c r="L2" s="1894"/>
      <c r="M2" s="1894"/>
    </row>
    <row r="3" spans="1:33" ht="18" customHeight="1" thickBot="1">
      <c r="A3" s="805" t="s">
        <v>1527</v>
      </c>
      <c r="B3" s="806">
        <f ca="1">IF(ISERROR(B2*10000/F43),0,ROUND(B2*10000/F43,0))</f>
        <v>6238</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3768</v>
      </c>
      <c r="D5" s="2301" t="s">
        <v>2240</v>
      </c>
      <c r="E5" s="2295"/>
      <c r="F5" s="2296"/>
      <c r="G5" s="1899"/>
      <c r="H5" s="754">
        <v>1</v>
      </c>
      <c r="I5" s="755" t="s">
        <v>2237</v>
      </c>
      <c r="J5" s="55">
        <f ca="1">J6+J10+J12</f>
        <v>0</v>
      </c>
      <c r="K5" s="2301" t="s">
        <v>2240</v>
      </c>
      <c r="L5" s="2295"/>
      <c r="M5" s="2296"/>
    </row>
    <row r="6" spans="1:33" ht="18" customHeight="1">
      <c r="A6" s="1700" t="s">
        <v>1624</v>
      </c>
      <c r="B6" s="3774" t="s">
        <v>2242</v>
      </c>
      <c r="C6" s="756">
        <f ca="1">ROUND(F6*F8*F7*(1-F9)/10000,0)</f>
        <v>3763</v>
      </c>
      <c r="D6" s="2302" t="s">
        <v>2241</v>
      </c>
      <c r="E6" s="757" t="s">
        <v>1538</v>
      </c>
      <c r="F6" s="758">
        <f ca="1">INDIRECT("'数据-取费表'!u"&amp;$G$1)</f>
        <v>2</v>
      </c>
      <c r="G6" s="1899"/>
      <c r="H6" s="2309" t="s">
        <v>2247</v>
      </c>
      <c r="I6" s="3774" t="s">
        <v>2242</v>
      </c>
      <c r="J6" s="756">
        <f ca="1">ROUND(M6*M8*M7*(1-M9)/10000,0)</f>
        <v>0</v>
      </c>
      <c r="K6" s="339" t="s">
        <v>1537</v>
      </c>
      <c r="L6" s="757" t="s">
        <v>1538</v>
      </c>
      <c r="M6" s="758">
        <f ca="1">INDIRECT("'数据-取费表'!z"&amp;$G$1)</f>
        <v>0</v>
      </c>
    </row>
    <row r="7" spans="1:33" ht="18" customHeight="1">
      <c r="A7" s="2305"/>
      <c r="B7" s="3775"/>
      <c r="C7" s="761"/>
      <c r="D7" s="762"/>
      <c r="E7" s="757" t="s">
        <v>1539</v>
      </c>
      <c r="F7" s="758">
        <f ca="1">IF(INDIRECT("'数据-取费表'!ah"&amp;$G$1)="",INDIRECT("'数据-取费表'!k"&amp;$G$1),INDIRECT("'数据-取费表'!ah"&amp;$G$1))</f>
        <v>60651.07</v>
      </c>
      <c r="G7" s="1899"/>
      <c r="H7" s="2294"/>
      <c r="I7" s="3775"/>
      <c r="J7" s="761"/>
      <c r="K7" s="762"/>
      <c r="L7" s="757" t="s">
        <v>1539</v>
      </c>
      <c r="M7" s="758">
        <f ca="1">F7</f>
        <v>60651.07</v>
      </c>
    </row>
    <row r="8" spans="1:33" ht="18" customHeight="1">
      <c r="A8" s="2298"/>
      <c r="B8" s="3776"/>
      <c r="C8" s="761"/>
      <c r="D8" s="762"/>
      <c r="E8" s="757" t="s">
        <v>1540</v>
      </c>
      <c r="F8" s="758">
        <f ca="1">INDIRECT("'数据-取费表'!ai"&amp;$G$1)</f>
        <v>365</v>
      </c>
      <c r="G8" s="1899"/>
      <c r="H8" s="2294"/>
      <c r="I8" s="3776"/>
      <c r="J8" s="761"/>
      <c r="K8" s="762"/>
      <c r="L8" s="757" t="s">
        <v>1540</v>
      </c>
      <c r="M8" s="758">
        <f ca="1">INDIRECT("'数据-取费表'!ai"&amp;$G$1)</f>
        <v>365</v>
      </c>
    </row>
    <row r="9" spans="1:33" ht="18" customHeight="1">
      <c r="A9" s="759"/>
      <c r="B9" s="3777"/>
      <c r="C9" s="761"/>
      <c r="D9" s="762"/>
      <c r="E9" s="757" t="s">
        <v>1541</v>
      </c>
      <c r="F9" s="3494">
        <v>0.15</v>
      </c>
      <c r="G9" s="1899"/>
      <c r="H9" s="2310"/>
      <c r="I9" s="3776"/>
      <c r="J9" s="761"/>
      <c r="K9" s="762"/>
      <c r="L9" s="768" t="s">
        <v>1541</v>
      </c>
      <c r="M9" s="769">
        <f ca="1">INDIRECT("'数据-取费表'!ab"&amp;$G$1)</f>
        <v>0</v>
      </c>
    </row>
    <row r="10" spans="1:33" ht="18" customHeight="1">
      <c r="A10" s="1700" t="s">
        <v>2245</v>
      </c>
      <c r="B10" s="2299" t="s">
        <v>2238</v>
      </c>
      <c r="C10" s="772">
        <f ca="1">ROUND(IF(F10="押一",C6/12*F11,IF(F10="押二",C6/12*2*F11,IF(F10="押三",C6/12*3*F11,C11*F11))),0)</f>
        <v>5</v>
      </c>
      <c r="D10" s="2306" t="s">
        <v>2671</v>
      </c>
      <c r="E10" s="2303" t="s">
        <v>2243</v>
      </c>
      <c r="F10" s="2387" t="s">
        <v>3157</v>
      </c>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54347</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33016</v>
      </c>
      <c r="D14" s="1847" t="s">
        <v>1545</v>
      </c>
      <c r="E14" s="1848"/>
      <c r="F14" s="778"/>
      <c r="G14" s="1899"/>
      <c r="H14" s="1532" t="s">
        <v>1630</v>
      </c>
      <c r="I14" s="2065" t="s">
        <v>2542</v>
      </c>
      <c r="J14" s="53">
        <f ca="1">C29</f>
        <v>54347</v>
      </c>
      <c r="K14" s="26"/>
      <c r="L14" s="774"/>
      <c r="M14" s="775"/>
    </row>
    <row r="15" spans="1:33" s="1901" customFormat="1" ht="18" customHeight="1" thickBot="1">
      <c r="A15" s="1531" t="s">
        <v>1681</v>
      </c>
      <c r="B15" s="757" t="s">
        <v>629</v>
      </c>
      <c r="C15" s="53">
        <f ca="1">ROUND(C14*F15,0)</f>
        <v>1651</v>
      </c>
      <c r="D15" s="779" t="s">
        <v>1546</v>
      </c>
      <c r="E15" s="779" t="s">
        <v>1547</v>
      </c>
      <c r="F15" s="780">
        <f>'数据-取费表'!B33</f>
        <v>0.05</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3033</v>
      </c>
      <c r="D16" s="757" t="s">
        <v>1546</v>
      </c>
      <c r="E16" s="757" t="s">
        <v>1547</v>
      </c>
      <c r="F16" s="782">
        <f ca="1">IF(INDIRECT("'数据-取费表'!c"&amp;$G$1)="住宅",'数据-取费表'!B34,0)</f>
        <v>0.1</v>
      </c>
      <c r="G16" s="1899"/>
      <c r="H16" s="1699" t="s">
        <v>1548</v>
      </c>
      <c r="I16" s="1697" t="s">
        <v>1549</v>
      </c>
      <c r="J16" s="765">
        <f ca="1">ROUND(J17+J22+J23+J24,0)</f>
        <v>5112</v>
      </c>
      <c r="K16" s="1691" t="s">
        <v>1550</v>
      </c>
      <c r="L16" s="2291"/>
      <c r="M16" s="2296"/>
    </row>
    <row r="17" spans="1:33" s="1901" customFormat="1" ht="18" customHeight="1">
      <c r="A17" s="1531" t="s">
        <v>1683</v>
      </c>
      <c r="B17" s="757" t="s">
        <v>635</v>
      </c>
      <c r="C17" s="53">
        <f ca="1">ROUND(F17*(F43+INDIRECT("'数据-取费表'!S"&amp;$G$1))/10000,0)</f>
        <v>1392</v>
      </c>
      <c r="D17" s="757" t="s">
        <v>1551</v>
      </c>
      <c r="E17" s="757" t="s">
        <v>1552</v>
      </c>
      <c r="F17" s="56">
        <f>'数据-取费表'!B35</f>
        <v>200</v>
      </c>
      <c r="G17" s="3169"/>
      <c r="H17" s="1532" t="s">
        <v>1630</v>
      </c>
      <c r="I17" s="757" t="s">
        <v>638</v>
      </c>
      <c r="J17" s="2927">
        <f ca="1">ROUND(IF(AND(项目基本情况!B11="自然人",项目基本情况!B10="北京市"),J6*M17/(1+'数据-取费表'!C42),J18+J19+J20),0)</f>
        <v>4569</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495</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39587</v>
      </c>
      <c r="D19" s="259" t="s">
        <v>1557</v>
      </c>
      <c r="E19" s="1850"/>
      <c r="F19" s="56"/>
      <c r="G19" s="1899"/>
      <c r="H19" s="1531" t="s">
        <v>1681</v>
      </c>
      <c r="I19" s="757" t="s">
        <v>1558</v>
      </c>
      <c r="J19" s="53">
        <f ca="1">IF(K19="按租金收入计税",ROUND(J6*M19/(1+'数据-取费表'!C42),1),ROUND(C29*F33*0.7,1))</f>
        <v>4565.1000000000004</v>
      </c>
      <c r="K19" s="783" t="s">
        <v>647</v>
      </c>
      <c r="L19" s="757" t="s">
        <v>1547</v>
      </c>
      <c r="M19" s="782">
        <f>IF(K19="按租金收入计税",'数据-取费表'!B51,'数据-取费表'!B50)</f>
        <v>1.2E-2</v>
      </c>
    </row>
    <row r="20" spans="1:33" s="1901" customFormat="1" ht="18" customHeight="1">
      <c r="A20" s="1532" t="s">
        <v>1685</v>
      </c>
      <c r="B20" s="757" t="s">
        <v>648</v>
      </c>
      <c r="C20" s="53">
        <f ca="1">ROUND(C19*F20,0)</f>
        <v>792</v>
      </c>
      <c r="D20" s="784" t="s">
        <v>1559</v>
      </c>
      <c r="E20" s="757" t="s">
        <v>1547</v>
      </c>
      <c r="F20" s="782">
        <f>'数据-取费表'!B37</f>
        <v>0.02</v>
      </c>
      <c r="G20" s="3169"/>
      <c r="H20" s="1534" t="s">
        <v>1676</v>
      </c>
      <c r="I20" s="339" t="s">
        <v>1560</v>
      </c>
      <c r="J20" s="54">
        <f ca="1">ROUND(M20*M21/10000,0)</f>
        <v>4</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24022.739999999998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543</v>
      </c>
      <c r="K22" s="2289" t="s">
        <v>1569</v>
      </c>
      <c r="L22" s="757" t="s">
        <v>1547</v>
      </c>
      <c r="M22" s="789">
        <f ca="1">INDIRECT("'数据-取费表'!Ak"&amp;$G$1)</f>
        <v>0.01</v>
      </c>
    </row>
    <row r="23" spans="1:33" s="1901" customFormat="1" ht="18" customHeight="1">
      <c r="A23" s="1531" t="s">
        <v>1631</v>
      </c>
      <c r="B23" s="757" t="s">
        <v>2253</v>
      </c>
      <c r="C23" s="53">
        <f ca="1">ROUND(IF('数据-取费表'!B22&lt;=1,(C19+C20)*F24*F23/2,(C19+C20)*(POWER((1+F24),F23/2)-1)),0)</f>
        <v>1696</v>
      </c>
      <c r="D23" s="2345" t="str">
        <f>IF(F23&lt;=1,"(建造成本+管理费用)×利率×(建设周期÷2)","(建造成本+管理费用)×((1+利率)^(建设周期÷2)-1)")</f>
        <v>(建造成本+管理费用)×((1+利率)^(建设周期÷2)-1)</v>
      </c>
      <c r="E23" s="757" t="s">
        <v>1570</v>
      </c>
      <c r="F23" s="615">
        <f>'数据-取费表'!B20</f>
        <v>2</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8.0000000000000004E-4</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-5112</v>
      </c>
      <c r="K25" s="2324" t="s">
        <v>1577</v>
      </c>
      <c r="L25" s="2325"/>
      <c r="M25" s="2326"/>
    </row>
    <row r="26" spans="1:33" ht="18" customHeight="1">
      <c r="A26" s="1531" t="s">
        <v>1631</v>
      </c>
      <c r="B26" s="757" t="s">
        <v>2220</v>
      </c>
      <c r="C26" s="53">
        <f ca="1">ROUND((C19+C20)*F26,0)</f>
        <v>8076</v>
      </c>
      <c r="D26" s="784" t="s">
        <v>1578</v>
      </c>
      <c r="E26" s="768" t="s">
        <v>1579</v>
      </c>
      <c r="F26" s="767">
        <f ca="1">INDIRECT("'数据-取费表'!q"&amp;$G$1)</f>
        <v>0.2</v>
      </c>
      <c r="G26" s="1899"/>
      <c r="H26" s="2307" t="s">
        <v>1580</v>
      </c>
      <c r="I26" s="2066" t="s">
        <v>2543</v>
      </c>
      <c r="J26" s="756">
        <f ca="1">IF(J5&lt;&gt;0,ROUND(J25*(1-((1+M28)/(1+M26))^M27)/(M26-M28),0),0)</f>
        <v>0</v>
      </c>
      <c r="K26" s="786" t="s">
        <v>1581</v>
      </c>
      <c r="L26" s="757" t="s">
        <v>2206</v>
      </c>
      <c r="M26" s="767">
        <f ca="1">INDIRECT("'数据-取费表'!I"&amp;$G$1)</f>
        <v>5.5E-2</v>
      </c>
    </row>
    <row r="27" spans="1:33" ht="18" customHeight="1">
      <c r="A27" s="1531" t="s">
        <v>1632</v>
      </c>
      <c r="B27" s="757" t="s">
        <v>668</v>
      </c>
      <c r="C27" s="53">
        <f ca="1">ROUND(F21*F26,4)</f>
        <v>4.0000000000000001E-3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54347</v>
      </c>
      <c r="D29" s="2321"/>
      <c r="E29" s="2322"/>
      <c r="F29" s="2323"/>
      <c r="G29" s="3169"/>
      <c r="H29" s="795" t="s">
        <v>1587</v>
      </c>
      <c r="I29" s="796" t="s">
        <v>1588</v>
      </c>
      <c r="J29" s="797">
        <f ca="1">ROUND(J26/(1+F40)^F41,0)</f>
        <v>0</v>
      </c>
      <c r="K29" s="798" t="s">
        <v>1589</v>
      </c>
      <c r="L29" s="799"/>
      <c r="M29" s="800">
        <f ca="1">INDIRECT("'数据-取费表'!k"&amp;$G$1)</f>
        <v>60651.07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1304</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631</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7" t="s">
        <v>1594</v>
      </c>
      <c r="C32" s="53">
        <f ca="1">ROUND(C6*F32/(1+'数据-取费表'!C42),1)</f>
        <v>197.1</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430.1</v>
      </c>
      <c r="D33" s="783" t="s">
        <v>3156</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3.6</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24022.739999999998</v>
      </c>
      <c r="G35" s="1899"/>
      <c r="H35" s="1902"/>
      <c r="I35" s="809" t="s">
        <v>1614</v>
      </c>
      <c r="J35" s="810">
        <f ca="1">ROUND(C13*J36,0)</f>
        <v>3804</v>
      </c>
      <c r="K35" s="1915"/>
      <c r="L35" s="1914"/>
      <c r="M35" s="1914"/>
    </row>
    <row r="36" spans="1:18" ht="18" customHeight="1">
      <c r="A36" s="1532" t="s">
        <v>1685</v>
      </c>
      <c r="B36" s="757" t="s">
        <v>1602</v>
      </c>
      <c r="C36" s="53">
        <f ca="1">ROUND(C29*F36,1)</f>
        <v>543.5</v>
      </c>
      <c r="D36" s="1845" t="s">
        <v>1603</v>
      </c>
      <c r="E36" s="757" t="s">
        <v>1596</v>
      </c>
      <c r="F36" s="789">
        <f ca="1">INDIRECT("'数据-取费表'!Ak"&amp;$G$1)</f>
        <v>0.01</v>
      </c>
      <c r="G36" s="1899"/>
      <c r="H36" s="1914"/>
      <c r="I36" s="811" t="s">
        <v>1615</v>
      </c>
      <c r="J36" s="812">
        <f ca="1">INDIRECT("'数据-取费表'!j"&amp;$G$1)</f>
        <v>7.0000000000000007E-2</v>
      </c>
      <c r="K36" s="1918"/>
      <c r="L36" s="1914"/>
      <c r="M36" s="1914"/>
    </row>
    <row r="37" spans="1:18" ht="18" customHeight="1">
      <c r="A37" s="1532" t="s">
        <v>1686</v>
      </c>
      <c r="B37" s="757" t="s">
        <v>661</v>
      </c>
      <c r="C37" s="53">
        <f ca="1">ROUND(C13*F37,1)</f>
        <v>54.3</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75.400000000000006</v>
      </c>
      <c r="D38" s="2321" t="s">
        <v>1605</v>
      </c>
      <c r="E38" s="2322" t="s">
        <v>1596</v>
      </c>
      <c r="F38" s="2318">
        <f ca="1">INDIRECT("'数据-取费表'!Am"&amp;$G$1)</f>
        <v>0.02</v>
      </c>
      <c r="G38" s="1899"/>
      <c r="H38" s="1914"/>
      <c r="I38" s="815" t="s">
        <v>1617</v>
      </c>
      <c r="J38" s="816"/>
      <c r="K38" s="1919"/>
      <c r="L38" s="1914"/>
      <c r="M38" s="1914"/>
    </row>
    <row r="39" spans="1:18" ht="24.6" customHeight="1" thickTop="1">
      <c r="A39" s="1699" t="s">
        <v>1690</v>
      </c>
      <c r="B39" s="2644" t="s">
        <v>2538</v>
      </c>
      <c r="C39" s="765">
        <f ca="1">C5-C30</f>
        <v>2464</v>
      </c>
      <c r="D39" s="2324" t="s">
        <v>1606</v>
      </c>
      <c r="E39" s="2325"/>
      <c r="F39" s="2326"/>
      <c r="G39" s="1899"/>
      <c r="H39" s="1914"/>
      <c r="I39" s="809" t="s">
        <v>1618</v>
      </c>
      <c r="J39" s="817">
        <f ca="1">ROUND(J35/C39,3)</f>
        <v>1.544</v>
      </c>
      <c r="K39" s="1919"/>
      <c r="L39" s="1914"/>
      <c r="M39" s="1914"/>
    </row>
    <row r="40" spans="1:18" ht="18" customHeight="1">
      <c r="A40" s="754" t="s">
        <v>1691</v>
      </c>
      <c r="B40" s="2066" t="s">
        <v>2091</v>
      </c>
      <c r="C40" s="756">
        <f ca="1">ROUND(C39*(1-((1+F42)/(1+F40))^F41)/(F40-F42),0)</f>
        <v>37833</v>
      </c>
      <c r="D40" s="786" t="s">
        <v>1607</v>
      </c>
      <c r="E40" s="757" t="s">
        <v>2206</v>
      </c>
      <c r="F40" s="3494">
        <v>4.4999999999999998E-2</v>
      </c>
      <c r="G40" s="1899"/>
      <c r="H40" s="1899"/>
      <c r="I40" s="809" t="s">
        <v>1619</v>
      </c>
      <c r="J40" s="817">
        <f ca="1">1-J39</f>
        <v>-0.54400000000000004</v>
      </c>
      <c r="K40" s="1919"/>
      <c r="L40" s="1899"/>
      <c r="M40" s="1899"/>
    </row>
    <row r="41" spans="1:18" ht="18" customHeight="1">
      <c r="A41" s="759"/>
      <c r="B41" s="760"/>
      <c r="C41" s="761"/>
      <c r="D41" s="793" t="s">
        <v>1608</v>
      </c>
      <c r="E41" s="757" t="s">
        <v>2663</v>
      </c>
      <c r="F41" s="3493">
        <v>20</v>
      </c>
      <c r="G41" s="1899"/>
      <c r="H41" s="1854"/>
      <c r="I41" s="815" t="s">
        <v>1620</v>
      </c>
      <c r="J41" s="818"/>
      <c r="K41" s="1918"/>
      <c r="L41" s="1854"/>
      <c r="M41" s="1854"/>
    </row>
    <row r="42" spans="1:18" ht="18" customHeight="1">
      <c r="A42" s="763"/>
      <c r="B42" s="764"/>
      <c r="C42" s="765"/>
      <c r="D42" s="788"/>
      <c r="E42" s="757" t="s">
        <v>1609</v>
      </c>
      <c r="F42" s="3494">
        <v>0.02</v>
      </c>
      <c r="G42" s="1899"/>
      <c r="H42" s="1854"/>
      <c r="I42" s="819" t="s">
        <v>1621</v>
      </c>
      <c r="J42" s="817">
        <f ca="1">ROUND(C13/C40,3)</f>
        <v>1.4359999999999999</v>
      </c>
      <c r="K42" s="1918"/>
      <c r="L42" s="1854"/>
      <c r="M42" s="1854"/>
    </row>
    <row r="43" spans="1:18" ht="18" customHeight="1" thickBot="1">
      <c r="A43" s="795" t="s">
        <v>1587</v>
      </c>
      <c r="B43" s="796" t="s">
        <v>1610</v>
      </c>
      <c r="C43" s="797">
        <f ca="1">ROUND(C40*10000/F43,0)</f>
        <v>6238</v>
      </c>
      <c r="D43" s="798" t="s">
        <v>1611</v>
      </c>
      <c r="E43" s="799" t="s">
        <v>1612</v>
      </c>
      <c r="F43" s="800">
        <f ca="1">INDIRECT("'数据-取费表'!k"&amp;$G$1)</f>
        <v>60651.07</v>
      </c>
      <c r="G43" s="1899"/>
      <c r="H43" s="1854"/>
      <c r="I43" s="819" t="s">
        <v>1622</v>
      </c>
      <c r="J43" s="820">
        <f ca="1">1-J42</f>
        <v>-0.43599999999999994</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-45664</v>
      </c>
      <c r="D46" s="3170"/>
      <c r="E46" s="3170"/>
      <c r="F46" s="3170"/>
      <c r="I46" s="2187" t="s">
        <v>2130</v>
      </c>
      <c r="J46" s="2188"/>
      <c r="K46" s="2189"/>
      <c r="L46" s="2729">
        <f>IF(OR(M47="住宅",D1="土地（套用方法）"),0,IF(L48&gt;J51,L60,J60))</f>
        <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t="s">
        <v>3158</v>
      </c>
      <c r="K47" s="2726" t="s">
        <v>2136</v>
      </c>
      <c r="L47" s="2730">
        <f ca="1">INDIRECT("'数据-取费表'!d"&amp;$G$1)</f>
        <v>70</v>
      </c>
      <c r="M47" s="1490" t="str">
        <f>IF(ISNUMBER(FIND("住宅",C1)),"住宅","非住宅")</f>
        <v>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68.87</v>
      </c>
      <c r="M48" s="3171"/>
      <c r="O48" s="2207" t="s">
        <v>2166</v>
      </c>
      <c r="P48" s="2208" t="s">
        <v>2192</v>
      </c>
      <c r="Q48" s="2209">
        <f ca="1">C40+J29</f>
        <v>37833</v>
      </c>
      <c r="R48" s="2208" t="s">
        <v>2167</v>
      </c>
    </row>
    <row r="49" spans="1:18" s="1896" customFormat="1" ht="18" customHeight="1" thickBot="1">
      <c r="A49" s="759"/>
      <c r="B49" s="760"/>
      <c r="C49" s="761"/>
      <c r="D49" s="762"/>
      <c r="E49" s="757" t="s">
        <v>1539</v>
      </c>
      <c r="F49" s="758">
        <f ca="1">F7</f>
        <v>60651.07</v>
      </c>
      <c r="G49" s="1926"/>
      <c r="H49" s="1929"/>
      <c r="I49" s="2717" t="s">
        <v>2133</v>
      </c>
      <c r="J49" s="2192">
        <v>2024</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365</v>
      </c>
      <c r="G50" s="1931"/>
      <c r="H50" s="1929"/>
      <c r="I50" s="2717" t="s">
        <v>2134</v>
      </c>
      <c r="J50" s="2724">
        <f>SUMPRODUCT((I63:I65=J47)*(J62:L62=J48)*(J63:L65))</f>
        <v>60</v>
      </c>
      <c r="K50" s="2728" t="s">
        <v>2140</v>
      </c>
      <c r="L50" s="2193"/>
      <c r="M50" s="3171"/>
      <c r="O50" s="2210" t="s">
        <v>2170</v>
      </c>
      <c r="P50" s="2208" t="s">
        <v>2194</v>
      </c>
      <c r="Q50" s="2209">
        <f ca="1">C29</f>
        <v>54347</v>
      </c>
      <c r="R50" s="2208" t="s">
        <v>2167</v>
      </c>
    </row>
    <row r="51" spans="1:18" s="1896" customFormat="1" ht="18" customHeight="1" thickBot="1">
      <c r="A51" s="759"/>
      <c r="B51" s="760"/>
      <c r="C51" s="761"/>
      <c r="D51" s="762"/>
      <c r="E51" s="757" t="s">
        <v>622</v>
      </c>
      <c r="F51" s="2180"/>
      <c r="H51" s="1929"/>
      <c r="I51" s="2721" t="s">
        <v>2135</v>
      </c>
      <c r="J51" s="2725">
        <f>IF(J49="",J50,J49+J50-YEAR('数据-取费表'!B2))</f>
        <v>62</v>
      </c>
      <c r="K51" s="2717" t="s">
        <v>2141</v>
      </c>
      <c r="L51" s="2731">
        <f ca="1">ROUND(-PV(INDIRECT("'数据-取费表'!h"&amp;$G$1),J51,(C39-C13*J36),0),0)</f>
        <v>-25504</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66.87</v>
      </c>
      <c r="K53" s="3780" t="s">
        <v>2665</v>
      </c>
      <c r="L53" s="3781"/>
      <c r="M53" s="3171"/>
      <c r="O53" s="2210" t="s">
        <v>2175</v>
      </c>
      <c r="P53" s="2208" t="s">
        <v>2176</v>
      </c>
      <c r="Q53" s="2209">
        <f ca="1">J53</f>
        <v>66.87</v>
      </c>
      <c r="R53" s="2208" t="s">
        <v>2177</v>
      </c>
    </row>
    <row r="54" spans="1:18" s="1896" customFormat="1" ht="18" customHeight="1" thickBot="1">
      <c r="A54" s="2313" t="s">
        <v>2246</v>
      </c>
      <c r="B54" s="2314" t="s">
        <v>2239</v>
      </c>
      <c r="C54" s="2315"/>
      <c r="D54" s="2306"/>
      <c r="E54" s="2303"/>
      <c r="F54" s="773"/>
      <c r="I54" s="18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2"/>
      <c r="M54" s="3171"/>
      <c r="O54" s="2207" t="s">
        <v>2178</v>
      </c>
      <c r="P54" s="2208" t="s">
        <v>2195</v>
      </c>
      <c r="Q54" s="2209">
        <f ca="1">Q48+Q49</f>
        <v>37833</v>
      </c>
      <c r="R54" s="2212" t="s">
        <v>2179</v>
      </c>
    </row>
    <row r="55" spans="1:18" s="1896" customFormat="1" ht="18" customHeight="1" thickTop="1" thickBot="1">
      <c r="A55" s="770">
        <v>2</v>
      </c>
      <c r="B55" s="771" t="s">
        <v>626</v>
      </c>
      <c r="C55" s="772">
        <f ca="1">C13</f>
        <v>54347</v>
      </c>
      <c r="D55" s="768"/>
      <c r="E55" s="768"/>
      <c r="F55" s="773"/>
      <c r="I55" s="2734" t="s">
        <v>2142</v>
      </c>
      <c r="J55" s="2706" t="e">
        <f ca="1">ROUND(IF(J47="钢混",J57/J50,1-(1-2%)*(J50-J57)/J50),3)</f>
        <v>#VALUE!</v>
      </c>
      <c r="K55" s="2735" t="s">
        <v>2143</v>
      </c>
      <c r="L55" s="2195"/>
      <c r="M55" s="3171"/>
      <c r="O55" s="2213" t="s">
        <v>2198</v>
      </c>
      <c r="P55" s="1482"/>
      <c r="Q55" s="1490"/>
      <c r="R55" s="1482"/>
    </row>
    <row r="56" spans="1:18" s="1896" customFormat="1" ht="42.75" customHeight="1" thickBot="1">
      <c r="A56" s="1533"/>
      <c r="B56" s="2065" t="s">
        <v>2092</v>
      </c>
      <c r="C56" s="53">
        <f ca="1">C29</f>
        <v>54347</v>
      </c>
      <c r="D56" s="2403"/>
      <c r="E56" s="757"/>
      <c r="F56" s="782"/>
      <c r="I56" s="2736" t="s">
        <v>2144</v>
      </c>
      <c r="J56" s="2746" t="s">
        <v>1478</v>
      </c>
      <c r="K56" s="2717" t="s">
        <v>2149</v>
      </c>
      <c r="L56" s="1777">
        <f ca="1">IF(L48&lt;J51,"——",L48-J51)</f>
        <v>6.8700000000000045</v>
      </c>
      <c r="M56" s="3171"/>
      <c r="O56" s="2204" t="s">
        <v>2162</v>
      </c>
      <c r="P56" s="2205" t="s">
        <v>2163</v>
      </c>
      <c r="Q56" s="2206" t="s">
        <v>2164</v>
      </c>
      <c r="R56" s="2205" t="s">
        <v>2165</v>
      </c>
    </row>
    <row r="57" spans="1:18" s="1896" customFormat="1" ht="28.5" customHeight="1" thickBot="1">
      <c r="A57" s="770" t="s">
        <v>1548</v>
      </c>
      <c r="B57" s="771" t="s">
        <v>633</v>
      </c>
      <c r="C57" s="772">
        <f ca="1">ROUND(C58+C63+C64+C65,0)</f>
        <v>602</v>
      </c>
      <c r="D57" s="26" t="s">
        <v>1550</v>
      </c>
      <c r="E57" s="2404"/>
      <c r="F57" s="56"/>
      <c r="I57" s="2737" t="s">
        <v>2145</v>
      </c>
      <c r="J57" s="2738" t="str">
        <f ca="1">IF(OR(M47="住宅",J51&lt;L48,J56="是"),"——",J51-L48)</f>
        <v>——</v>
      </c>
      <c r="K57" s="2717" t="s">
        <v>2150</v>
      </c>
      <c r="L57" s="1777">
        <f ca="1">IF(L48&lt;J51,"——",IF(L55="比较法",L49,IF(L55="基准地价",L50,L51)))</f>
        <v>-25504</v>
      </c>
      <c r="M57" s="3171"/>
      <c r="O57" s="2207" t="s">
        <v>2166</v>
      </c>
      <c r="P57" s="2208" t="s">
        <v>2196</v>
      </c>
      <c r="Q57" s="2209">
        <f ca="1">C40+J29</f>
        <v>37833</v>
      </c>
      <c r="R57" s="2208" t="s">
        <v>2167</v>
      </c>
    </row>
    <row r="58" spans="1:18" s="1896" customFormat="1" ht="28.5" customHeight="1" thickBot="1">
      <c r="A58" s="1532" t="s">
        <v>1624</v>
      </c>
      <c r="B58" s="757" t="s">
        <v>638</v>
      </c>
      <c r="C58" s="2927">
        <f ca="1">ROUND(IF(AND(项目基本情况!B11="自然人",项目基本情况!B10="北京市"),C48*F58/(1+'数据-取费表'!C42),C59+C60+C61),0)</f>
        <v>4</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4" t="s">
        <v>1633</v>
      </c>
      <c r="B61" s="339" t="s">
        <v>650</v>
      </c>
      <c r="C61" s="54">
        <f ca="1">ROUND(F61*F62/10000,1)</f>
        <v>3.6</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24022.739999999998</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5.75" thickBot="1">
      <c r="A63" s="1532" t="s">
        <v>1685</v>
      </c>
      <c r="B63" s="757" t="s">
        <v>658</v>
      </c>
      <c r="C63" s="53">
        <f ca="1">ROUND(C56*F63,1)</f>
        <v>543.5</v>
      </c>
      <c r="D63" s="2403" t="s">
        <v>1603</v>
      </c>
      <c r="E63" s="757" t="s">
        <v>1547</v>
      </c>
      <c r="F63" s="789">
        <f t="shared" ca="1" si="0"/>
        <v>0.01</v>
      </c>
      <c r="I63" s="2742" t="s">
        <v>2157</v>
      </c>
      <c r="J63" s="2743">
        <v>70</v>
      </c>
      <c r="K63" s="2743">
        <v>50</v>
      </c>
      <c r="L63" s="2743">
        <v>80</v>
      </c>
      <c r="M63" s="2745">
        <v>0.02</v>
      </c>
      <c r="O63" s="2207" t="s">
        <v>2178</v>
      </c>
      <c r="P63" s="2208" t="s">
        <v>2195</v>
      </c>
      <c r="Q63" s="2209">
        <f ca="1">Q57+Q58</f>
        <v>37833</v>
      </c>
      <c r="R63" s="2212" t="s">
        <v>2179</v>
      </c>
    </row>
    <row r="64" spans="1:18" s="1896" customFormat="1" ht="16.5" thickBot="1">
      <c r="A64" s="1532" t="s">
        <v>1686</v>
      </c>
      <c r="B64" s="757" t="s">
        <v>661</v>
      </c>
      <c r="C64" s="53">
        <f ca="1">ROUND(C55*F64,1)</f>
        <v>54.3</v>
      </c>
      <c r="D64" s="2403" t="s">
        <v>662</v>
      </c>
      <c r="E64" s="757" t="s">
        <v>1547</v>
      </c>
      <c r="F64" s="790">
        <f t="shared" ca="1" si="0"/>
        <v>1E-3</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0.02</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-602</v>
      </c>
      <c r="D66" s="2402" t="s">
        <v>682</v>
      </c>
      <c r="E66" s="2401"/>
      <c r="F66" s="792"/>
      <c r="K66" s="1922"/>
      <c r="O66" s="2207" t="s">
        <v>2166</v>
      </c>
      <c r="P66" s="2208" t="s">
        <v>2196</v>
      </c>
      <c r="Q66" s="2209">
        <f ca="1">C40+J29</f>
        <v>37833</v>
      </c>
      <c r="R66" s="2208" t="s">
        <v>2167</v>
      </c>
    </row>
    <row r="67" spans="1:18" s="1896" customFormat="1" ht="20.25" thickBot="1">
      <c r="A67" s="754" t="s">
        <v>1580</v>
      </c>
      <c r="B67" s="2066" t="s">
        <v>2091</v>
      </c>
      <c r="C67" s="756">
        <f ca="1">ROUND(C66*(1-((1+F69)/(1+F67))^F68)/(F67-F69),0)</f>
        <v>-7831</v>
      </c>
      <c r="D67" s="786" t="s">
        <v>686</v>
      </c>
      <c r="E67" s="757" t="s">
        <v>687</v>
      </c>
      <c r="F67" s="767">
        <f>F40</f>
        <v>4.4999999999999998E-2</v>
      </c>
      <c r="K67" s="1922"/>
      <c r="O67" s="2207" t="s">
        <v>2168</v>
      </c>
      <c r="P67" s="2208" t="s">
        <v>2199</v>
      </c>
      <c r="Q67" s="2209">
        <f ca="1">L60</f>
        <v>0</v>
      </c>
      <c r="R67" s="2212" t="s">
        <v>2201</v>
      </c>
    </row>
    <row r="68" spans="1:18" ht="21.75" thickBot="1">
      <c r="A68" s="759"/>
      <c r="B68" s="760"/>
      <c r="C68" s="761"/>
      <c r="D68" s="793" t="s">
        <v>1608</v>
      </c>
      <c r="E68" s="757" t="s">
        <v>1584</v>
      </c>
      <c r="F68" s="794">
        <f>F41</f>
        <v>20</v>
      </c>
      <c r="O68" s="2210" t="s">
        <v>2170</v>
      </c>
      <c r="P68" s="2208" t="s">
        <v>2200</v>
      </c>
      <c r="Q68" s="2214">
        <f ca="1">L51</f>
        <v>-25504</v>
      </c>
      <c r="R68" s="2215" t="s">
        <v>2203</v>
      </c>
    </row>
    <row r="69" spans="1:18" ht="20.25" thickBot="1">
      <c r="A69" s="763"/>
      <c r="B69" s="764"/>
      <c r="C69" s="765"/>
      <c r="D69" s="788"/>
      <c r="E69" s="757" t="s">
        <v>692</v>
      </c>
      <c r="F69" s="2180"/>
      <c r="O69" s="2210" t="s">
        <v>2171</v>
      </c>
      <c r="P69" s="2216" t="s">
        <v>2185</v>
      </c>
      <c r="Q69" s="2209">
        <f ca="1">ROUND(Q70-Q71*Q72,0)</f>
        <v>-1340</v>
      </c>
      <c r="R69" s="2212"/>
    </row>
    <row r="70" spans="1:18" ht="15.75" thickBot="1">
      <c r="A70" s="795" t="s">
        <v>1587</v>
      </c>
      <c r="B70" s="796" t="s">
        <v>1610</v>
      </c>
      <c r="C70" s="797">
        <f ca="1">ROUND(C67*10000/F70,0)</f>
        <v>-1291</v>
      </c>
      <c r="D70" s="798" t="s">
        <v>1611</v>
      </c>
      <c r="E70" s="799" t="s">
        <v>1612</v>
      </c>
      <c r="F70" s="800">
        <f ca="1">F43</f>
        <v>60651.07</v>
      </c>
      <c r="O70" s="2210" t="s">
        <v>2186</v>
      </c>
      <c r="P70" s="2216" t="s">
        <v>2187</v>
      </c>
      <c r="Q70" s="2209">
        <f ca="1">C39</f>
        <v>2464</v>
      </c>
      <c r="R70" s="2208" t="s">
        <v>2167</v>
      </c>
    </row>
    <row r="71" spans="1:18" ht="15.75" thickBot="1">
      <c r="O71" s="2210" t="s">
        <v>2188</v>
      </c>
      <c r="P71" s="2216" t="s">
        <v>2189</v>
      </c>
      <c r="Q71" s="2209">
        <f ca="1">C13</f>
        <v>54347</v>
      </c>
      <c r="R71" s="2208" t="s">
        <v>2167</v>
      </c>
    </row>
    <row r="72" spans="1:18" ht="15.75" thickBot="1">
      <c r="O72" s="2210" t="s">
        <v>2190</v>
      </c>
      <c r="P72" s="2216" t="s">
        <v>2191</v>
      </c>
      <c r="Q72" s="2211">
        <f ca="1">J36</f>
        <v>7.0000000000000007E-2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37833</v>
      </c>
      <c r="R76" s="2212" t="s">
        <v>2179</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G36"/>
  <sheetViews>
    <sheetView topLeftCell="A13" workbookViewId="0">
      <selection activeCell="K41" sqref="K41"/>
    </sheetView>
  </sheetViews>
  <sheetFormatPr defaultRowHeight="13.5"/>
  <cols>
    <col min="3" max="3" width="10" customWidth="1"/>
    <col min="4" max="4" width="9.875" customWidth="1"/>
    <col min="5" max="5" width="11.875" customWidth="1"/>
  </cols>
  <sheetData>
    <row r="6" spans="2:5">
      <c r="B6" s="3454"/>
      <c r="C6" s="3454" t="s">
        <v>3142</v>
      </c>
      <c r="D6" s="3454"/>
      <c r="E6" s="3454"/>
    </row>
    <row r="7" spans="2:5">
      <c r="B7" s="3454"/>
      <c r="C7" s="3454" t="s">
        <v>3143</v>
      </c>
      <c r="D7" s="3454" t="s">
        <v>3144</v>
      </c>
      <c r="E7" s="3454" t="s">
        <v>3148</v>
      </c>
    </row>
    <row r="8" spans="2:5">
      <c r="B8" s="3454" t="s">
        <v>3145</v>
      </c>
      <c r="C8" s="3454">
        <f>[2]基准地价修正!$B$2</f>
        <v>99796</v>
      </c>
      <c r="D8" s="3454">
        <f ca="1">'剩余法-待开发'!B2</f>
        <v>151208</v>
      </c>
      <c r="E8" s="3454">
        <f ca="1">C8*C10+D8*D10</f>
        <v>120360.8</v>
      </c>
    </row>
    <row r="9" spans="2:5">
      <c r="B9" s="3454" t="s">
        <v>3146</v>
      </c>
      <c r="C9" s="3454">
        <f>ROUND(C8/'数据-汇总表'!E3*10000,0)</f>
        <v>10084</v>
      </c>
      <c r="D9" s="3454">
        <f ca="1">ROUND(D8/'数据-汇总表'!E3*10000,0)</f>
        <v>15279</v>
      </c>
      <c r="E9" s="3454">
        <f ca="1">ROUND(E8/'数据-汇总表'!E3*10000,0)</f>
        <v>12162</v>
      </c>
    </row>
    <row r="10" spans="2:5">
      <c r="B10" s="3454" t="s">
        <v>3147</v>
      </c>
      <c r="C10" s="3454">
        <v>0.6</v>
      </c>
      <c r="D10" s="3454">
        <f>1-C10</f>
        <v>0.4</v>
      </c>
      <c r="E10" s="3454"/>
    </row>
    <row r="16" spans="2:5">
      <c r="B16" s="3454"/>
      <c r="C16" s="3454" t="s">
        <v>3142</v>
      </c>
      <c r="D16" s="3454"/>
      <c r="E16" s="3454"/>
    </row>
    <row r="17" spans="2:7">
      <c r="B17" s="3454"/>
      <c r="C17" s="3454" t="s">
        <v>3143</v>
      </c>
      <c r="D17" s="3454" t="s">
        <v>3296</v>
      </c>
      <c r="E17" s="3454" t="s">
        <v>3148</v>
      </c>
    </row>
    <row r="18" spans="2:7">
      <c r="B18" s="3454" t="s">
        <v>3145</v>
      </c>
      <c r="C18" s="3454">
        <f>[3]基准地价修正!$B$2</f>
        <v>99796</v>
      </c>
      <c r="D18" s="3454">
        <f>'比较法-住宅、综合'!B2</f>
        <v>133447</v>
      </c>
      <c r="E18" s="3454">
        <f>C18*C20+D18*D20</f>
        <v>113256.4</v>
      </c>
      <c r="G18" s="3156" t="s">
        <v>3302</v>
      </c>
    </row>
    <row r="19" spans="2:7">
      <c r="B19" s="3454" t="s">
        <v>3146</v>
      </c>
      <c r="C19" s="3454">
        <f>C9</f>
        <v>10084</v>
      </c>
      <c r="D19" s="3454">
        <f>'比较法-住宅、综合'!B3</f>
        <v>13484</v>
      </c>
      <c r="E19" s="3454">
        <f>ROUND(E18/'数据-汇总表'!E3*10000,0)</f>
        <v>11444</v>
      </c>
      <c r="G19">
        <f>ROUND(E18/'数据-汇总表'!D3*10000,0)</f>
        <v>35069</v>
      </c>
    </row>
    <row r="20" spans="2:7">
      <c r="B20" s="3454" t="s">
        <v>3147</v>
      </c>
      <c r="C20" s="3454">
        <v>0.6</v>
      </c>
      <c r="D20" s="3454">
        <f>1-C20</f>
        <v>0.4</v>
      </c>
      <c r="E20" s="3454"/>
    </row>
    <row r="21" spans="2:7">
      <c r="B21" s="3454" t="s">
        <v>3305</v>
      </c>
      <c r="C21">
        <f>ROUND(C18/'数据-汇总表'!D3*10000,0)</f>
        <v>30901</v>
      </c>
    </row>
    <row r="22" spans="2:7">
      <c r="B22" s="3454"/>
    </row>
    <row r="23" spans="2:7">
      <c r="B23" s="3454"/>
      <c r="C23" s="3454" t="s">
        <v>3298</v>
      </c>
      <c r="D23" s="3454" t="s">
        <v>3299</v>
      </c>
      <c r="E23" s="3454" t="s">
        <v>3300</v>
      </c>
    </row>
    <row r="24" spans="2:7">
      <c r="B24" s="3454" t="s">
        <v>3297</v>
      </c>
      <c r="C24" s="3454">
        <f>'数据-汇总表'!G20</f>
        <v>22085</v>
      </c>
      <c r="D24" s="3454">
        <f>ROUND(17099*0.15*0.25,0)</f>
        <v>641</v>
      </c>
      <c r="E24" s="3454">
        <f>ROUND(C24*D24*(1+3.05%)/10000,0)</f>
        <v>1459</v>
      </c>
    </row>
    <row r="26" spans="2:7">
      <c r="E26">
        <f>E18-E24</f>
        <v>111797.4</v>
      </c>
    </row>
    <row r="31" spans="2:7">
      <c r="B31" s="3454"/>
      <c r="C31" s="3454" t="s">
        <v>3306</v>
      </c>
      <c r="D31" s="3454"/>
      <c r="E31" s="3454"/>
      <c r="F31" s="3454"/>
      <c r="G31" s="3454"/>
    </row>
    <row r="32" spans="2:7">
      <c r="B32" s="3454"/>
      <c r="C32" s="3454" t="s">
        <v>3296</v>
      </c>
      <c r="D32" s="3454" t="s">
        <v>3144</v>
      </c>
      <c r="E32" s="3454" t="s">
        <v>3148</v>
      </c>
      <c r="F32" s="3454"/>
      <c r="G32" s="3454" t="s">
        <v>3307</v>
      </c>
    </row>
    <row r="33" spans="2:7">
      <c r="B33" s="3454" t="s">
        <v>3145</v>
      </c>
      <c r="C33" s="3454">
        <f>D18</f>
        <v>133447</v>
      </c>
      <c r="D33" s="3454">
        <f ca="1">D8</f>
        <v>151208</v>
      </c>
      <c r="E33" s="3454">
        <f ca="1">C33*C35+D33*D35</f>
        <v>142327.5</v>
      </c>
      <c r="F33" s="3454"/>
      <c r="G33" s="3454">
        <f ca="1">ROUND(E33/'数据-汇总表'!F31*10000,0)</f>
        <v>22015</v>
      </c>
    </row>
    <row r="34" spans="2:7">
      <c r="B34" s="3454" t="s">
        <v>3146</v>
      </c>
      <c r="C34" s="3454">
        <f>D19</f>
        <v>13484</v>
      </c>
      <c r="D34" s="3454">
        <f ca="1">D9</f>
        <v>15279</v>
      </c>
      <c r="E34" s="3454">
        <f ca="1">ROUND(E33/'数据-汇总表'!E3*10000,0)</f>
        <v>14382</v>
      </c>
      <c r="F34" s="3454"/>
      <c r="G34" s="3454"/>
    </row>
    <row r="35" spans="2:7">
      <c r="B35" s="3454" t="s">
        <v>3147</v>
      </c>
      <c r="C35" s="3454">
        <v>0.5</v>
      </c>
      <c r="D35" s="3454">
        <f>1-C35</f>
        <v>0.5</v>
      </c>
      <c r="E35" s="3454"/>
      <c r="F35" s="3454"/>
      <c r="G35" s="3454"/>
    </row>
    <row r="36" spans="2:7">
      <c r="E36">
        <f ca="1">E33-E24</f>
        <v>140868.5</v>
      </c>
    </row>
  </sheetData>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26"/>
  <sheetViews>
    <sheetView workbookViewId="0">
      <selection activeCell="J27" sqref="J27"/>
    </sheetView>
  </sheetViews>
  <sheetFormatPr defaultRowHeight="13.5"/>
  <cols>
    <col min="2" max="2" width="9" customWidth="1"/>
    <col min="3" max="3" width="8.75" customWidth="1"/>
    <col min="4" max="4" width="9" customWidth="1"/>
    <col min="5" max="5" width="8.875" customWidth="1"/>
    <col min="6" max="6" width="10.125" customWidth="1"/>
    <col min="9" max="9" width="9.5" customWidth="1"/>
    <col min="10" max="10" width="12.625" customWidth="1"/>
  </cols>
  <sheetData>
    <row r="5" spans="3:10">
      <c r="C5" s="3819" t="s">
        <v>3121</v>
      </c>
      <c r="D5" s="3819"/>
      <c r="E5" s="3819"/>
      <c r="F5" s="3453">
        <v>32294.89</v>
      </c>
    </row>
    <row r="6" spans="3:10">
      <c r="C6" s="3819" t="s">
        <v>3122</v>
      </c>
      <c r="D6" s="3819"/>
      <c r="E6" s="3819"/>
      <c r="F6" s="3453">
        <v>98965.43</v>
      </c>
    </row>
    <row r="7" spans="3:10">
      <c r="C7" s="3820" t="s">
        <v>3130</v>
      </c>
      <c r="D7" s="3819" t="s">
        <v>3123</v>
      </c>
      <c r="E7" s="3819"/>
      <c r="F7" s="3453">
        <v>64651.07</v>
      </c>
    </row>
    <row r="8" spans="3:10">
      <c r="C8" s="3822"/>
      <c r="D8" s="3820" t="s">
        <v>3129</v>
      </c>
      <c r="E8" s="3453" t="s">
        <v>3124</v>
      </c>
      <c r="F8" s="3453">
        <v>60651.07</v>
      </c>
    </row>
    <row r="9" spans="3:10">
      <c r="C9" s="3822"/>
      <c r="D9" s="3821"/>
      <c r="E9" s="3453" t="s">
        <v>3125</v>
      </c>
      <c r="F9" s="3453">
        <v>4000</v>
      </c>
    </row>
    <row r="10" spans="3:10">
      <c r="C10" s="3821"/>
      <c r="D10" s="3819" t="s">
        <v>3126</v>
      </c>
      <c r="E10" s="3819"/>
      <c r="F10" s="3453">
        <v>34314.36</v>
      </c>
      <c r="G10" s="3454"/>
      <c r="H10" s="3454"/>
      <c r="I10" s="3454" t="s">
        <v>3132</v>
      </c>
      <c r="J10" s="3454" t="s">
        <v>3133</v>
      </c>
    </row>
    <row r="11" spans="3:10">
      <c r="C11" s="3816" t="s">
        <v>3127</v>
      </c>
      <c r="D11" s="3817"/>
      <c r="E11" s="3818"/>
      <c r="F11" s="3453">
        <v>631</v>
      </c>
      <c r="G11" s="3454" t="s">
        <v>3131</v>
      </c>
      <c r="H11" s="3454">
        <v>35</v>
      </c>
      <c r="I11" s="3454">
        <f>H11*F11</f>
        <v>22085</v>
      </c>
      <c r="J11" s="3454">
        <f>F10-I11</f>
        <v>12229.36</v>
      </c>
    </row>
    <row r="12" spans="3:10">
      <c r="C12" s="3816" t="s">
        <v>3128</v>
      </c>
      <c r="D12" s="3817"/>
      <c r="E12" s="3818"/>
      <c r="F12" s="3453">
        <f>ROUND(F7/F5,0)</f>
        <v>2</v>
      </c>
    </row>
    <row r="19" spans="2:6">
      <c r="B19" s="3819" t="s">
        <v>3141</v>
      </c>
      <c r="C19" s="3819"/>
      <c r="D19" s="3819"/>
      <c r="E19" s="3819"/>
      <c r="F19" s="3819"/>
    </row>
    <row r="20" spans="2:6">
      <c r="B20" s="3453"/>
      <c r="C20" s="3453"/>
      <c r="D20" s="3453" t="s">
        <v>3139</v>
      </c>
      <c r="E20" s="3453" t="s">
        <v>3138</v>
      </c>
      <c r="F20" s="3453" t="s">
        <v>3140</v>
      </c>
    </row>
    <row r="21" spans="2:6">
      <c r="B21" s="3453" t="s">
        <v>3134</v>
      </c>
      <c r="C21" s="3453">
        <v>16</v>
      </c>
      <c r="D21" s="3453">
        <v>47356</v>
      </c>
      <c r="E21" s="3453">
        <v>13000</v>
      </c>
      <c r="F21" s="3453">
        <f>D21*E21/10000</f>
        <v>61562.8</v>
      </c>
    </row>
    <row r="22" spans="2:6">
      <c r="B22" s="3453" t="s">
        <v>3135</v>
      </c>
      <c r="C22" s="3453">
        <v>19</v>
      </c>
      <c r="D22" s="3453">
        <v>35083.97</v>
      </c>
      <c r="E22" s="3453">
        <v>35000</v>
      </c>
      <c r="F22" s="3453">
        <f t="shared" ref="F22:F24" si="0">D22*E22/10000</f>
        <v>122793.895</v>
      </c>
    </row>
    <row r="23" spans="2:6">
      <c r="B23" s="3453" t="s">
        <v>3135</v>
      </c>
      <c r="C23" s="3453">
        <v>20</v>
      </c>
      <c r="D23" s="3453">
        <v>49248.02</v>
      </c>
      <c r="E23" s="3453">
        <v>35000</v>
      </c>
      <c r="F23" s="3453">
        <f t="shared" si="0"/>
        <v>172368.07</v>
      </c>
    </row>
    <row r="24" spans="2:6">
      <c r="B24" s="3453" t="s">
        <v>3136</v>
      </c>
      <c r="C24" s="3453">
        <v>39</v>
      </c>
      <c r="D24" s="3453">
        <v>31450</v>
      </c>
      <c r="E24" s="3453">
        <v>13000</v>
      </c>
      <c r="F24" s="3453">
        <f t="shared" si="0"/>
        <v>40885</v>
      </c>
    </row>
    <row r="25" spans="2:6">
      <c r="B25" s="3453" t="s">
        <v>3137</v>
      </c>
      <c r="C25" s="3453">
        <v>40</v>
      </c>
      <c r="D25" s="3453">
        <v>60651.07</v>
      </c>
      <c r="E25" s="3455">
        <f>ROUND(F25/D25*10000,0)</f>
        <v>2290</v>
      </c>
      <c r="F25" s="3453">
        <f>F26-F21-F22-F23-F24</f>
        <v>13890.234999999986</v>
      </c>
    </row>
    <row r="26" spans="2:6">
      <c r="F26" s="3454">
        <v>411500</v>
      </c>
    </row>
  </sheetData>
  <mergeCells count="9">
    <mergeCell ref="C12:E12"/>
    <mergeCell ref="B19:F19"/>
    <mergeCell ref="D7:E7"/>
    <mergeCell ref="C6:E6"/>
    <mergeCell ref="C5:E5"/>
    <mergeCell ref="D10:E10"/>
    <mergeCell ref="D8:D9"/>
    <mergeCell ref="C7:C10"/>
    <mergeCell ref="C11:E1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9" workbookViewId="0">
      <selection activeCell="M289" sqref="M289"/>
    </sheetView>
  </sheetViews>
  <sheetFormatPr defaultRowHeight="13.5"/>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8"/>
  <sheetViews>
    <sheetView topLeftCell="E127" workbookViewId="0">
      <selection activeCell="I129" sqref="I129"/>
    </sheetView>
  </sheetViews>
  <sheetFormatPr defaultRowHeight="13.5"/>
  <cols>
    <col min="1" max="1" width="23.625" customWidth="1"/>
    <col min="2" max="3" width="0" hidden="1" customWidth="1"/>
    <col min="4" max="4" width="10.5" customWidth="1"/>
    <col min="5" max="7" width="9.125" bestFit="1" customWidth="1"/>
    <col min="9" max="9" width="17.375" customWidth="1"/>
    <col min="10" max="10" width="0" hidden="1" customWidth="1"/>
    <col min="11" max="11" width="11.625" hidden="1" customWidth="1"/>
    <col min="12" max="12" width="11.625" bestFit="1" customWidth="1"/>
    <col min="14" max="14" width="14.25" customWidth="1"/>
    <col min="15" max="15" width="9.125" bestFit="1" customWidth="1"/>
    <col min="16" max="16" width="9.125" hidden="1" customWidth="1"/>
    <col min="17" max="17" width="0" hidden="1" customWidth="1"/>
    <col min="18" max="18" width="9.125" bestFit="1" customWidth="1"/>
    <col min="19" max="19" width="10.125" customWidth="1"/>
    <col min="20" max="20" width="9.125" bestFit="1" customWidth="1"/>
  </cols>
  <sheetData>
    <row r="1" spans="1:20">
      <c r="A1" s="3823" t="s">
        <v>3163</v>
      </c>
      <c r="B1" s="3823" t="s">
        <v>3164</v>
      </c>
      <c r="C1" s="3823" t="s">
        <v>3165</v>
      </c>
      <c r="D1" s="3823" t="s">
        <v>3166</v>
      </c>
      <c r="E1" s="3823" t="s">
        <v>3167</v>
      </c>
      <c r="F1" s="3823" t="s">
        <v>3168</v>
      </c>
      <c r="G1" s="3823" t="s">
        <v>1824</v>
      </c>
      <c r="H1" s="3823" t="s">
        <v>3169</v>
      </c>
      <c r="I1" s="3823" t="s">
        <v>3170</v>
      </c>
      <c r="J1" s="3823" t="s">
        <v>3171</v>
      </c>
      <c r="K1" s="3823" t="s">
        <v>3172</v>
      </c>
      <c r="L1" s="3823" t="s">
        <v>3173</v>
      </c>
      <c r="M1" s="3823" t="s">
        <v>3174</v>
      </c>
      <c r="N1" s="3823" t="s">
        <v>3175</v>
      </c>
      <c r="O1" s="3823" t="s">
        <v>3176</v>
      </c>
      <c r="P1" s="3823" t="s">
        <v>3177</v>
      </c>
      <c r="Q1" s="3823" t="s">
        <v>3178</v>
      </c>
      <c r="R1" s="3823" t="s">
        <v>3179</v>
      </c>
      <c r="S1" s="3823" t="s">
        <v>3180</v>
      </c>
      <c r="T1" s="3823" t="s">
        <v>3181</v>
      </c>
    </row>
    <row r="2" spans="1:20">
      <c r="A2" s="3823" t="s">
        <v>3182</v>
      </c>
      <c r="B2" s="3823" t="s">
        <v>1737</v>
      </c>
      <c r="C2" s="3823" t="s">
        <v>3183</v>
      </c>
      <c r="D2" s="3823" t="s">
        <v>3184</v>
      </c>
      <c r="E2" s="3823">
        <v>33141.01</v>
      </c>
      <c r="F2" s="3823">
        <v>61339.02</v>
      </c>
      <c r="G2" s="3823" t="s">
        <v>3185</v>
      </c>
      <c r="H2" s="3823" t="s">
        <v>3186</v>
      </c>
      <c r="I2" s="3823" t="s">
        <v>3187</v>
      </c>
      <c r="J2" s="3823" t="s">
        <v>3188</v>
      </c>
      <c r="K2" s="3826">
        <v>44608.000497685185</v>
      </c>
      <c r="L2" s="3826">
        <v>44608.000497685185</v>
      </c>
      <c r="M2" s="3823" t="s">
        <v>3189</v>
      </c>
      <c r="N2" s="3823" t="s">
        <v>3190</v>
      </c>
      <c r="O2" s="3823">
        <v>133000</v>
      </c>
      <c r="P2" s="3823">
        <v>27000</v>
      </c>
      <c r="Q2" s="3823" t="s">
        <v>3191</v>
      </c>
      <c r="R2" s="3823">
        <v>133000</v>
      </c>
      <c r="S2" s="3823">
        <v>21683</v>
      </c>
      <c r="T2" s="3823">
        <v>0</v>
      </c>
    </row>
    <row r="3" spans="1:20">
      <c r="A3" s="3823" t="s">
        <v>3192</v>
      </c>
      <c r="B3" s="3823" t="s">
        <v>1737</v>
      </c>
      <c r="C3" s="3823" t="s">
        <v>3193</v>
      </c>
      <c r="D3" s="3823" t="s">
        <v>3194</v>
      </c>
      <c r="E3" s="3823">
        <v>29991.73</v>
      </c>
      <c r="F3" s="3823">
        <v>119966.93</v>
      </c>
      <c r="G3" s="3823">
        <v>4</v>
      </c>
      <c r="H3" s="3823" t="s">
        <v>3186</v>
      </c>
      <c r="I3" s="3823" t="s">
        <v>3195</v>
      </c>
      <c r="J3" s="3823" t="s">
        <v>3196</v>
      </c>
      <c r="K3" s="3826">
        <v>44566.000497685185</v>
      </c>
      <c r="L3" s="3826">
        <v>44566.000497685185</v>
      </c>
      <c r="M3" s="3823" t="s">
        <v>3189</v>
      </c>
      <c r="N3" s="3823" t="s">
        <v>3197</v>
      </c>
      <c r="O3" s="3823">
        <v>165300</v>
      </c>
      <c r="P3" s="3823">
        <v>33100</v>
      </c>
      <c r="Q3" s="3823" t="s">
        <v>2534</v>
      </c>
      <c r="R3" s="3823">
        <v>165300</v>
      </c>
      <c r="S3" s="3823">
        <v>13779</v>
      </c>
      <c r="T3" s="3823">
        <v>0</v>
      </c>
    </row>
    <row r="4" spans="1:20">
      <c r="A4" s="3823" t="s">
        <v>3198</v>
      </c>
      <c r="B4" s="3823" t="s">
        <v>1737</v>
      </c>
      <c r="C4" s="3823" t="s">
        <v>3199</v>
      </c>
      <c r="D4" s="3823" t="s">
        <v>3194</v>
      </c>
      <c r="E4" s="3823">
        <v>204418.11</v>
      </c>
      <c r="F4" s="3823">
        <v>302000</v>
      </c>
      <c r="G4" s="3823">
        <v>1.5</v>
      </c>
      <c r="H4" s="3823" t="s">
        <v>3186</v>
      </c>
      <c r="I4" s="3823" t="s">
        <v>3195</v>
      </c>
      <c r="J4" s="3823" t="s">
        <v>3196</v>
      </c>
      <c r="K4" s="3826">
        <v>44495.000497685185</v>
      </c>
      <c r="L4" s="3826">
        <v>44495.000497685185</v>
      </c>
      <c r="M4" s="3823" t="s">
        <v>3189</v>
      </c>
      <c r="N4" s="3823" t="s">
        <v>3200</v>
      </c>
      <c r="O4" s="3823">
        <v>506700</v>
      </c>
      <c r="P4" s="3823">
        <v>101400</v>
      </c>
      <c r="Q4" s="3823" t="s">
        <v>3201</v>
      </c>
      <c r="R4" s="3823">
        <v>506700</v>
      </c>
      <c r="S4" s="3823">
        <v>16778</v>
      </c>
      <c r="T4" s="3823">
        <v>0</v>
      </c>
    </row>
    <row r="5" spans="1:20">
      <c r="A5" s="3823" t="s">
        <v>3202</v>
      </c>
      <c r="B5" s="3823" t="s">
        <v>1737</v>
      </c>
      <c r="C5" s="3823" t="s">
        <v>3203</v>
      </c>
      <c r="D5" s="3823" t="s">
        <v>3184</v>
      </c>
      <c r="E5" s="3823">
        <v>25189.62</v>
      </c>
      <c r="F5" s="3823">
        <v>37104</v>
      </c>
      <c r="G5" s="3823" t="s">
        <v>3204</v>
      </c>
      <c r="H5" s="3823" t="s">
        <v>3186</v>
      </c>
      <c r="I5" s="3823" t="s">
        <v>3205</v>
      </c>
      <c r="J5" s="3823" t="s">
        <v>3206</v>
      </c>
      <c r="K5" s="3826">
        <v>44481.000497685185</v>
      </c>
      <c r="L5" s="3826">
        <v>44481.000497685185</v>
      </c>
      <c r="M5" s="3823" t="s">
        <v>3189</v>
      </c>
      <c r="N5" s="3823" t="s">
        <v>3207</v>
      </c>
      <c r="O5" s="3823">
        <v>29500</v>
      </c>
      <c r="P5" s="3823">
        <v>5900</v>
      </c>
      <c r="Q5" s="3823" t="s">
        <v>3208</v>
      </c>
      <c r="R5" s="3823">
        <v>29500</v>
      </c>
      <c r="S5" s="3823">
        <v>7951</v>
      </c>
      <c r="T5" s="3823">
        <v>0</v>
      </c>
    </row>
    <row r="6" spans="1:20">
      <c r="A6" s="3823" t="s">
        <v>3209</v>
      </c>
      <c r="B6" s="3823" t="s">
        <v>1737</v>
      </c>
      <c r="C6" s="3823" t="s">
        <v>3210</v>
      </c>
      <c r="D6" s="3823" t="s">
        <v>3211</v>
      </c>
      <c r="E6" s="3823">
        <v>45949.97</v>
      </c>
      <c r="F6" s="3823">
        <v>82709.95</v>
      </c>
      <c r="G6" s="3823">
        <v>1.8</v>
      </c>
      <c r="H6" s="3823" t="s">
        <v>3186</v>
      </c>
      <c r="I6" s="3823" t="s">
        <v>3212</v>
      </c>
      <c r="J6" s="3823" t="s">
        <v>3196</v>
      </c>
      <c r="K6" s="3826">
        <v>44481.000497685185</v>
      </c>
      <c r="L6" s="3826">
        <v>44481.000497685185</v>
      </c>
      <c r="M6" s="3823" t="s">
        <v>3189</v>
      </c>
      <c r="N6" s="3823" t="s">
        <v>3213</v>
      </c>
      <c r="O6" s="3823">
        <v>11198.93</v>
      </c>
      <c r="P6" s="3823">
        <v>2300</v>
      </c>
      <c r="Q6" s="3823" t="s">
        <v>2534</v>
      </c>
      <c r="R6" s="3823">
        <v>11198.93</v>
      </c>
      <c r="S6" s="3823">
        <v>1354</v>
      </c>
      <c r="T6" s="3823">
        <v>0</v>
      </c>
    </row>
    <row r="7" spans="1:20">
      <c r="A7" s="3823" t="s">
        <v>3214</v>
      </c>
      <c r="B7" s="3823" t="s">
        <v>1737</v>
      </c>
      <c r="C7" s="3823" t="s">
        <v>3215</v>
      </c>
      <c r="D7" s="3823" t="s">
        <v>3211</v>
      </c>
      <c r="E7" s="3823">
        <v>17315.580000000002</v>
      </c>
      <c r="F7" s="3823">
        <v>20778.689999999999</v>
      </c>
      <c r="G7" s="3823" t="s">
        <v>3216</v>
      </c>
      <c r="H7" s="3823" t="s">
        <v>3186</v>
      </c>
      <c r="I7" s="3823" t="s">
        <v>3217</v>
      </c>
      <c r="J7" s="3823" t="s">
        <v>3196</v>
      </c>
      <c r="K7" s="3826">
        <v>44386.000497685185</v>
      </c>
      <c r="L7" s="3826">
        <v>44386.000497685185</v>
      </c>
      <c r="M7" s="3823" t="s">
        <v>3189</v>
      </c>
      <c r="N7" s="3823" t="s">
        <v>3218</v>
      </c>
      <c r="O7" s="3823">
        <v>4064.34</v>
      </c>
      <c r="P7" s="3823">
        <v>850</v>
      </c>
      <c r="Q7" s="3823" t="s">
        <v>2534</v>
      </c>
      <c r="R7" s="3823">
        <v>4064.34</v>
      </c>
      <c r="S7" s="3823">
        <v>1956</v>
      </c>
      <c r="T7" s="3823">
        <v>0</v>
      </c>
    </row>
    <row r="8" spans="1:20">
      <c r="A8" s="3823" t="s">
        <v>3219</v>
      </c>
      <c r="B8" s="3823" t="s">
        <v>1737</v>
      </c>
      <c r="C8" s="3823" t="s">
        <v>3220</v>
      </c>
      <c r="D8" s="3823" t="s">
        <v>3211</v>
      </c>
      <c r="E8" s="3823">
        <v>10677.25</v>
      </c>
      <c r="F8" s="3823">
        <v>21354.5</v>
      </c>
      <c r="G8" s="3823" t="s">
        <v>3221</v>
      </c>
      <c r="H8" s="3823" t="s">
        <v>3186</v>
      </c>
      <c r="I8" s="3823" t="s">
        <v>3217</v>
      </c>
      <c r="J8" s="3823" t="s">
        <v>3196</v>
      </c>
      <c r="K8" s="3826">
        <v>44386.000497685185</v>
      </c>
      <c r="L8" s="3826">
        <v>44386.000497685185</v>
      </c>
      <c r="M8" s="3823" t="s">
        <v>3189</v>
      </c>
      <c r="N8" s="3823" t="s">
        <v>3218</v>
      </c>
      <c r="O8" s="3823">
        <v>4133.82</v>
      </c>
      <c r="P8" s="3823">
        <v>850</v>
      </c>
      <c r="Q8" s="3823" t="s">
        <v>2534</v>
      </c>
      <c r="R8" s="3823">
        <v>4133.82</v>
      </c>
      <c r="S8" s="3823">
        <v>1936</v>
      </c>
      <c r="T8" s="3823">
        <v>0</v>
      </c>
    </row>
    <row r="9" spans="1:20">
      <c r="A9" s="3823" t="s">
        <v>3222</v>
      </c>
      <c r="B9" s="3823" t="s">
        <v>1737</v>
      </c>
      <c r="C9" s="3823" t="s">
        <v>3223</v>
      </c>
      <c r="D9" s="3823" t="s">
        <v>3211</v>
      </c>
      <c r="E9" s="3823">
        <v>20326.22</v>
      </c>
      <c r="F9" s="3823">
        <v>24391.47</v>
      </c>
      <c r="G9" s="3823" t="s">
        <v>3216</v>
      </c>
      <c r="H9" s="3823" t="s">
        <v>3186</v>
      </c>
      <c r="I9" s="3823" t="s">
        <v>3217</v>
      </c>
      <c r="J9" s="3823" t="s">
        <v>3196</v>
      </c>
      <c r="K9" s="3826">
        <v>44376.000497685185</v>
      </c>
      <c r="L9" s="3826">
        <v>44376.000497685185</v>
      </c>
      <c r="M9" s="3823" t="s">
        <v>3189</v>
      </c>
      <c r="N9" s="3823" t="s">
        <v>3224</v>
      </c>
      <c r="O9" s="3823">
        <v>4768.32</v>
      </c>
      <c r="P9" s="3823">
        <v>1000</v>
      </c>
      <c r="Q9" s="3823" t="s">
        <v>2534</v>
      </c>
      <c r="R9" s="3823">
        <v>4768.32</v>
      </c>
      <c r="S9" s="3823">
        <v>1955</v>
      </c>
      <c r="T9" s="3823">
        <v>0</v>
      </c>
    </row>
    <row r="10" spans="1:20">
      <c r="A10" s="3823" t="s">
        <v>3225</v>
      </c>
      <c r="B10" s="3823" t="s">
        <v>1737</v>
      </c>
      <c r="C10" s="3823" t="s">
        <v>3226</v>
      </c>
      <c r="D10" s="3823" t="s">
        <v>3194</v>
      </c>
      <c r="E10" s="3823">
        <v>17147.95</v>
      </c>
      <c r="F10" s="3823">
        <v>53158.65</v>
      </c>
      <c r="G10" s="3823" t="s">
        <v>3227</v>
      </c>
      <c r="H10" s="3823" t="s">
        <v>3186</v>
      </c>
      <c r="I10" s="3823" t="s">
        <v>3228</v>
      </c>
      <c r="J10" s="3823" t="s">
        <v>3196</v>
      </c>
      <c r="K10" s="3826">
        <v>44335.000497685185</v>
      </c>
      <c r="L10" s="3826">
        <v>44335.000497685185</v>
      </c>
      <c r="M10" s="3823" t="s">
        <v>3189</v>
      </c>
      <c r="N10" s="3823" t="s">
        <v>3190</v>
      </c>
      <c r="O10" s="3823">
        <v>69200</v>
      </c>
      <c r="P10" s="3823">
        <v>14000</v>
      </c>
      <c r="Q10" s="3823" t="s">
        <v>2534</v>
      </c>
      <c r="R10" s="3823">
        <v>69200</v>
      </c>
      <c r="S10" s="3823">
        <v>13018</v>
      </c>
      <c r="T10" s="3823">
        <v>0</v>
      </c>
    </row>
    <row r="11" spans="1:20">
      <c r="A11" s="3823" t="s">
        <v>3229</v>
      </c>
      <c r="B11" s="3823" t="s">
        <v>1737</v>
      </c>
      <c r="C11" s="3823" t="s">
        <v>3230</v>
      </c>
      <c r="D11" s="3823" t="s">
        <v>3184</v>
      </c>
      <c r="E11" s="3823">
        <v>104979.3</v>
      </c>
      <c r="F11" s="3823">
        <v>177256.92</v>
      </c>
      <c r="G11" s="3823" t="s">
        <v>3231</v>
      </c>
      <c r="H11" s="3823" t="s">
        <v>3186</v>
      </c>
      <c r="I11" s="3823" t="s">
        <v>3232</v>
      </c>
      <c r="J11" s="3823" t="s">
        <v>3233</v>
      </c>
      <c r="K11" s="3826">
        <v>44324.000497685185</v>
      </c>
      <c r="L11" s="3826">
        <v>44327.000497685185</v>
      </c>
      <c r="M11" s="3823" t="s">
        <v>3189</v>
      </c>
      <c r="N11" s="3823" t="s">
        <v>3234</v>
      </c>
      <c r="O11" s="3823">
        <v>447000</v>
      </c>
      <c r="P11" s="3823">
        <v>90000</v>
      </c>
      <c r="Q11" s="3823" t="s">
        <v>3235</v>
      </c>
      <c r="R11" s="3823">
        <v>451600</v>
      </c>
      <c r="S11" s="3823">
        <v>25477</v>
      </c>
      <c r="T11" s="3823">
        <v>1.03</v>
      </c>
    </row>
    <row r="12" spans="1:20">
      <c r="A12" s="3823" t="s">
        <v>3236</v>
      </c>
      <c r="B12" s="3823" t="s">
        <v>1737</v>
      </c>
      <c r="C12" s="3823" t="s">
        <v>3237</v>
      </c>
      <c r="D12" s="3823" t="s">
        <v>3184</v>
      </c>
      <c r="E12" s="3823">
        <v>124063.23</v>
      </c>
      <c r="F12" s="3823">
        <v>240662.81</v>
      </c>
      <c r="G12" s="3823" t="s">
        <v>3238</v>
      </c>
      <c r="H12" s="3823" t="s">
        <v>3186</v>
      </c>
      <c r="I12" s="3823" t="s">
        <v>3239</v>
      </c>
      <c r="J12" s="3823" t="s">
        <v>3233</v>
      </c>
      <c r="K12" s="3826">
        <v>44324.000497685185</v>
      </c>
      <c r="L12" s="3826">
        <v>44327.000497685185</v>
      </c>
      <c r="M12" s="3823" t="s">
        <v>3189</v>
      </c>
      <c r="N12" s="3823" t="s">
        <v>3240</v>
      </c>
      <c r="O12" s="3823">
        <v>358000</v>
      </c>
      <c r="P12" s="3823">
        <v>72000</v>
      </c>
      <c r="Q12" s="3823" t="s">
        <v>3235</v>
      </c>
      <c r="R12" s="3823">
        <v>411500</v>
      </c>
      <c r="S12" s="3823">
        <v>17099</v>
      </c>
      <c r="T12" s="3823">
        <v>14.94</v>
      </c>
    </row>
    <row r="13" spans="1:20" s="3456" customFormat="1">
      <c r="A13" s="3824" t="s">
        <v>3241</v>
      </c>
      <c r="B13" s="3824" t="s">
        <v>1737</v>
      </c>
      <c r="C13" s="3824" t="s">
        <v>3242</v>
      </c>
      <c r="D13" s="3824" t="s">
        <v>3184</v>
      </c>
      <c r="E13" s="3824">
        <v>44474.33</v>
      </c>
      <c r="F13" s="3824">
        <v>95931.32</v>
      </c>
      <c r="G13" s="3824" t="s">
        <v>3243</v>
      </c>
      <c r="H13" s="3824" t="s">
        <v>3186</v>
      </c>
      <c r="I13" s="3824" t="s">
        <v>3244</v>
      </c>
      <c r="J13" s="3824" t="s">
        <v>3233</v>
      </c>
      <c r="K13" s="3825">
        <v>44324.000497685185</v>
      </c>
      <c r="L13" s="3825">
        <v>44343.000497685185</v>
      </c>
      <c r="M13" s="3824" t="s">
        <v>3189</v>
      </c>
      <c r="N13" s="3824" t="s">
        <v>3245</v>
      </c>
      <c r="O13" s="3824">
        <v>179200</v>
      </c>
      <c r="P13" s="3824">
        <v>36000</v>
      </c>
      <c r="Q13" s="3824" t="s">
        <v>3235</v>
      </c>
      <c r="R13" s="3824">
        <v>224000</v>
      </c>
      <c r="S13" s="3824">
        <v>23350</v>
      </c>
      <c r="T13" s="3824">
        <v>25</v>
      </c>
    </row>
    <row r="14" spans="1:20">
      <c r="A14" s="3823" t="s">
        <v>3246</v>
      </c>
      <c r="B14" s="3823" t="s">
        <v>1737</v>
      </c>
      <c r="C14" s="3823" t="s">
        <v>3247</v>
      </c>
      <c r="D14" s="3823" t="s">
        <v>3194</v>
      </c>
      <c r="E14" s="3823">
        <v>22058.78</v>
      </c>
      <c r="F14" s="3823">
        <v>47390</v>
      </c>
      <c r="G14" s="3823" t="s">
        <v>3248</v>
      </c>
      <c r="H14" s="3823" t="s">
        <v>3186</v>
      </c>
      <c r="I14" s="3823" t="s">
        <v>3195</v>
      </c>
      <c r="J14" s="3823" t="s">
        <v>3196</v>
      </c>
      <c r="K14" s="3826">
        <v>44234.000497685185</v>
      </c>
      <c r="L14" s="3826">
        <v>44234.000497685185</v>
      </c>
      <c r="M14" s="3823" t="s">
        <v>3189</v>
      </c>
      <c r="N14" s="3823" t="s">
        <v>3249</v>
      </c>
      <c r="O14" s="3823">
        <v>32700</v>
      </c>
      <c r="P14" s="3823">
        <v>6600</v>
      </c>
      <c r="Q14" s="3823" t="s">
        <v>2534</v>
      </c>
      <c r="R14" s="3823">
        <v>32700</v>
      </c>
      <c r="S14" s="3823">
        <v>6900</v>
      </c>
      <c r="T14" s="3823">
        <v>0</v>
      </c>
    </row>
    <row r="15" spans="1:20">
      <c r="A15" s="3823" t="s">
        <v>3250</v>
      </c>
      <c r="B15" s="3823" t="s">
        <v>1737</v>
      </c>
      <c r="C15" s="3823" t="s">
        <v>3251</v>
      </c>
      <c r="D15" s="3823" t="s">
        <v>3211</v>
      </c>
      <c r="E15" s="3823">
        <v>106100</v>
      </c>
      <c r="F15" s="3823">
        <v>127300</v>
      </c>
      <c r="G15" s="3823" t="s">
        <v>3252</v>
      </c>
      <c r="H15" s="3823" t="s">
        <v>3186</v>
      </c>
      <c r="I15" s="3823" t="s">
        <v>3253</v>
      </c>
      <c r="J15" s="3823" t="s">
        <v>3196</v>
      </c>
      <c r="K15" s="3826">
        <v>44204.000497685185</v>
      </c>
      <c r="L15" s="3826">
        <v>44204.000497685185</v>
      </c>
      <c r="M15" s="3823" t="s">
        <v>3189</v>
      </c>
      <c r="N15" s="3823" t="s">
        <v>3254</v>
      </c>
      <c r="O15" s="3823">
        <v>9472.42</v>
      </c>
      <c r="P15" s="3823">
        <v>1900</v>
      </c>
      <c r="Q15" s="3823" t="s">
        <v>2534</v>
      </c>
      <c r="R15" s="3823">
        <v>9472.42</v>
      </c>
      <c r="S15" s="3823">
        <v>744</v>
      </c>
      <c r="T15" s="3823">
        <v>0</v>
      </c>
    </row>
    <row r="16" spans="1:20">
      <c r="A16" s="3823" t="s">
        <v>3255</v>
      </c>
      <c r="B16" s="3823" t="s">
        <v>1737</v>
      </c>
      <c r="C16" s="3823" t="s">
        <v>3256</v>
      </c>
      <c r="D16" s="3823" t="s">
        <v>3184</v>
      </c>
      <c r="E16" s="3823">
        <v>37814.6</v>
      </c>
      <c r="F16" s="3823">
        <v>77172</v>
      </c>
      <c r="G16" s="3823" t="s">
        <v>3257</v>
      </c>
      <c r="H16" s="3823" t="s">
        <v>3186</v>
      </c>
      <c r="I16" s="3823" t="s">
        <v>3205</v>
      </c>
      <c r="J16" s="3823" t="s">
        <v>3196</v>
      </c>
      <c r="K16" s="3826">
        <v>44026.000497685185</v>
      </c>
      <c r="L16" s="3826">
        <v>44026.000497685185</v>
      </c>
      <c r="M16" s="3823" t="s">
        <v>3189</v>
      </c>
      <c r="N16" s="3823" t="s">
        <v>3258</v>
      </c>
      <c r="O16" s="3823">
        <v>113100</v>
      </c>
      <c r="P16" s="3823">
        <v>22650</v>
      </c>
      <c r="Q16" s="3823" t="s">
        <v>3259</v>
      </c>
      <c r="R16" s="3823">
        <v>124000</v>
      </c>
      <c r="S16" s="3823">
        <v>16068</v>
      </c>
      <c r="T16" s="3823">
        <v>9.64</v>
      </c>
    </row>
    <row r="17" spans="1:20" s="3456" customFormat="1">
      <c r="A17" s="3824" t="s">
        <v>3260</v>
      </c>
      <c r="B17" s="3824" t="s">
        <v>1737</v>
      </c>
      <c r="C17" s="3824" t="s">
        <v>3261</v>
      </c>
      <c r="D17" s="3824" t="s">
        <v>3184</v>
      </c>
      <c r="E17" s="3824">
        <v>27525.64</v>
      </c>
      <c r="F17" s="3824">
        <v>50251</v>
      </c>
      <c r="G17" s="3824" t="s">
        <v>3262</v>
      </c>
      <c r="H17" s="3824" t="s">
        <v>3186</v>
      </c>
      <c r="I17" s="3824" t="s">
        <v>3205</v>
      </c>
      <c r="J17" s="3824" t="s">
        <v>3196</v>
      </c>
      <c r="K17" s="3825">
        <v>43879.000497685185</v>
      </c>
      <c r="L17" s="3825">
        <v>43879.000497685185</v>
      </c>
      <c r="M17" s="3824" t="s">
        <v>3189</v>
      </c>
      <c r="N17" s="3824" t="s">
        <v>3263</v>
      </c>
      <c r="O17" s="3824">
        <v>90000</v>
      </c>
      <c r="P17" s="3824">
        <v>18000</v>
      </c>
      <c r="Q17" s="3824" t="s">
        <v>3264</v>
      </c>
      <c r="R17" s="3824">
        <v>134800</v>
      </c>
      <c r="S17" s="3824">
        <v>26825</v>
      </c>
      <c r="T17" s="3824">
        <v>49.78</v>
      </c>
    </row>
    <row r="18" spans="1:20" s="3456" customFormat="1">
      <c r="A18" s="3824" t="s">
        <v>3265</v>
      </c>
      <c r="B18" s="3824" t="s">
        <v>1737</v>
      </c>
      <c r="C18" s="3824" t="s">
        <v>3266</v>
      </c>
      <c r="D18" s="3824" t="s">
        <v>3184</v>
      </c>
      <c r="E18" s="3824">
        <v>99023.27</v>
      </c>
      <c r="F18" s="3824">
        <v>220184.56</v>
      </c>
      <c r="G18" s="3824" t="s">
        <v>3267</v>
      </c>
      <c r="H18" s="3824" t="s">
        <v>3186</v>
      </c>
      <c r="I18" s="3824" t="s">
        <v>3205</v>
      </c>
      <c r="J18" s="3824" t="s">
        <v>3196</v>
      </c>
      <c r="K18" s="3825">
        <v>43872.000497685185</v>
      </c>
      <c r="L18" s="3825">
        <v>43872.000497685185</v>
      </c>
      <c r="M18" s="3824" t="s">
        <v>3189</v>
      </c>
      <c r="N18" s="3824" t="s">
        <v>3268</v>
      </c>
      <c r="O18" s="3824">
        <v>380000</v>
      </c>
      <c r="P18" s="3824">
        <v>76000</v>
      </c>
      <c r="Q18" s="3824" t="s">
        <v>3269</v>
      </c>
      <c r="R18" s="3824">
        <v>467000</v>
      </c>
      <c r="S18" s="3824">
        <v>21209</v>
      </c>
      <c r="T18" s="3824">
        <v>22.89</v>
      </c>
    </row>
    <row r="19" spans="1:20">
      <c r="A19" s="3823" t="s">
        <v>3270</v>
      </c>
      <c r="B19" s="3823" t="s">
        <v>1737</v>
      </c>
      <c r="C19" s="3823" t="s">
        <v>3271</v>
      </c>
      <c r="D19" s="3823" t="s">
        <v>3194</v>
      </c>
      <c r="E19" s="3823">
        <v>28003.32</v>
      </c>
      <c r="F19" s="3823">
        <v>70008</v>
      </c>
      <c r="G19" s="3823" t="s">
        <v>3272</v>
      </c>
      <c r="H19" s="3823" t="s">
        <v>3186</v>
      </c>
      <c r="I19" s="3823" t="s">
        <v>3195</v>
      </c>
      <c r="J19" s="3823" t="s">
        <v>3196</v>
      </c>
      <c r="K19" s="3826">
        <v>43755.000497685185</v>
      </c>
      <c r="L19" s="3826">
        <v>43755.000497685185</v>
      </c>
      <c r="M19" s="3823" t="s">
        <v>3189</v>
      </c>
      <c r="N19" s="3823" t="s">
        <v>3273</v>
      </c>
      <c r="O19" s="3823">
        <v>96800</v>
      </c>
      <c r="P19" s="3823">
        <v>19500</v>
      </c>
      <c r="Q19" s="3823" t="s">
        <v>3274</v>
      </c>
      <c r="R19" s="3823">
        <v>97800</v>
      </c>
      <c r="S19" s="3823">
        <v>13970</v>
      </c>
      <c r="T19" s="3823">
        <v>1.03</v>
      </c>
    </row>
    <row r="20" spans="1:20" s="3456" customFormat="1">
      <c r="A20" s="3824" t="s">
        <v>3275</v>
      </c>
      <c r="B20" s="3824" t="s">
        <v>1737</v>
      </c>
      <c r="C20" s="3824" t="s">
        <v>3276</v>
      </c>
      <c r="D20" s="3824" t="s">
        <v>3184</v>
      </c>
      <c r="E20" s="3824">
        <v>73240.63</v>
      </c>
      <c r="F20" s="3824">
        <v>153989</v>
      </c>
      <c r="G20" s="3824" t="s">
        <v>3257</v>
      </c>
      <c r="H20" s="3824" t="s">
        <v>3186</v>
      </c>
      <c r="I20" s="3824" t="s">
        <v>3277</v>
      </c>
      <c r="J20" s="3824" t="s">
        <v>3196</v>
      </c>
      <c r="K20" s="3825">
        <v>43753.000497685185</v>
      </c>
      <c r="L20" s="3825">
        <v>43753.000497685185</v>
      </c>
      <c r="M20" s="3824" t="s">
        <v>3189</v>
      </c>
      <c r="N20" s="3824" t="s">
        <v>3278</v>
      </c>
      <c r="O20" s="3824">
        <v>332000</v>
      </c>
      <c r="P20" s="3824">
        <v>66400</v>
      </c>
      <c r="Q20" s="3824" t="s">
        <v>3279</v>
      </c>
      <c r="R20" s="3824">
        <v>332000</v>
      </c>
      <c r="S20" s="3824">
        <v>21560</v>
      </c>
      <c r="T20" s="3824">
        <v>0</v>
      </c>
    </row>
    <row r="24" spans="1:20">
      <c r="A24" s="3457" t="s">
        <v>3241</v>
      </c>
    </row>
    <row r="56" spans="1:1">
      <c r="A56" s="3457" t="s">
        <v>3275</v>
      </c>
    </row>
    <row r="67" spans="1:1">
      <c r="A67" s="3457" t="s">
        <v>3265</v>
      </c>
    </row>
    <row r="95" spans="1:1">
      <c r="A95" s="3457" t="s">
        <v>3260</v>
      </c>
    </row>
    <row r="130" spans="1:4">
      <c r="A130" s="3482" t="s">
        <v>3320</v>
      </c>
      <c r="D130" s="3482" t="s">
        <v>3325</v>
      </c>
    </row>
    <row r="158" spans="1:4">
      <c r="A158" s="3482" t="s">
        <v>3321</v>
      </c>
      <c r="D158" s="3482" t="s">
        <v>3324</v>
      </c>
    </row>
    <row r="188" spans="1:4">
      <c r="A188" s="3482" t="s">
        <v>3322</v>
      </c>
      <c r="D188" s="3482" t="s">
        <v>3323</v>
      </c>
    </row>
  </sheetData>
  <mergeCells count="40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s>
  <phoneticPr fontId="22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97"/>
  <sheetViews>
    <sheetView topLeftCell="A97" workbookViewId="0">
      <selection activeCell="I130" sqref="I130"/>
    </sheetView>
  </sheetViews>
  <sheetFormatPr defaultRowHeight="13.5"/>
  <sheetData>
    <row r="43" spans="1:1" ht="20.25">
      <c r="A43" s="3489" t="s">
        <v>3332</v>
      </c>
    </row>
    <row r="70" spans="1:1" ht="20.25">
      <c r="A70" s="3489" t="s">
        <v>3333</v>
      </c>
    </row>
    <row r="97" spans="1:1" ht="20.25">
      <c r="A97" s="3489" t="s">
        <v>3334</v>
      </c>
    </row>
  </sheetData>
  <phoneticPr fontId="22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4" sqref="Q44"/>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1436</v>
      </c>
      <c r="T1" s="2575" t="s">
        <v>2500</v>
      </c>
      <c r="U1" s="2575" t="s">
        <v>2501</v>
      </c>
      <c r="V1" s="2575" t="s">
        <v>971</v>
      </c>
      <c r="W1" s="2024"/>
      <c r="X1" s="2024"/>
      <c r="Y1" s="2024"/>
      <c r="Z1" s="2024"/>
      <c r="AA1" s="2024"/>
      <c r="AB1" s="2024"/>
      <c r="AC1" s="2025"/>
    </row>
    <row r="2" spans="1:39" ht="15.75">
      <c r="A2" s="1310" t="s">
        <v>899</v>
      </c>
      <c r="B2" s="1007">
        <f>结果表新!C18</f>
        <v>99796</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f>结果表新!C19</f>
        <v>10084</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f>结果表新!C21</f>
        <v>30901</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SUMIF(L1:L12,'基准地价-结果链接'!G2,M1:M12)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38"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3472" t="s">
        <v>2481</v>
      </c>
      <c r="X7" s="2566">
        <f>G2</f>
        <v>0</v>
      </c>
      <c r="Y7" s="2566" t="s">
        <v>2482</v>
      </c>
      <c r="Z7" s="2567">
        <f>G3</f>
        <v>4</v>
      </c>
      <c r="AA7" s="2027"/>
      <c r="AB7" s="2027"/>
      <c r="AC7" s="2028"/>
      <c r="AD7" s="2568"/>
      <c r="AE7" s="2568"/>
      <c r="AF7" s="2568"/>
      <c r="AG7" s="2568"/>
      <c r="AH7" s="2568"/>
      <c r="AI7" s="2568"/>
      <c r="AJ7" s="2569"/>
    </row>
    <row r="8" spans="1:39" ht="15">
      <c r="A8" s="3739"/>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25" t="s">
        <v>2499</v>
      </c>
      <c r="X8" s="3726"/>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39"/>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24"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39"/>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24"/>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39"/>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24"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38"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24"/>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40"/>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24"/>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40"/>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41"/>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38" t="s">
        <v>1638</v>
      </c>
      <c r="B16" s="1331" t="s">
        <v>929</v>
      </c>
      <c r="C16" s="1021" t="e">
        <f>ROUND(IF(F17="与级别开发程度一致",0,(G17-E17)/C17),0)</f>
        <v>#DIV/0!</v>
      </c>
      <c r="D16" s="3732" t="s">
        <v>933</v>
      </c>
      <c r="E16" s="3733"/>
      <c r="F16" s="3732" t="s">
        <v>930</v>
      </c>
      <c r="G16" s="3733"/>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42"/>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1626</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1627</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44756</v>
      </c>
      <c r="H19" s="1371" t="s">
        <v>2687</v>
      </c>
      <c r="I19" s="2425" t="str">
        <f>IF(H19="季度增幅（自定义）",SUMIF(N21:N24,E2,O21:O24),"")</f>
        <v/>
      </c>
      <c r="J19" s="1367"/>
      <c r="K19" s="3142"/>
      <c r="L19" s="2672" t="s">
        <v>2555</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1628</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34"/>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34"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35"/>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35"/>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35"/>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35"/>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36"/>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36"/>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963</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2042</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2639</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2042</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964</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2042</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43" t="s">
        <v>1434</v>
      </c>
      <c r="B90" s="3743"/>
      <c r="C90" s="3743"/>
      <c r="D90" s="3743"/>
      <c r="E90" s="3743"/>
      <c r="F90" s="3743"/>
      <c r="G90" s="3743"/>
      <c r="H90" s="3743"/>
      <c r="I90" s="3743"/>
      <c r="J90" s="3743"/>
      <c r="K90" s="3470"/>
      <c r="L90" s="3470"/>
      <c r="M90" s="3470"/>
      <c r="N90" s="3470"/>
    </row>
    <row r="91" spans="1:40">
      <c r="A91" s="3744" t="s">
        <v>1422</v>
      </c>
      <c r="B91" s="3744" t="s">
        <v>1435</v>
      </c>
      <c r="C91" s="1086" t="s">
        <v>1436</v>
      </c>
      <c r="D91" s="1087"/>
      <c r="E91" s="1087"/>
      <c r="F91" s="1087"/>
      <c r="G91" s="1087"/>
      <c r="H91" s="1087"/>
      <c r="I91" s="1087"/>
      <c r="J91" s="1088"/>
      <c r="K91" s="1080"/>
      <c r="L91" s="1080"/>
      <c r="M91" s="1080"/>
      <c r="N91" s="1080"/>
    </row>
    <row r="92" spans="1:40">
      <c r="A92" s="3744"/>
      <c r="B92" s="3744"/>
      <c r="C92" s="3471" t="s">
        <v>886</v>
      </c>
      <c r="D92" s="3471" t="s">
        <v>864</v>
      </c>
      <c r="E92" s="3471" t="s">
        <v>865</v>
      </c>
      <c r="F92" s="3471" t="s">
        <v>889</v>
      </c>
      <c r="G92" s="3471" t="s">
        <v>867</v>
      </c>
      <c r="H92" s="3471" t="s">
        <v>868</v>
      </c>
      <c r="I92" s="3471" t="s">
        <v>869</v>
      </c>
      <c r="J92" s="3471" t="s">
        <v>870</v>
      </c>
      <c r="K92" s="3471" t="s">
        <v>894</v>
      </c>
      <c r="L92" s="3471" t="s">
        <v>872</v>
      </c>
      <c r="M92" s="3471" t="s">
        <v>873</v>
      </c>
      <c r="N92" s="3471" t="s">
        <v>874</v>
      </c>
    </row>
    <row r="93" spans="1:40">
      <c r="A93" s="3727"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8"/>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8"/>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8"/>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8"/>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8"/>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8"/>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9"/>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7" t="s">
        <v>1438</v>
      </c>
      <c r="B101" s="1093" t="s">
        <v>862</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28"/>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28"/>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28"/>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28"/>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28"/>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28"/>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28"/>
      <c r="B108" s="3730"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9"/>
      <c r="B109" s="3731"/>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37" t="s">
        <v>1440</v>
      </c>
      <c r="B110" s="3737"/>
      <c r="C110" s="3737"/>
      <c r="D110" s="3737"/>
      <c r="E110" s="3737"/>
      <c r="F110" s="3737"/>
      <c r="G110" s="3737"/>
      <c r="H110" s="3737"/>
      <c r="I110" s="3737"/>
      <c r="J110" s="3737"/>
      <c r="K110" s="3469"/>
      <c r="L110" s="3469"/>
      <c r="M110" s="3469"/>
      <c r="N110" s="3469"/>
    </row>
    <row r="112" spans="1:14" ht="12.75" thickBot="1"/>
    <row r="113" spans="1:13" ht="25.5"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7" t="s">
        <v>1830</v>
      </c>
      <c r="B1" s="3497"/>
      <c r="C1" s="3497"/>
      <c r="D1" s="3497"/>
      <c r="E1" s="3497"/>
      <c r="F1" s="3497"/>
      <c r="G1" s="3497"/>
      <c r="H1" s="3497"/>
      <c r="I1" s="3497"/>
      <c r="J1" s="3497"/>
      <c r="K1" s="3497"/>
      <c r="L1" s="3497"/>
      <c r="M1" s="3497"/>
      <c r="N1" s="3497"/>
      <c r="O1" s="3497"/>
      <c r="P1" s="3497"/>
      <c r="Q1" s="3497"/>
      <c r="R1" s="3497"/>
    </row>
    <row r="2" spans="1:18">
      <c r="A2" s="1677" t="s">
        <v>1832</v>
      </c>
      <c r="B2" s="1677"/>
      <c r="C2" s="1677"/>
      <c r="D2" s="1677"/>
      <c r="E2" s="1677"/>
      <c r="F2" s="1677"/>
      <c r="G2" s="1677"/>
      <c r="H2" s="1677"/>
      <c r="I2" s="1678"/>
      <c r="J2" s="1678"/>
      <c r="K2" s="1679" t="str">
        <f>"估价期日："&amp;TEXT(项目基本情况!D3,"yyyy年m月d日;;")</f>
        <v>估价期日：2022年7月14日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98" t="s">
        <v>1821</v>
      </c>
      <c r="B3" s="3498" t="s">
        <v>2448</v>
      </c>
      <c r="C3" s="3499" t="s">
        <v>1822</v>
      </c>
      <c r="D3" s="3498" t="s">
        <v>2452</v>
      </c>
      <c r="E3" s="3501" t="s">
        <v>1823</v>
      </c>
      <c r="F3" s="3501"/>
      <c r="G3" s="3501"/>
      <c r="H3" s="3501" t="s">
        <v>1824</v>
      </c>
      <c r="I3" s="3501"/>
      <c r="J3" s="3501"/>
      <c r="K3" s="3499" t="s">
        <v>1825</v>
      </c>
      <c r="L3" s="3499" t="s">
        <v>1826</v>
      </c>
      <c r="M3" s="3498" t="s">
        <v>2449</v>
      </c>
      <c r="N3" s="3500" t="str">
        <f>"（分摊）"&amp;项目基本情况!B16&amp;"国有建设用地使用权面积/㎡"</f>
        <v>（分摊）出让国有建设用地使用权面积/㎡</v>
      </c>
      <c r="O3" s="3498" t="s">
        <v>1855</v>
      </c>
      <c r="P3" s="3499" t="s">
        <v>1835</v>
      </c>
      <c r="Q3" s="3499" t="s">
        <v>1856</v>
      </c>
      <c r="R3" s="3499" t="s">
        <v>1827</v>
      </c>
    </row>
    <row r="4" spans="1:18" ht="36.75" customHeight="1">
      <c r="A4" s="3498"/>
      <c r="B4" s="3498"/>
      <c r="C4" s="3499"/>
      <c r="D4" s="3498"/>
      <c r="E4" s="2413" t="s">
        <v>1834</v>
      </c>
      <c r="F4" s="2413" t="s">
        <v>2461</v>
      </c>
      <c r="G4" s="2413" t="s">
        <v>1828</v>
      </c>
      <c r="H4" s="2413" t="s">
        <v>1829</v>
      </c>
      <c r="I4" s="2413" t="s">
        <v>2462</v>
      </c>
      <c r="J4" s="2413" t="s">
        <v>1828</v>
      </c>
      <c r="K4" s="3499"/>
      <c r="L4" s="3499"/>
      <c r="M4" s="3498"/>
      <c r="N4" s="3500"/>
      <c r="O4" s="3498"/>
      <c r="P4" s="3499"/>
      <c r="Q4" s="3499"/>
      <c r="R4" s="3499"/>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32294.89</v>
      </c>
      <c r="O5" s="1680">
        <f>项目基本情况!C21</f>
        <v>98965.430000000008</v>
      </c>
      <c r="P5" s="1680">
        <f ca="1">结果表!E42</f>
        <v>44071</v>
      </c>
      <c r="Q5" s="1680">
        <f ca="1">结果表!D42</f>
        <v>14382</v>
      </c>
      <c r="R5" s="1681">
        <f ca="1">结果表!C42</f>
        <v>142328</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682">
        <f ca="1">结果表!O39</f>
        <v>140869</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682" t="str">
        <f>结果表!O40</f>
        <v>——</v>
      </c>
    </row>
    <row r="8" spans="1:18">
      <c r="A8" s="3502">
        <f>IF(项目基本情况!B9="市场价格","——",项目基本情况!E9)</f>
        <v>0</v>
      </c>
      <c r="B8" s="3503"/>
      <c r="C8" s="3503"/>
      <c r="D8" s="3503"/>
      <c r="E8" s="3503"/>
      <c r="F8" s="3503"/>
      <c r="G8" s="3503"/>
      <c r="H8" s="3503"/>
      <c r="I8" s="3503"/>
      <c r="J8" s="3503"/>
      <c r="K8" s="3503"/>
      <c r="L8" s="3503"/>
      <c r="M8" s="3503"/>
      <c r="N8" s="3503"/>
      <c r="O8" s="3503"/>
      <c r="P8" s="3503"/>
      <c r="Q8" s="3504"/>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06" t="s">
        <v>1857</v>
      </c>
      <c r="B1" s="3506"/>
      <c r="C1" s="3506"/>
      <c r="D1" s="3506"/>
    </row>
    <row r="2" spans="1:4" ht="47.25" customHeight="1">
      <c r="A2" s="3507" t="str">
        <f>"1.权利限制："&amp;项目基本情况!L24&amp;"未设定租赁等其他他项权利。"</f>
        <v>1.权利限制：根据估价对象《不动产权证书》原件、《国有土地使用权》复印件，截至估价期日，估价对象抵押权未见登记。未设定租赁等其他他项权利。</v>
      </c>
      <c r="B2" s="3507"/>
      <c r="C2" s="3507"/>
      <c r="D2" s="3507"/>
    </row>
    <row r="3" spans="1:4" ht="48" customHeight="1">
      <c r="A3" s="35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6"/>
      <c r="C3" s="3506"/>
      <c r="D3" s="3506"/>
    </row>
    <row r="4" spans="1:4" ht="36.75" customHeight="1">
      <c r="A4" s="3506" t="str">
        <f>"3.估价规划限制条件：详见"&amp;项目基本情况!E21&amp;"。"</f>
        <v>3.估价规划限制条件：详见《建设工程规划许可证》[]、《出让合同》[]。</v>
      </c>
      <c r="B4" s="3506"/>
      <c r="C4" s="3506"/>
      <c r="D4" s="3506"/>
    </row>
    <row r="5" spans="1:4">
      <c r="A5" s="3505" t="s">
        <v>1858</v>
      </c>
      <c r="B5" s="3505"/>
      <c r="C5" s="3505"/>
      <c r="D5" s="3505"/>
    </row>
    <row r="6" spans="1:4">
      <c r="A6" s="3506" t="s">
        <v>1836</v>
      </c>
      <c r="B6" s="3506"/>
      <c r="C6" s="3506"/>
      <c r="D6" s="3506"/>
    </row>
    <row r="7" spans="1:4" ht="33" customHeight="1">
      <c r="A7" s="3506" t="s">
        <v>2292</v>
      </c>
      <c r="B7" s="3506"/>
      <c r="C7" s="3506"/>
      <c r="D7" s="3506"/>
    </row>
    <row r="8" spans="1:4" ht="32.25" customHeight="1">
      <c r="A8" s="35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6"/>
      <c r="C8" s="3506"/>
      <c r="D8" s="3506"/>
    </row>
    <row r="9" spans="1:4" ht="33.75" customHeight="1">
      <c r="A9" s="35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6"/>
      <c r="C9" s="3506"/>
      <c r="D9" s="3506"/>
    </row>
    <row r="10" spans="1:4">
      <c r="A10" s="3506" t="str">
        <f>IF(项目基本情况!B8="抵押","4.估价师所知悉的法定优先受偿款情况为：","——")</f>
        <v>4.估价师所知悉的法定优先受偿款情况为：</v>
      </c>
      <c r="B10" s="3506"/>
      <c r="C10" s="3506"/>
      <c r="D10" s="3506"/>
    </row>
    <row r="11" spans="1:4" ht="37.5" customHeight="1">
      <c r="A11" s="35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8"/>
      <c r="C11" s="3508"/>
      <c r="D11" s="3508"/>
    </row>
    <row r="12" spans="1:4" ht="168" customHeight="1">
      <c r="A12" s="3505" t="s">
        <v>1860</v>
      </c>
      <c r="B12" s="3505"/>
      <c r="C12" s="3505"/>
      <c r="D12" s="3505"/>
    </row>
    <row r="13" spans="1:4">
      <c r="A13" s="3509" t="s">
        <v>2463</v>
      </c>
      <c r="B13" s="3509"/>
      <c r="C13" s="3509"/>
      <c r="D13" s="3509"/>
    </row>
    <row r="14" spans="1:4">
      <c r="A14" s="3508" t="str">
        <f>IF(项目基本情况!B8="抵押","综上，"&amp;结果表!K47,"——")</f>
        <v>综上，本次评估估价师知悉的法定优先受偿款为人民币1459万元整。</v>
      </c>
      <c r="B14" s="3508"/>
      <c r="C14" s="3508"/>
      <c r="D14" s="3508"/>
    </row>
    <row r="15" spans="1:4" ht="58.5" customHeight="1">
      <c r="A15" s="35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6"/>
      <c r="C15" s="3506"/>
      <c r="D15" s="3506"/>
    </row>
    <row r="16" spans="1:4" ht="70.5" customHeight="1">
      <c r="A16" s="35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6"/>
      <c r="C16" s="3506"/>
      <c r="D16" s="3506"/>
    </row>
    <row r="17" spans="1:4">
      <c r="A17" s="3506" t="s">
        <v>2419</v>
      </c>
      <c r="B17" s="3506"/>
      <c r="C17" s="3506"/>
      <c r="D17" s="3506"/>
    </row>
    <row r="18" spans="1:4">
      <c r="A18" s="3506" t="s">
        <v>2411</v>
      </c>
      <c r="B18" s="3506"/>
      <c r="C18" s="3506"/>
      <c r="D18" s="3506"/>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506" t="s">
        <v>2416</v>
      </c>
      <c r="B23" s="3506"/>
      <c r="C23" s="3506"/>
      <c r="D23" s="3506"/>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17" t="s">
        <v>53</v>
      </c>
      <c r="B15" s="3518" t="s">
        <v>826</v>
      </c>
      <c r="C15" s="3514"/>
    </row>
    <row r="16" spans="1:7" ht="14.25">
      <c r="A16" s="3517"/>
      <c r="B16" s="3515" t="s">
        <v>54</v>
      </c>
      <c r="C16" s="1118" t="s">
        <v>53</v>
      </c>
    </row>
    <row r="17" spans="1:3" ht="14.25">
      <c r="A17" s="3517"/>
      <c r="B17" s="3515"/>
      <c r="C17" s="1118" t="s">
        <v>55</v>
      </c>
    </row>
    <row r="18" spans="1:3" ht="14.25">
      <c r="A18" s="3517"/>
      <c r="B18" s="3515"/>
      <c r="C18" s="1118" t="s">
        <v>56</v>
      </c>
    </row>
    <row r="19" spans="1:3" ht="14.25">
      <c r="A19" s="3517"/>
      <c r="B19" s="3513" t="s">
        <v>57</v>
      </c>
      <c r="C19" s="3514"/>
    </row>
    <row r="20" spans="1:3" ht="14.25">
      <c r="A20" s="1119" t="s">
        <v>58</v>
      </c>
      <c r="B20" s="1120"/>
      <c r="C20" s="1121"/>
    </row>
    <row r="21" spans="1:3" ht="14.25">
      <c r="A21" s="3516" t="s">
        <v>59</v>
      </c>
      <c r="B21" s="3513" t="s">
        <v>60</v>
      </c>
      <c r="C21" s="3514"/>
    </row>
    <row r="22" spans="1:3" ht="14.25">
      <c r="A22" s="3516"/>
      <c r="B22" s="3513" t="s">
        <v>61</v>
      </c>
      <c r="C22" s="3514"/>
    </row>
    <row r="23" spans="1:3" ht="14.25">
      <c r="A23" s="3516"/>
      <c r="B23" s="3513" t="s">
        <v>62</v>
      </c>
      <c r="C23" s="3514"/>
    </row>
    <row r="24" spans="1:3" ht="14.25">
      <c r="A24" s="3516"/>
      <c r="B24" s="3519" t="s">
        <v>63</v>
      </c>
      <c r="C24" s="1122" t="s">
        <v>817</v>
      </c>
    </row>
    <row r="25" spans="1:3" ht="14.25">
      <c r="A25" s="3516"/>
      <c r="B25" s="3520"/>
      <c r="C25" s="1122" t="s">
        <v>818</v>
      </c>
    </row>
    <row r="26" spans="1:3" ht="14.25">
      <c r="A26" s="3516"/>
      <c r="B26" s="3520"/>
      <c r="C26" s="1122" t="s">
        <v>819</v>
      </c>
    </row>
    <row r="27" spans="1:3" ht="14.25">
      <c r="A27" s="3516"/>
      <c r="B27" s="3520"/>
      <c r="C27" s="1122" t="s">
        <v>820</v>
      </c>
    </row>
    <row r="28" spans="1:3" ht="14.25">
      <c r="A28" s="3516"/>
      <c r="B28" s="3520"/>
      <c r="C28" s="1122" t="s">
        <v>821</v>
      </c>
    </row>
    <row r="29" spans="1:3" ht="14.25">
      <c r="A29" s="3516"/>
      <c r="B29" s="3520"/>
      <c r="C29" s="1122" t="s">
        <v>822</v>
      </c>
    </row>
    <row r="30" spans="1:3" ht="14.25">
      <c r="A30" s="3516"/>
      <c r="B30" s="3520"/>
      <c r="C30" s="1122" t="s">
        <v>823</v>
      </c>
    </row>
    <row r="31" spans="1:3" ht="14.25">
      <c r="A31" s="3516"/>
      <c r="B31" s="3520"/>
      <c r="C31" s="1122" t="s">
        <v>824</v>
      </c>
    </row>
    <row r="32" spans="1:3" ht="14.25">
      <c r="A32" s="3516"/>
      <c r="B32" s="3520"/>
      <c r="C32" s="1122" t="s">
        <v>1446</v>
      </c>
    </row>
    <row r="33" spans="1:3" ht="14.25">
      <c r="A33" s="3516"/>
      <c r="B33" s="3510" t="s">
        <v>1452</v>
      </c>
      <c r="C33" s="1122" t="s">
        <v>1447</v>
      </c>
    </row>
    <row r="34" spans="1:3" ht="14.25">
      <c r="A34" s="3516"/>
      <c r="B34" s="3511"/>
      <c r="C34" s="1127" t="s">
        <v>1448</v>
      </c>
    </row>
    <row r="35" spans="1:3" ht="14.25">
      <c r="A35" s="3516"/>
      <c r="B35" s="3511"/>
      <c r="C35" s="1128" t="s">
        <v>1449</v>
      </c>
    </row>
    <row r="36" spans="1:3" ht="14.25">
      <c r="A36" s="3516"/>
      <c r="B36" s="3511"/>
      <c r="C36" s="1128" t="s">
        <v>1450</v>
      </c>
    </row>
    <row r="37" spans="1:3" ht="14.25">
      <c r="A37" s="3516"/>
      <c r="B37" s="3512"/>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44761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24" t="s">
        <v>1720</v>
      </c>
      <c r="B18" s="3525"/>
      <c r="C18" s="3525"/>
      <c r="D18" s="3525"/>
      <c r="E18" s="3525"/>
      <c r="F18" s="3525"/>
      <c r="G18" s="2942"/>
    </row>
    <row r="19" spans="1:7" ht="20.25" customHeight="1">
      <c r="A19" s="3521" t="s">
        <v>1721</v>
      </c>
      <c r="B19" s="3521"/>
      <c r="C19" s="3522"/>
      <c r="D19" s="3523" t="s">
        <v>1722</v>
      </c>
      <c r="E19" s="3521"/>
      <c r="F19" s="3521"/>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54" priority="151">
      <formula>AND($C5-TODAY()&lt;30,TODAY()&lt;$C5)</formula>
    </cfRule>
  </conditionalFormatting>
  <conditionalFormatting sqref="C21">
    <cfRule type="expression" dxfId="253" priority="150">
      <formula>AND($C21-TODAY()&lt;30,TODAY()&lt;$C21)</formula>
    </cfRule>
  </conditionalFormatting>
  <conditionalFormatting sqref="C21 F4 C5 C13">
    <cfRule type="cellIs" dxfId="252" priority="152" stopIfTrue="1" operator="lessThan">
      <formula>$B$2</formula>
    </cfRule>
  </conditionalFormatting>
  <conditionalFormatting sqref="F5 F7 F9">
    <cfRule type="cellIs" dxfId="251" priority="146" stopIfTrue="1" operator="lessThan">
      <formula>$B$2</formula>
    </cfRule>
  </conditionalFormatting>
  <conditionalFormatting sqref="C17:D17">
    <cfRule type="expression" dxfId="250" priority="144">
      <formula>AND($C17-TODAY()&lt;30,TODAY()&lt;$C17)</formula>
    </cfRule>
  </conditionalFormatting>
  <conditionalFormatting sqref="F6 F8 F10 C17:D17">
    <cfRule type="cellIs" dxfId="249" priority="145" stopIfTrue="1" operator="lessThan">
      <formula>$B$2</formula>
    </cfRule>
  </conditionalFormatting>
  <conditionalFormatting sqref="F14">
    <cfRule type="cellIs" dxfId="248" priority="116" stopIfTrue="1" operator="lessThan">
      <formula>$B$2</formula>
    </cfRule>
  </conditionalFormatting>
  <conditionalFormatting sqref="F13">
    <cfRule type="cellIs" dxfId="247" priority="115" stopIfTrue="1" operator="lessThan">
      <formula>$B$2</formula>
    </cfRule>
  </conditionalFormatting>
  <conditionalFormatting sqref="B4:B11 E4:E11 E13:E16 B13:B16">
    <cfRule type="cellIs" dxfId="246" priority="113" stopIfTrue="1" operator="equal">
      <formula>"已过期"</formula>
    </cfRule>
  </conditionalFormatting>
  <conditionalFormatting sqref="C6">
    <cfRule type="expression" dxfId="245" priority="84">
      <formula>AND($C6-TODAY()&lt;30,TODAY()&lt;$C6)</formula>
    </cfRule>
  </conditionalFormatting>
  <conditionalFormatting sqref="C6">
    <cfRule type="cellIs" dxfId="244" priority="85" stopIfTrue="1" operator="lessThan">
      <formula>$B$2</formula>
    </cfRule>
  </conditionalFormatting>
  <conditionalFormatting sqref="C11 C15:C16">
    <cfRule type="expression" dxfId="243" priority="82">
      <formula>AND($C11-TODAY()&lt;30,TODAY()&lt;$C11)</formula>
    </cfRule>
  </conditionalFormatting>
  <conditionalFormatting sqref="C11 C15:C16">
    <cfRule type="cellIs" dxfId="242" priority="83" stopIfTrue="1" operator="lessThan">
      <formula>$B$2</formula>
    </cfRule>
  </conditionalFormatting>
  <conditionalFormatting sqref="F11">
    <cfRule type="cellIs" dxfId="241" priority="81" stopIfTrue="1" operator="lessThan">
      <formula>$B$2</formula>
    </cfRule>
  </conditionalFormatting>
  <conditionalFormatting sqref="C14">
    <cfRule type="expression" dxfId="240" priority="62">
      <formula>AND($C14-TODAY()&lt;30,TODAY()&lt;$C14)</formula>
    </cfRule>
  </conditionalFormatting>
  <conditionalFormatting sqref="C14">
    <cfRule type="cellIs" dxfId="239" priority="63" stopIfTrue="1" operator="lessThan">
      <formula>$B$2</formula>
    </cfRule>
  </conditionalFormatting>
  <conditionalFormatting sqref="C12">
    <cfRule type="cellIs" dxfId="238" priority="56" stopIfTrue="1" operator="lessThan">
      <formula>$B$2</formula>
    </cfRule>
  </conditionalFormatting>
  <conditionalFormatting sqref="C12">
    <cfRule type="expression" dxfId="237" priority="53">
      <formula>AND($C12-TODAY()&lt;30,TODAY()&lt;$C12)</formula>
    </cfRule>
  </conditionalFormatting>
  <conditionalFormatting sqref="C12">
    <cfRule type="cellIs" dxfId="236" priority="54" stopIfTrue="1" operator="lessThan">
      <formula>$B$2</formula>
    </cfRule>
  </conditionalFormatting>
  <conditionalFormatting sqref="B12">
    <cfRule type="cellIs" dxfId="235" priority="50" stopIfTrue="1" operator="equal">
      <formula>"已过期"</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C9:C10">
    <cfRule type="expression" dxfId="232" priority="35">
      <formula>AND($C9-TODAY()&lt;30,TODAY()&lt;$C9)</formula>
    </cfRule>
  </conditionalFormatting>
  <conditionalFormatting sqref="C9:C10">
    <cfRule type="cellIs" dxfId="231" priority="36" stopIfTrue="1" operator="lessThan">
      <formula>$B$2</formula>
    </cfRule>
  </conditionalFormatting>
  <conditionalFormatting sqref="F22">
    <cfRule type="cellIs" dxfId="230" priority="15" stopIfTrue="1" operator="lessThan">
      <formula>$B$2</formula>
    </cfRule>
  </conditionalFormatting>
  <conditionalFormatting sqref="F22">
    <cfRule type="expression" dxfId="229" priority="16">
      <formula>AND($E22-TODAY()&lt;30,TODAY()&lt;$E22)</formula>
    </cfRule>
  </conditionalFormatting>
  <conditionalFormatting sqref="C7:C8">
    <cfRule type="expression" dxfId="228" priority="7">
      <formula>AND($C7-TODAY()&lt;30,TODAY()&lt;$C7)</formula>
    </cfRule>
  </conditionalFormatting>
  <conditionalFormatting sqref="C7:C8">
    <cfRule type="cellIs" dxfId="227" priority="8" stopIfTrue="1" operator="lessThan">
      <formula>$B$2</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4">
    <cfRule type="expression" dxfId="224" priority="3">
      <formula>AND($C4-TODAY()&lt;30,TODAY()&lt;$C4)</formula>
    </cfRule>
  </conditionalFormatting>
  <conditionalFormatting sqref="C4">
    <cfRule type="cellIs" dxfId="223" priority="4" stopIfTrue="1" operator="lessThan">
      <formula>$B$2</formula>
    </cfRule>
  </conditionalFormatting>
  <conditionalFormatting sqref="F21">
    <cfRule type="cellIs" dxfId="222" priority="1" stopIfTrue="1" operator="lessThan">
      <formula>$B$2</formula>
    </cfRule>
  </conditionalFormatting>
  <conditionalFormatting sqref="F21">
    <cfRule type="expression" dxfId="22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5" sqref="AF35"/>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3161</v>
      </c>
      <c r="C22" s="1448"/>
    </row>
    <row r="23" spans="1:3">
      <c r="A23" s="8" t="s">
        <v>124</v>
      </c>
      <c r="B23" s="8" t="s">
        <v>3304</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26"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14日，在规划利用条件下、设定土地开发程度为红线外“七通”、宗地内场地，设定用途为，剩余土地使用年限为的出让国有建设用地使用权价格。</v>
      </c>
      <c r="D53" s="1640"/>
      <c r="E53" s="1640"/>
    </row>
    <row r="54" spans="1:5">
      <c r="A54" s="3526"/>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26"/>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26"/>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26"/>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169</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不动产比较法-新房</vt:lpstr>
      <vt:lpstr>不动产收益法-车位</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结果表新</vt:lpstr>
      <vt:lpstr>面积清单</vt:lpstr>
      <vt:lpstr>市场情况</vt:lpstr>
      <vt:lpstr>土地案例</vt:lpstr>
      <vt:lpstr>新房案例</vt:lpstr>
      <vt:lpstr>基准地价-结果链接</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'不动产比较法-新房'!Print_Area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'基准地价-结果链接'!Print_Area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'基准地价-结果链接'!季度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'不动产比较法-新房'!住宅朝向</vt:lpstr>
      <vt:lpstr>住宅朝向</vt:lpstr>
      <vt:lpstr>'不动产比较法-新房'!住宅房型</vt:lpstr>
      <vt:lpstr>住宅房型</vt:lpstr>
      <vt:lpstr>'不动产比较法-新房'!住宅公共部分装修</vt:lpstr>
      <vt:lpstr>住宅公共部分装修</vt:lpstr>
      <vt:lpstr>'不动产比较法-新房'!住宅基础设施水平</vt:lpstr>
      <vt:lpstr>住宅基础设施水平</vt:lpstr>
      <vt:lpstr>'不动产比较法-新房'!住宅建筑结构</vt:lpstr>
      <vt:lpstr>住宅建筑结构</vt:lpstr>
      <vt:lpstr>'不动产比较法-新房'!住宅建筑类型</vt:lpstr>
      <vt:lpstr>住宅建筑类型</vt:lpstr>
      <vt:lpstr>'不动产比较法-新房'!住宅建筑品质</vt:lpstr>
      <vt:lpstr>住宅建筑品质</vt:lpstr>
      <vt:lpstr>'不动产比较法-新房'!住宅交易情况</vt:lpstr>
      <vt:lpstr>住宅交易情况</vt:lpstr>
      <vt:lpstr>'不动产比较法-新房'!住宅楼层</vt:lpstr>
      <vt:lpstr>住宅楼层</vt:lpstr>
      <vt:lpstr>'不动产比较法-新房'!住宅内部装修</vt:lpstr>
      <vt:lpstr>住宅内部装修</vt:lpstr>
      <vt:lpstr>'不动产比较法-新房'!住宅物业管理</vt:lpstr>
      <vt:lpstr>住宅物业管理</vt:lpstr>
      <vt:lpstr>'不动产比较法-新房'!住宅用途</vt:lpstr>
      <vt:lpstr>住宅用途</vt:lpstr>
      <vt:lpstr>'不动产比较法-新房'!住宅主力户型面积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2022-07-19T08:37:39Z</dcterms:modified>
</cp:coreProperties>
</file>