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80" windowWidth="11376" windowHeight="10896" tabRatio="875" firstSheet="12"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不动产收益法-酒店模型" sheetId="68" state="hidden" r:id="rId31"/>
    <sheet name="成本逼近法" sheetId="11" state="hidden" r:id="rId32"/>
    <sheet name="不动产收益法-车位"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新房" sheetId="76" r:id="rId42"/>
    <sheet name="结果表新" sheetId="70" r:id="rId43"/>
    <sheet name="面积清单" sheetId="69" r:id="rId44"/>
    <sheet name="市场情况" sheetId="72" r:id="rId45"/>
    <sheet name="土地案例" sheetId="73" r:id="rId46"/>
    <sheet name="新房案例" sheetId="75" r:id="rId47"/>
    <sheet name="基准地价-结果链接" sheetId="74" r:id="rId48"/>
  </sheets>
  <externalReferences>
    <externalReference r:id="rId49"/>
    <externalReference r:id="rId50"/>
    <externalReference r:id="rId51"/>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1" hidden="1">'不动产比较法-新房'!$A$1:$L$49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41">'不动产比较法-新房'!$A$1:$K$54,'不动产比较法-新房'!$A$57:$M$131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'不动产收益法-车位'!$A$1:$F$43,'不动产收益法-车位'!$H$3:$M$29,'不动产收益法-车位'!$A$46:$F$70,'不动产收益法-车位'!$I$46:$M$60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47">'基准地价-结果链接'!$A$1:$J$41,'基准地价-结果链接'!$A$44:$N$87,'基准地价-结果链接'!$R$1:$V$16</definedName>
    <definedName name="_xlnm.Print_Area" localSheetId="16">结果表!$A$1:$I$46,结果表!$K$25:$O$44,结果表!$A$62:$I$115,结果表!$K$64:$P$81</definedName>
    <definedName name="_xlnm.Print_Area" localSheetId="28">'剩余法-待开发'!$A$1:$K$36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7">'基准地价-结果链接'!$N$19:$AB$19</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'不动产比较法-新房'!$B$88:$M$88</definedName>
    <definedName name="住宅朝向">'不动产比较法-住宅'!$B$88:$M$88</definedName>
    <definedName name="住宅房型" localSheetId="41">'不动产比较法-新房'!$B$118:$M$118</definedName>
    <definedName name="住宅房型">'不动产比较法-住宅'!$B$118:$M$118</definedName>
    <definedName name="住宅公共部分装修" localSheetId="41">'不动产比较法-新房'!$B$109:$M$109</definedName>
    <definedName name="住宅公共部分装修">'不动产比较法-住宅'!$B$109:$M$109</definedName>
    <definedName name="住宅基础设施水平" localSheetId="41">'不动产比较法-新房'!$B$116:$M$116</definedName>
    <definedName name="住宅基础设施水平">'不动产比较法-住宅'!$B$116:$M$116</definedName>
    <definedName name="住宅建筑结构" localSheetId="41">'不动产比较法-新房'!$B$105:$M$105</definedName>
    <definedName name="住宅建筑结构">'不动产比较法-住宅'!$B$105:$M$105</definedName>
    <definedName name="住宅建筑类型" localSheetId="41">'不动产比较法-新房'!$B$100:$M$100</definedName>
    <definedName name="住宅建筑类型">'不动产比较法-住宅'!$B$100:$M$100</definedName>
    <definedName name="住宅建筑品质" localSheetId="41">'不动产比较法-新房'!$B$107:$M$107</definedName>
    <definedName name="住宅建筑品质">'不动产比较法-住宅'!$B$107:$M$107</definedName>
    <definedName name="住宅交易情况" localSheetId="41">'不动产比较法-新房'!$A$61:$M$61</definedName>
    <definedName name="住宅交易情况">'不动产比较法-住宅'!$A$61:$M$61</definedName>
    <definedName name="住宅楼层" localSheetId="41">'不动产比较法-新房'!$B$86:$M$86</definedName>
    <definedName name="住宅楼层">'不动产比较法-住宅'!$B$86:$M$86</definedName>
    <definedName name="住宅内部装修" localSheetId="41">'不动产比较法-新房'!$B$122:$M$122</definedName>
    <definedName name="住宅内部装修">'不动产比较法-住宅'!$B$122:$M$122</definedName>
    <definedName name="住宅物业管理" localSheetId="41">'不动产比较法-新房'!$B$114:$M$114</definedName>
    <definedName name="住宅物业管理">'不动产比较法-住宅'!$B$114:$M$114</definedName>
    <definedName name="住宅用途" localSheetId="41">'不动产比较法-新房'!$B$63:$M$63</definedName>
    <definedName name="住宅用途">'不动产比较法-住宅'!$B$63:$M$63</definedName>
    <definedName name="住宅主力户型面积" localSheetId="41">'不动产比较法-新房'!$B$120:$M$120</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8" i="12" l="1"/>
  <c r="L14" i="1"/>
  <c r="I5" i="76" l="1"/>
  <c r="G5" i="76"/>
  <c r="E5" i="76"/>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K48" i="76"/>
  <c r="V47" i="76"/>
  <c r="T47" i="76"/>
  <c r="R47" i="76"/>
  <c r="P47" i="76"/>
  <c r="Q46" i="76"/>
  <c r="Z46" i="76" s="1"/>
  <c r="J46" i="76"/>
  <c r="AC46" i="76" s="1"/>
  <c r="H46" i="76"/>
  <c r="AB46" i="76" s="1"/>
  <c r="F46" i="76"/>
  <c r="AA46" i="76" s="1"/>
  <c r="Q45" i="76"/>
  <c r="Z45" i="76" s="1"/>
  <c r="J45" i="76"/>
  <c r="AC45" i="76" s="1"/>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C33" i="76"/>
  <c r="H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Q23" i="76"/>
  <c r="Z23" i="76" s="1"/>
  <c r="J23" i="76"/>
  <c r="AC23" i="76" s="1"/>
  <c r="H23" i="76"/>
  <c r="AB23" i="76" s="1"/>
  <c r="F23" i="76"/>
  <c r="AA23" i="76" s="1"/>
  <c r="C23" i="76"/>
  <c r="Q21" i="76"/>
  <c r="Z21" i="76" s="1"/>
  <c r="J21" i="76"/>
  <c r="AC21" i="76" s="1"/>
  <c r="H21" i="76"/>
  <c r="AB21" i="76" s="1"/>
  <c r="F21" i="76"/>
  <c r="AA21" i="76" s="1"/>
  <c r="C21" i="76"/>
  <c r="Z19" i="76"/>
  <c r="Q19" i="76"/>
  <c r="J19" i="76"/>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I7" i="76"/>
  <c r="J7" i="76" s="1"/>
  <c r="G7" i="76"/>
  <c r="H7" i="76" s="1"/>
  <c r="E7" i="76"/>
  <c r="F7" i="76" s="1"/>
  <c r="C7" i="76"/>
  <c r="C58" i="76" s="1"/>
  <c r="D58" i="76" s="1"/>
  <c r="E58" i="76" s="1"/>
  <c r="F58" i="76" s="1"/>
  <c r="G58" i="76" s="1"/>
  <c r="H58" i="76" s="1"/>
  <c r="I58" i="76" s="1"/>
  <c r="J58" i="76" s="1"/>
  <c r="K58" i="76" s="1"/>
  <c r="L58" i="76" s="1"/>
  <c r="M58" i="76" s="1"/>
  <c r="N58" i="76" s="1"/>
  <c r="O58" i="76" s="1"/>
  <c r="D3" i="76"/>
  <c r="E24" i="70"/>
  <c r="I37" i="21"/>
  <c r="G37" i="21"/>
  <c r="E37" i="21"/>
  <c r="C33" i="21"/>
  <c r="I7" i="21"/>
  <c r="G7" i="21"/>
  <c r="E7" i="21"/>
  <c r="D35" i="70"/>
  <c r="U7" i="76" l="1"/>
  <c r="AB7" i="76"/>
  <c r="T48" i="76" s="1"/>
  <c r="G48" i="76" s="1"/>
  <c r="AA7" i="76"/>
  <c r="S7" i="76"/>
  <c r="AC7" i="76"/>
  <c r="W7" i="76"/>
  <c r="AA8" i="76"/>
  <c r="AC8" i="76"/>
  <c r="U9" i="76"/>
  <c r="S10" i="76"/>
  <c r="W10" i="76"/>
  <c r="U11" i="76"/>
  <c r="S12" i="76"/>
  <c r="W12" i="76"/>
  <c r="U13" i="76"/>
  <c r="S14" i="76"/>
  <c r="W14" i="76"/>
  <c r="S15" i="76"/>
  <c r="W15" i="76"/>
  <c r="S17" i="76"/>
  <c r="W17" i="76"/>
  <c r="AC19" i="76"/>
  <c r="W19" i="76"/>
  <c r="S19" i="76"/>
  <c r="AA25" i="76"/>
  <c r="S25" i="76"/>
  <c r="AB33" i="76"/>
  <c r="U33" i="76"/>
  <c r="S9" i="76"/>
  <c r="W9" i="76"/>
  <c r="U10" i="76"/>
  <c r="S11" i="76"/>
  <c r="W11" i="76"/>
  <c r="U12" i="76"/>
  <c r="S13" i="76"/>
  <c r="W13" i="76"/>
  <c r="U14" i="76"/>
  <c r="U15" i="76"/>
  <c r="U17" i="76"/>
  <c r="U19" i="76"/>
  <c r="U21" i="76"/>
  <c r="U23" i="76"/>
  <c r="S21" i="76"/>
  <c r="W21" i="76"/>
  <c r="S23" i="76"/>
  <c r="W23" i="76"/>
  <c r="U25" i="76"/>
  <c r="S26" i="76"/>
  <c r="W26" i="76"/>
  <c r="U27" i="76"/>
  <c r="S28" i="76"/>
  <c r="W28" i="76"/>
  <c r="U29" i="76"/>
  <c r="S30" i="76"/>
  <c r="W30" i="76"/>
  <c r="U31" i="76"/>
  <c r="S32" i="76"/>
  <c r="W32" i="76"/>
  <c r="F33" i="76"/>
  <c r="J33" i="76"/>
  <c r="U34" i="76"/>
  <c r="S35" i="76"/>
  <c r="W35" i="76"/>
  <c r="U36" i="76"/>
  <c r="U37" i="76"/>
  <c r="S38" i="76"/>
  <c r="W38" i="76"/>
  <c r="U39" i="76"/>
  <c r="S40" i="76"/>
  <c r="W40" i="76"/>
  <c r="U41" i="76"/>
  <c r="S42" i="76"/>
  <c r="W42" i="76"/>
  <c r="U43" i="76"/>
  <c r="S44" i="76"/>
  <c r="W44" i="76"/>
  <c r="AB45" i="76"/>
  <c r="U45" i="76"/>
  <c r="W25" i="76"/>
  <c r="U26" i="76"/>
  <c r="S27" i="76"/>
  <c r="W27" i="76"/>
  <c r="U28" i="76"/>
  <c r="S29" i="76"/>
  <c r="W29" i="76"/>
  <c r="U30" i="76"/>
  <c r="S31" i="76"/>
  <c r="W31" i="76"/>
  <c r="U32" i="76"/>
  <c r="S34" i="76"/>
  <c r="W34" i="76"/>
  <c r="U35" i="76"/>
  <c r="S36" i="76"/>
  <c r="W36" i="76"/>
  <c r="S37" i="76"/>
  <c r="W37" i="76"/>
  <c r="U38" i="76"/>
  <c r="S39" i="76"/>
  <c r="W39" i="76"/>
  <c r="U40" i="76"/>
  <c r="S41" i="76"/>
  <c r="W41" i="76"/>
  <c r="U42" i="76"/>
  <c r="S43" i="76"/>
  <c r="W43" i="76"/>
  <c r="U44" i="76"/>
  <c r="AA45" i="76"/>
  <c r="S45" i="76"/>
  <c r="W45" i="76"/>
  <c r="U46" i="76"/>
  <c r="K141" i="76"/>
  <c r="K143" i="76"/>
  <c r="S46" i="76"/>
  <c r="W46" i="76"/>
  <c r="K144" i="76"/>
  <c r="C37" i="9"/>
  <c r="B37" i="9"/>
  <c r="E37" i="9" s="1"/>
  <c r="G35" i="9" s="1"/>
  <c r="B4" i="74"/>
  <c r="C21" i="70"/>
  <c r="F113" i="74"/>
  <c r="N101" i="74"/>
  <c r="N106" i="74" s="1"/>
  <c r="F101" i="74"/>
  <c r="F106" i="74" s="1"/>
  <c r="N99" i="74"/>
  <c r="N108" i="74" s="1"/>
  <c r="N109" i="74" s="1"/>
  <c r="M99" i="74"/>
  <c r="L99" i="74"/>
  <c r="K99" i="74"/>
  <c r="J99" i="74"/>
  <c r="J108" i="74" s="1"/>
  <c r="I99" i="74"/>
  <c r="H99" i="74"/>
  <c r="G99" i="74"/>
  <c r="F99" i="74"/>
  <c r="F108" i="74" s="1"/>
  <c r="F109" i="74" s="1"/>
  <c r="E99" i="74"/>
  <c r="D99" i="74"/>
  <c r="C99" i="74"/>
  <c r="N87" i="74"/>
  <c r="M87" i="74"/>
  <c r="K87" i="74"/>
  <c r="J87" i="74" s="1"/>
  <c r="H87" i="74"/>
  <c r="D87" i="74"/>
  <c r="B87" i="74"/>
  <c r="M86" i="74"/>
  <c r="N86" i="74" s="1"/>
  <c r="K86" i="74"/>
  <c r="J86" i="74"/>
  <c r="D86" i="74"/>
  <c r="M85" i="74"/>
  <c r="N85" i="74" s="1"/>
  <c r="K85" i="74"/>
  <c r="J85" i="74"/>
  <c r="D85" i="74"/>
  <c r="B85" i="74"/>
  <c r="N84" i="74"/>
  <c r="M84" i="74"/>
  <c r="K84" i="74"/>
  <c r="J84" i="74" s="1"/>
  <c r="H84" i="74"/>
  <c r="D84" i="74"/>
  <c r="B84" i="74"/>
  <c r="M83" i="74"/>
  <c r="N83" i="74" s="1"/>
  <c r="K83" i="74"/>
  <c r="J83" i="74"/>
  <c r="D83" i="74"/>
  <c r="B83" i="74"/>
  <c r="N82" i="74"/>
  <c r="M82" i="74"/>
  <c r="K82" i="74"/>
  <c r="J82" i="74" s="1"/>
  <c r="H82" i="74"/>
  <c r="D82" i="74"/>
  <c r="B82" i="74"/>
  <c r="M81" i="74"/>
  <c r="N81" i="74" s="1"/>
  <c r="K81" i="74"/>
  <c r="J81" i="74"/>
  <c r="D81" i="74"/>
  <c r="B81" i="74"/>
  <c r="N80" i="74"/>
  <c r="M80" i="74"/>
  <c r="K80" i="74"/>
  <c r="J80" i="74" s="1"/>
  <c r="H80" i="74"/>
  <c r="F80" i="74"/>
  <c r="H86" i="74" s="1"/>
  <c r="E80" i="74"/>
  <c r="B78" i="74" s="1"/>
  <c r="D80" i="74"/>
  <c r="B80" i="74"/>
  <c r="N77" i="74"/>
  <c r="M77" i="74"/>
  <c r="K77" i="74"/>
  <c r="J77" i="74" s="1"/>
  <c r="H77" i="74"/>
  <c r="D77" i="74"/>
  <c r="N76" i="74"/>
  <c r="M76" i="74"/>
  <c r="K76" i="74"/>
  <c r="J76" i="74" s="1"/>
  <c r="H76" i="74"/>
  <c r="D76" i="74"/>
  <c r="B76" i="74"/>
  <c r="M75" i="74"/>
  <c r="N75" i="74" s="1"/>
  <c r="K75" i="74"/>
  <c r="J75" i="74"/>
  <c r="D75" i="74"/>
  <c r="M74" i="74"/>
  <c r="N74" i="74" s="1"/>
  <c r="K74" i="74"/>
  <c r="J74" i="74"/>
  <c r="D74" i="74"/>
  <c r="B74" i="74"/>
  <c r="N73" i="74"/>
  <c r="M73" i="74"/>
  <c r="K73" i="74"/>
  <c r="J73" i="74" s="1"/>
  <c r="H73" i="74"/>
  <c r="D73" i="74"/>
  <c r="B73" i="74"/>
  <c r="M72" i="74"/>
  <c r="N72" i="74" s="1"/>
  <c r="K72" i="74"/>
  <c r="J72" i="74"/>
  <c r="D72" i="74"/>
  <c r="B72" i="74"/>
  <c r="N71" i="74"/>
  <c r="M71" i="74"/>
  <c r="K71" i="74"/>
  <c r="J71" i="74" s="1"/>
  <c r="H71" i="74"/>
  <c r="D71" i="74"/>
  <c r="B71" i="74"/>
  <c r="M70" i="74"/>
  <c r="N70" i="74" s="1"/>
  <c r="K70" i="74"/>
  <c r="J70" i="74"/>
  <c r="D70" i="74"/>
  <c r="B70" i="74"/>
  <c r="N69" i="74"/>
  <c r="M69" i="74"/>
  <c r="K69" i="74"/>
  <c r="J69" i="74" s="1"/>
  <c r="H69" i="74"/>
  <c r="F69" i="74"/>
  <c r="H75" i="74" s="1"/>
  <c r="E69" i="74"/>
  <c r="B67" i="74" s="1"/>
  <c r="D69" i="74"/>
  <c r="B69" i="74"/>
  <c r="N66" i="74"/>
  <c r="M66" i="74"/>
  <c r="K66" i="74"/>
  <c r="J66" i="74" s="1"/>
  <c r="H66" i="74"/>
  <c r="D66" i="74"/>
  <c r="B66" i="74"/>
  <c r="M65" i="74"/>
  <c r="N65" i="74" s="1"/>
  <c r="K65" i="74"/>
  <c r="J65" i="74"/>
  <c r="D65" i="74"/>
  <c r="B65" i="74"/>
  <c r="N64" i="74"/>
  <c r="M64" i="74"/>
  <c r="K64" i="74"/>
  <c r="J64" i="74" s="1"/>
  <c r="H64" i="74"/>
  <c r="D64" i="74"/>
  <c r="B64" i="74"/>
  <c r="M63" i="74"/>
  <c r="N63" i="74" s="1"/>
  <c r="K63" i="74"/>
  <c r="J63" i="74"/>
  <c r="D63" i="74"/>
  <c r="M62" i="74"/>
  <c r="N62" i="74" s="1"/>
  <c r="K62" i="74"/>
  <c r="J62" i="74"/>
  <c r="D62" i="74"/>
  <c r="B62" i="74"/>
  <c r="N61" i="74"/>
  <c r="M61" i="74"/>
  <c r="K61" i="74"/>
  <c r="J61" i="74" s="1"/>
  <c r="H61" i="74"/>
  <c r="D61" i="74"/>
  <c r="N60" i="74"/>
  <c r="M60" i="74"/>
  <c r="K60" i="74"/>
  <c r="J60" i="74" s="1"/>
  <c r="H60" i="74"/>
  <c r="D60" i="74"/>
  <c r="B60" i="74"/>
  <c r="M59" i="74"/>
  <c r="N59" i="74" s="1"/>
  <c r="K59" i="74"/>
  <c r="J59" i="74"/>
  <c r="D59" i="74"/>
  <c r="B59" i="74"/>
  <c r="N58" i="74"/>
  <c r="M58" i="74"/>
  <c r="K58" i="74"/>
  <c r="J58" i="74" s="1"/>
  <c r="H58" i="74"/>
  <c r="F58" i="74"/>
  <c r="H65" i="74" s="1"/>
  <c r="E58" i="74"/>
  <c r="B56" i="74" s="1"/>
  <c r="D58" i="74"/>
  <c r="B58" i="74"/>
  <c r="N55" i="74"/>
  <c r="M55" i="74"/>
  <c r="K55" i="74"/>
  <c r="J55" i="74" s="1"/>
  <c r="D55" i="74"/>
  <c r="B55" i="74"/>
  <c r="M54" i="74"/>
  <c r="N54" i="74" s="1"/>
  <c r="K54" i="74"/>
  <c r="J54" i="74"/>
  <c r="D54" i="74"/>
  <c r="B54" i="74"/>
  <c r="N53" i="74"/>
  <c r="M53" i="74"/>
  <c r="K53" i="74"/>
  <c r="J53" i="74" s="1"/>
  <c r="D53" i="74"/>
  <c r="B53" i="74"/>
  <c r="M52" i="74"/>
  <c r="N52" i="74" s="1"/>
  <c r="K52" i="74"/>
  <c r="J52" i="74"/>
  <c r="D52" i="74"/>
  <c r="M51" i="74"/>
  <c r="N51" i="74" s="1"/>
  <c r="K51" i="74"/>
  <c r="J51" i="74"/>
  <c r="D51" i="74"/>
  <c r="B51" i="74"/>
  <c r="N50" i="74"/>
  <c r="M50" i="74"/>
  <c r="K50" i="74"/>
  <c r="J50" i="74" s="1"/>
  <c r="D50" i="74"/>
  <c r="N49" i="74"/>
  <c r="M49" i="74"/>
  <c r="K49" i="74"/>
  <c r="J49" i="74" s="1"/>
  <c r="D49" i="74"/>
  <c r="B49" i="74"/>
  <c r="M48" i="74"/>
  <c r="N48" i="74" s="1"/>
  <c r="K48" i="74"/>
  <c r="J48" i="74"/>
  <c r="D48" i="74"/>
  <c r="B48" i="74"/>
  <c r="M47" i="74"/>
  <c r="N47" i="74" s="1"/>
  <c r="K47" i="74"/>
  <c r="J47" i="74"/>
  <c r="F47" i="74"/>
  <c r="D47" i="74"/>
  <c r="E47" i="74" s="1"/>
  <c r="B45" i="74" s="1"/>
  <c r="B47" i="74"/>
  <c r="H39" i="74"/>
  <c r="F39" i="74"/>
  <c r="H38" i="74"/>
  <c r="F38" i="74"/>
  <c r="H37" i="74"/>
  <c r="F37" i="74"/>
  <c r="H36" i="74"/>
  <c r="F36" i="74"/>
  <c r="H35" i="74"/>
  <c r="F35" i="74"/>
  <c r="H34" i="74"/>
  <c r="F34" i="74"/>
  <c r="H33" i="74"/>
  <c r="F33" i="74"/>
  <c r="O28" i="74"/>
  <c r="M28" i="74"/>
  <c r="C24" i="74"/>
  <c r="H22" i="74"/>
  <c r="F22" i="74"/>
  <c r="J20" i="74"/>
  <c r="I20" i="74"/>
  <c r="G20" i="74"/>
  <c r="E41" i="74" s="1"/>
  <c r="C41" i="74" s="1"/>
  <c r="E20" i="74"/>
  <c r="P28" i="74" s="1"/>
  <c r="C20" i="74"/>
  <c r="M19" i="74"/>
  <c r="I19" i="74"/>
  <c r="G19" i="74"/>
  <c r="P25" i="74" s="1"/>
  <c r="C18" i="74"/>
  <c r="N17" i="74"/>
  <c r="L17" i="74"/>
  <c r="J17" i="74"/>
  <c r="H17" i="74"/>
  <c r="E17" i="74"/>
  <c r="C17" i="74"/>
  <c r="F15" i="74"/>
  <c r="E15" i="74"/>
  <c r="D15" i="74"/>
  <c r="C15" i="74"/>
  <c r="AJ12" i="74"/>
  <c r="AH12" i="74"/>
  <c r="AF12" i="74"/>
  <c r="AD12" i="74"/>
  <c r="AB12" i="74"/>
  <c r="Z12" i="74"/>
  <c r="Y12" i="74"/>
  <c r="Y13" i="74" s="1"/>
  <c r="C12" i="74"/>
  <c r="AI11" i="74"/>
  <c r="AG11" i="74"/>
  <c r="AE11" i="74"/>
  <c r="AC11" i="74"/>
  <c r="AA11" i="74"/>
  <c r="Y11" i="74"/>
  <c r="Y10" i="74"/>
  <c r="C10" i="74"/>
  <c r="C11" i="74" s="1"/>
  <c r="AJ9" i="74"/>
  <c r="AJ10" i="74" s="1"/>
  <c r="AI9" i="74"/>
  <c r="AI12" i="74" s="1"/>
  <c r="AI13" i="74" s="1"/>
  <c r="AH9" i="74"/>
  <c r="AH10" i="74" s="1"/>
  <c r="AG9" i="74"/>
  <c r="AG12" i="74" s="1"/>
  <c r="AG13" i="74" s="1"/>
  <c r="AF9" i="74"/>
  <c r="AF10" i="74" s="1"/>
  <c r="AE9" i="74"/>
  <c r="AE12" i="74" s="1"/>
  <c r="AE13" i="74" s="1"/>
  <c r="AD9" i="74"/>
  <c r="AD10" i="74" s="1"/>
  <c r="AC9" i="74"/>
  <c r="AC12" i="74" s="1"/>
  <c r="AC13" i="74" s="1"/>
  <c r="AB9" i="74"/>
  <c r="AB10" i="74" s="1"/>
  <c r="AA9" i="74"/>
  <c r="AA12" i="74" s="1"/>
  <c r="AA13" i="74" s="1"/>
  <c r="Z9" i="74"/>
  <c r="Z10" i="74" s="1"/>
  <c r="C9" i="74"/>
  <c r="X7" i="74"/>
  <c r="A7" i="74"/>
  <c r="S6" i="74"/>
  <c r="M6" i="74"/>
  <c r="S5" i="74"/>
  <c r="N4" i="74"/>
  <c r="S3" i="74"/>
  <c r="M3" i="74"/>
  <c r="G3" i="74"/>
  <c r="N2" i="74"/>
  <c r="I2" i="74"/>
  <c r="G2" i="74"/>
  <c r="H113" i="74" s="1"/>
  <c r="M1" i="74"/>
  <c r="D1" i="74"/>
  <c r="G52" i="76" l="1"/>
  <c r="H52" i="76" s="1"/>
  <c r="AC33" i="76"/>
  <c r="V48" i="76" s="1"/>
  <c r="I48" i="76" s="1"/>
  <c r="W33" i="76"/>
  <c r="AA33" i="76"/>
  <c r="R48" i="76" s="1"/>
  <c r="S33" i="76"/>
  <c r="E11" i="74"/>
  <c r="E10" i="74"/>
  <c r="E9" i="74"/>
  <c r="E8" i="74"/>
  <c r="C7" i="74" s="1"/>
  <c r="AA10" i="74"/>
  <c r="AE10" i="74"/>
  <c r="AI10" i="74"/>
  <c r="Z13" i="74"/>
  <c r="AH13" i="74"/>
  <c r="M12" i="74"/>
  <c r="N11" i="74"/>
  <c r="N10" i="74"/>
  <c r="M9" i="74"/>
  <c r="M8" i="74"/>
  <c r="M7" i="74"/>
  <c r="N6" i="74"/>
  <c r="N5" i="74"/>
  <c r="M4" i="74"/>
  <c r="N3" i="74"/>
  <c r="M2" i="74"/>
  <c r="N1" i="74"/>
  <c r="N12" i="74"/>
  <c r="M11" i="74"/>
  <c r="M5" i="74"/>
  <c r="N7" i="74"/>
  <c r="N8" i="74"/>
  <c r="N9" i="74"/>
  <c r="M10" i="74"/>
  <c r="AC10" i="74"/>
  <c r="AG10" i="74"/>
  <c r="P22" i="74"/>
  <c r="P23" i="74"/>
  <c r="P24" i="74"/>
  <c r="H54" i="74"/>
  <c r="H52" i="74"/>
  <c r="H51" i="74"/>
  <c r="H48" i="74"/>
  <c r="H50" i="74"/>
  <c r="H55" i="74"/>
  <c r="D108" i="74"/>
  <c r="D100" i="74"/>
  <c r="H108" i="74"/>
  <c r="H109" i="74" s="1"/>
  <c r="H100" i="74"/>
  <c r="L108" i="74"/>
  <c r="L100" i="74"/>
  <c r="J100" i="74"/>
  <c r="F103" i="74"/>
  <c r="N103" i="74"/>
  <c r="F105" i="74"/>
  <c r="N105" i="74"/>
  <c r="F107" i="74"/>
  <c r="N107" i="74"/>
  <c r="S2" i="74"/>
  <c r="B113" i="74"/>
  <c r="M101" i="74"/>
  <c r="K101" i="74"/>
  <c r="I101" i="74"/>
  <c r="G101" i="74"/>
  <c r="E101" i="74"/>
  <c r="C101" i="74"/>
  <c r="L101" i="74"/>
  <c r="H101" i="74"/>
  <c r="D101" i="74"/>
  <c r="S4" i="74"/>
  <c r="C6" i="74"/>
  <c r="S7" i="74"/>
  <c r="Z7" i="74"/>
  <c r="Z11" i="74"/>
  <c r="AB11" i="74"/>
  <c r="AB13" i="74" s="1"/>
  <c r="AD11" i="74"/>
  <c r="AD13" i="74" s="1"/>
  <c r="AF11" i="74"/>
  <c r="AF13" i="74" s="1"/>
  <c r="AH11" i="74"/>
  <c r="AJ11" i="74"/>
  <c r="AJ13" i="74" s="1"/>
  <c r="D17" i="74"/>
  <c r="I17" i="74"/>
  <c r="K17" i="74"/>
  <c r="M17" i="74"/>
  <c r="O17" i="74"/>
  <c r="C19" i="74"/>
  <c r="O19" i="74"/>
  <c r="M20" i="74"/>
  <c r="P21" i="74"/>
  <c r="E22" i="74"/>
  <c r="D22" i="74" s="1"/>
  <c r="C21" i="74" s="1"/>
  <c r="G22" i="74"/>
  <c r="J22" i="74"/>
  <c r="C23" i="74"/>
  <c r="N28" i="74"/>
  <c r="H47" i="74"/>
  <c r="H49" i="74"/>
  <c r="H53" i="74"/>
  <c r="F100" i="74"/>
  <c r="N100" i="74"/>
  <c r="J101" i="74"/>
  <c r="F102" i="74"/>
  <c r="N102" i="74"/>
  <c r="F104" i="74"/>
  <c r="N104" i="74"/>
  <c r="H59" i="74"/>
  <c r="H62" i="74"/>
  <c r="H63" i="74"/>
  <c r="H70" i="74"/>
  <c r="H72" i="74"/>
  <c r="H74" i="74"/>
  <c r="H81" i="74"/>
  <c r="H83" i="74"/>
  <c r="H85" i="74"/>
  <c r="C108" i="74"/>
  <c r="C109" i="74" s="1"/>
  <c r="C100" i="74"/>
  <c r="E108" i="74"/>
  <c r="E109" i="74" s="1"/>
  <c r="E100" i="74"/>
  <c r="G108" i="74"/>
  <c r="G109" i="74" s="1"/>
  <c r="G100" i="74"/>
  <c r="I108" i="74"/>
  <c r="I109" i="74" s="1"/>
  <c r="I100" i="74"/>
  <c r="K108" i="74"/>
  <c r="K109" i="74" s="1"/>
  <c r="K100" i="74"/>
  <c r="M108" i="74"/>
  <c r="M109" i="74" s="1"/>
  <c r="M100" i="74"/>
  <c r="G17" i="74" l="1"/>
  <c r="C16" i="74" s="1"/>
  <c r="R49" i="76"/>
  <c r="E48" i="76"/>
  <c r="I53" i="76"/>
  <c r="J53" i="76" s="1"/>
  <c r="I52" i="76"/>
  <c r="J52" i="76" s="1"/>
  <c r="G53" i="76"/>
  <c r="H53" i="76" s="1"/>
  <c r="J107" i="74"/>
  <c r="J105" i="74"/>
  <c r="J103" i="74"/>
  <c r="J106" i="74"/>
  <c r="J104" i="74"/>
  <c r="J102" i="74"/>
  <c r="D5" i="74"/>
  <c r="C5" i="74"/>
  <c r="D107" i="74"/>
  <c r="D106" i="74"/>
  <c r="D105" i="74"/>
  <c r="D104" i="74"/>
  <c r="D103" i="74"/>
  <c r="D102" i="74"/>
  <c r="L107" i="74"/>
  <c r="L106" i="74"/>
  <c r="L105" i="74"/>
  <c r="L104" i="74"/>
  <c r="L103" i="74"/>
  <c r="L102" i="74"/>
  <c r="E107" i="74"/>
  <c r="E106" i="74"/>
  <c r="E105" i="74"/>
  <c r="E104" i="74"/>
  <c r="E103" i="74"/>
  <c r="E102" i="74"/>
  <c r="I107" i="74"/>
  <c r="I106" i="74"/>
  <c r="I105" i="74"/>
  <c r="I104" i="74"/>
  <c r="I103" i="74"/>
  <c r="I102" i="74"/>
  <c r="M107" i="74"/>
  <c r="M106" i="74"/>
  <c r="M105" i="74"/>
  <c r="M104" i="74"/>
  <c r="M103" i="74"/>
  <c r="M102" i="74"/>
  <c r="L109" i="74"/>
  <c r="D109" i="74"/>
  <c r="J109" i="74"/>
  <c r="H107" i="74"/>
  <c r="H106" i="74"/>
  <c r="H105" i="74"/>
  <c r="H104" i="74"/>
  <c r="H103" i="74"/>
  <c r="H102" i="74"/>
  <c r="C107" i="74"/>
  <c r="C106" i="74"/>
  <c r="C105" i="74"/>
  <c r="C104" i="74"/>
  <c r="C103" i="74"/>
  <c r="C102" i="74"/>
  <c r="G107" i="74"/>
  <c r="G106" i="74"/>
  <c r="G105" i="74"/>
  <c r="G104" i="74"/>
  <c r="G103" i="74"/>
  <c r="G102" i="74"/>
  <c r="K107" i="74"/>
  <c r="K106" i="74"/>
  <c r="K105" i="74"/>
  <c r="K104" i="74"/>
  <c r="K103" i="74"/>
  <c r="K102"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D118" i="74"/>
  <c r="E118" i="74" s="1"/>
  <c r="F118" i="74" s="1"/>
  <c r="B118" i="74"/>
  <c r="C118" i="74" s="1"/>
  <c r="D117" i="74"/>
  <c r="E117" i="74" s="1"/>
  <c r="F117" i="74" s="1"/>
  <c r="G117" i="74" s="1"/>
  <c r="H117" i="74" s="1"/>
  <c r="B117" i="74"/>
  <c r="C117" i="74" s="1"/>
  <c r="D116" i="74"/>
  <c r="E116" i="74" s="1"/>
  <c r="F116" i="74" s="1"/>
  <c r="G116" i="74" s="1"/>
  <c r="H116" i="74" s="1"/>
  <c r="B116" i="74"/>
  <c r="C116" i="74" s="1"/>
  <c r="D115" i="74"/>
  <c r="E115" i="74" s="1"/>
  <c r="F115" i="74" s="1"/>
  <c r="G115" i="74" s="1"/>
  <c r="H115" i="74" s="1"/>
  <c r="B115" i="74"/>
  <c r="E48" i="39"/>
  <c r="C24" i="70"/>
  <c r="D24" i="70"/>
  <c r="D20" i="70"/>
  <c r="C18" i="70"/>
  <c r="B2" i="74" s="1"/>
  <c r="C49" i="76" l="1"/>
  <c r="C48" i="76"/>
  <c r="E53" i="76"/>
  <c r="F53" i="76" s="1"/>
  <c r="E52" i="76"/>
  <c r="F52" i="76" s="1"/>
  <c r="C115" i="74"/>
  <c r="D113" i="74"/>
  <c r="T15" i="74"/>
  <c r="V15" i="74" s="1"/>
  <c r="T14" i="74"/>
  <c r="V14" i="74" s="1"/>
  <c r="T13" i="74"/>
  <c r="V13" i="74" s="1"/>
  <c r="T12" i="74"/>
  <c r="V12" i="74" s="1"/>
  <c r="T9" i="74"/>
  <c r="V9" i="74" s="1"/>
  <c r="T8" i="74"/>
  <c r="V8" i="74" s="1"/>
  <c r="T6" i="74"/>
  <c r="V6" i="74" s="1"/>
  <c r="T5" i="74"/>
  <c r="V5" i="74" s="1"/>
  <c r="T3" i="74"/>
  <c r="V3" i="74" s="1"/>
  <c r="C29" i="74"/>
  <c r="T16" i="74"/>
  <c r="V16" i="74" s="1"/>
  <c r="T11" i="74"/>
  <c r="V11" i="74" s="1"/>
  <c r="T4" i="74"/>
  <c r="V4" i="74" s="1"/>
  <c r="T2" i="74"/>
  <c r="V2" i="74" s="1"/>
  <c r="T10" i="74"/>
  <c r="V10" i="74" s="1"/>
  <c r="T7" i="74"/>
  <c r="V7" i="74" s="1"/>
  <c r="C39" i="74"/>
  <c r="C38" i="74"/>
  <c r="C37" i="74"/>
  <c r="C36" i="74"/>
  <c r="C35" i="74"/>
  <c r="C34" i="74"/>
  <c r="C33" i="74"/>
  <c r="I48" i="39"/>
  <c r="G48" i="39"/>
  <c r="I40" i="39"/>
  <c r="G40" i="39"/>
  <c r="E40" i="39"/>
  <c r="C40" i="39"/>
  <c r="I9" i="39"/>
  <c r="G9" i="39"/>
  <c r="E9" i="39"/>
  <c r="I7" i="39"/>
  <c r="G7" i="39"/>
  <c r="E7" i="39"/>
  <c r="B3" i="76" l="1"/>
  <c r="B2" i="76" s="1"/>
  <c r="C10" i="12" s="1"/>
  <c r="M48" i="76"/>
  <c r="G34" i="74"/>
  <c r="I34" i="74" s="1"/>
  <c r="E34" i="74"/>
  <c r="G36" i="74"/>
  <c r="I36" i="74" s="1"/>
  <c r="E36" i="74"/>
  <c r="G38" i="74"/>
  <c r="I38" i="74" s="1"/>
  <c r="E38" i="74"/>
  <c r="E29" i="74"/>
  <c r="C30" i="74"/>
  <c r="E30" i="74" s="1"/>
  <c r="G33" i="74"/>
  <c r="I33" i="74" s="1"/>
  <c r="E33" i="74"/>
  <c r="G35" i="74"/>
  <c r="I35" i="74" s="1"/>
  <c r="E35" i="74"/>
  <c r="G37" i="74"/>
  <c r="I37" i="74" s="1"/>
  <c r="E37" i="74"/>
  <c r="G39" i="74"/>
  <c r="I39" i="74" s="1"/>
  <c r="E39" i="74"/>
  <c r="AH7" i="1"/>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G1" i="71"/>
  <c r="G20" i="6"/>
  <c r="F19" i="6"/>
  <c r="AN13" i="3"/>
  <c r="AD13" i="3"/>
  <c r="K13" i="3"/>
  <c r="I13" i="3"/>
  <c r="A3" i="3"/>
  <c r="C8" i="70"/>
  <c r="C9" i="70" s="1"/>
  <c r="C19" i="70" s="1"/>
  <c r="B3" i="74" s="1"/>
  <c r="D10" i="70"/>
  <c r="E25" i="69"/>
  <c r="F25" i="69"/>
  <c r="F22" i="69"/>
  <c r="F23" i="69"/>
  <c r="F24" i="69"/>
  <c r="F21" i="69"/>
  <c r="J11" i="69"/>
  <c r="I11" i="69"/>
  <c r="F12" i="69"/>
  <c r="C27" i="74" l="1"/>
  <c r="C26" i="74"/>
  <c r="D23" i="71"/>
  <c r="D22" i="71"/>
  <c r="D24" i="71"/>
  <c r="L46" i="71"/>
  <c r="P75" i="71"/>
  <c r="P62" i="71"/>
  <c r="M28" i="71"/>
  <c r="F40" i="71"/>
  <c r="M21" i="71"/>
  <c r="L48" i="71"/>
  <c r="L47" i="71"/>
  <c r="F26" i="71"/>
  <c r="F6" i="71"/>
  <c r="F38" i="71"/>
  <c r="J36" i="71"/>
  <c r="F43" i="71"/>
  <c r="M8" i="71"/>
  <c r="M22" i="71"/>
  <c r="F35" i="71"/>
  <c r="M23" i="71"/>
  <c r="M6" i="71"/>
  <c r="M27" i="71"/>
  <c r="M9" i="71"/>
  <c r="J15" i="71"/>
  <c r="F37" i="71"/>
  <c r="F16" i="71"/>
  <c r="M29" i="71"/>
  <c r="F13" i="71"/>
  <c r="F7" i="71"/>
  <c r="M26" i="71"/>
  <c r="F9" i="71"/>
  <c r="F36" i="71"/>
  <c r="F8" i="71"/>
  <c r="F42" i="71"/>
  <c r="M24" i="71"/>
  <c r="D4" i="74" l="1"/>
  <c r="I54" i="71"/>
  <c r="F67" i="71"/>
  <c r="Q72" i="71"/>
  <c r="C6" i="71"/>
  <c r="L56" i="71"/>
  <c r="J60" i="71"/>
  <c r="Q49" i="71" s="1"/>
  <c r="J53" i="71"/>
  <c r="L60" i="71"/>
  <c r="J57" i="71"/>
  <c r="J55" i="71" s="1"/>
  <c r="J58" i="71" s="1"/>
  <c r="Q51" i="71" s="1"/>
  <c r="J59" i="71"/>
  <c r="F49" i="71"/>
  <c r="M7" i="71"/>
  <c r="F65" i="71"/>
  <c r="F62" i="71"/>
  <c r="C61" i="71" s="1"/>
  <c r="C34" i="71"/>
  <c r="C27" i="71"/>
  <c r="J20" i="71"/>
  <c r="F70" i="71"/>
  <c r="F64" i="71"/>
  <c r="J6" i="71"/>
  <c r="F50" i="71"/>
  <c r="C48" i="71" s="1"/>
  <c r="F63" i="71"/>
  <c r="L59" i="71"/>
  <c r="L58" i="71"/>
  <c r="C17" i="71"/>
  <c r="Q53" i="71" l="1"/>
  <c r="F1" i="71"/>
  <c r="C33" i="71"/>
  <c r="C32" i="71"/>
  <c r="Q75" i="71"/>
  <c r="Q62" i="71"/>
  <c r="C60" i="71"/>
  <c r="Q61" i="71"/>
  <c r="Q74" i="71"/>
  <c r="J18" i="71"/>
  <c r="Q67" i="71"/>
  <c r="Q58" i="71"/>
  <c r="C31" i="71" l="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c r="E22" i="59" s="1"/>
  <c r="E21" i="59" s="1"/>
  <c r="E20" i="59" s="1"/>
  <c r="E19" i="59" s="1"/>
  <c r="E18" i="59" s="1"/>
  <c r="F25" i="59"/>
  <c r="V25" i="59" s="1"/>
  <c r="U25" i="59"/>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21" i="63"/>
  <c r="B67" i="63"/>
  <c r="I19" i="46"/>
  <c r="Q29" i="59"/>
  <c r="F29" i="59" s="1"/>
  <c r="V29" i="59" s="1"/>
  <c r="P29" i="59"/>
  <c r="E29" i="59" s="1"/>
  <c r="O29" i="59"/>
  <c r="C29" i="59" s="1"/>
  <c r="N29" i="59"/>
  <c r="B29" i="59" s="1"/>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D66" i="59"/>
  <c r="Q65" i="59"/>
  <c r="P65" i="59"/>
  <c r="O65" i="59"/>
  <c r="N65" i="59"/>
  <c r="Q64" i="59"/>
  <c r="P64" i="59"/>
  <c r="O64" i="59"/>
  <c r="N64" i="59"/>
  <c r="Q63" i="59"/>
  <c r="P63" i="59"/>
  <c r="O63" i="59"/>
  <c r="N63" i="59"/>
  <c r="Q62" i="59"/>
  <c r="F63" i="59"/>
  <c r="P62" i="59"/>
  <c r="E63" i="59"/>
  <c r="E64" i="59" s="1"/>
  <c r="E65" i="59"/>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N39" i="59"/>
  <c r="Q38" i="59"/>
  <c r="AB38" i="59" s="1"/>
  <c r="P38" i="59"/>
  <c r="AA38" i="59" s="1"/>
  <c r="O38" i="59"/>
  <c r="C39" i="59"/>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N30" i="59"/>
  <c r="B31" i="59"/>
  <c r="D30" i="59"/>
  <c r="X3" i="59"/>
  <c r="X27" i="59"/>
  <c r="X28" i="59"/>
  <c r="X29" i="59"/>
  <c r="AA3" i="59"/>
  <c r="AA26" i="59"/>
  <c r="AA27" i="59"/>
  <c r="AA28" i="59"/>
  <c r="AA29" i="59"/>
  <c r="Y26" i="59"/>
  <c r="Z26" i="59"/>
  <c r="Y27" i="59"/>
  <c r="Z27" i="59"/>
  <c r="Y28" i="59"/>
  <c r="Z28" i="59"/>
  <c r="Y29" i="59"/>
  <c r="Z29" i="59"/>
  <c r="AB29" i="59"/>
  <c r="AB3" i="59"/>
  <c r="AB26" i="59"/>
  <c r="AB27" i="59"/>
  <c r="AB28" i="59"/>
  <c r="B32" i="59"/>
  <c r="B33" i="59" s="1"/>
  <c r="S33" i="59" s="1"/>
  <c r="E31" i="59"/>
  <c r="E32" i="59"/>
  <c r="E33" i="59" s="1"/>
  <c r="U33" i="59" s="1"/>
  <c r="B52" i="59"/>
  <c r="B53" i="59"/>
  <c r="S53" i="59" s="1"/>
  <c r="E52" i="59"/>
  <c r="E53" i="59" s="1"/>
  <c r="U53" i="59" s="1"/>
  <c r="S69" i="59"/>
  <c r="Z39" i="59"/>
  <c r="AA40" i="59"/>
  <c r="F36" i="59"/>
  <c r="F37" i="59"/>
  <c r="V37" i="59" s="1"/>
  <c r="F44" i="59"/>
  <c r="F45" i="59"/>
  <c r="V45" i="59" s="1"/>
  <c r="F48" i="59"/>
  <c r="F49" i="59" s="1"/>
  <c r="V49" i="59" s="1"/>
  <c r="F56" i="59"/>
  <c r="F57" i="59"/>
  <c r="V57" i="59" s="1"/>
  <c r="F60" i="59"/>
  <c r="F61" i="59" s="1"/>
  <c r="V61" i="59" s="1"/>
  <c r="F64" i="59"/>
  <c r="F65" i="59"/>
  <c r="V65" i="59" s="1"/>
  <c r="C32" i="59"/>
  <c r="D32" i="59" s="1"/>
  <c r="D31" i="59"/>
  <c r="C40" i="59"/>
  <c r="D40" i="59" s="1"/>
  <c r="D39" i="59"/>
  <c r="C48" i="59"/>
  <c r="D48" i="59" s="1"/>
  <c r="D47" i="59"/>
  <c r="C52" i="59"/>
  <c r="D51" i="59"/>
  <c r="C56" i="59"/>
  <c r="D55" i="59"/>
  <c r="C60" i="59"/>
  <c r="D59" i="59"/>
  <c r="C64" i="59"/>
  <c r="D63" i="59"/>
  <c r="E67" i="59"/>
  <c r="N68" i="59"/>
  <c r="B67" i="59"/>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L16" i="4" s="1"/>
  <c r="P66" i="59"/>
  <c r="P67" i="59"/>
  <c r="D88" i="59"/>
  <c r="C87" i="59"/>
  <c r="D87" i="59"/>
  <c r="C79" i="59"/>
  <c r="D79" i="59" s="1"/>
  <c r="D72" i="59"/>
  <c r="O68" i="59"/>
  <c r="D84" i="59"/>
  <c r="C75" i="59"/>
  <c r="D75" i="59" s="1"/>
  <c r="N66" i="59"/>
  <c r="N67" i="59"/>
  <c r="C65" i="59"/>
  <c r="T65" i="59" s="1"/>
  <c r="D64" i="59"/>
  <c r="D60" i="59"/>
  <c r="C61" i="59"/>
  <c r="C57" i="59"/>
  <c r="T57" i="59" s="1"/>
  <c r="D56" i="59"/>
  <c r="C53" i="59"/>
  <c r="T53" i="59" s="1"/>
  <c r="D52" i="59"/>
  <c r="C41" i="59"/>
  <c r="T41" i="59" s="1"/>
  <c r="C33" i="59"/>
  <c r="T33" i="59" s="1"/>
  <c r="T61" i="59"/>
  <c r="D61" i="59"/>
  <c r="D33" i="59"/>
  <c r="D41" i="59"/>
  <c r="D53" i="59"/>
  <c r="D57" i="59"/>
  <c r="D65"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K1" i="43"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F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s="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s="1"/>
  <c r="F39" i="21"/>
  <c r="AA39" i="21"/>
  <c r="J40" i="21"/>
  <c r="W40" i="21"/>
  <c r="H35" i="21"/>
  <c r="AB35" i="2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W8" i="21"/>
  <c r="H39" i="37"/>
  <c r="AB39" i="37"/>
  <c r="AB27" i="35"/>
  <c r="W10" i="40"/>
  <c r="U11" i="40"/>
  <c r="U36" i="40"/>
  <c r="S40" i="39"/>
  <c r="AC40" i="21"/>
  <c r="AA38" i="21"/>
  <c r="AC35" i="21"/>
  <c r="C29" i="39"/>
  <c r="U36" i="39"/>
  <c r="H32" i="33"/>
  <c r="AB32" i="33"/>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8" i="37"/>
  <c r="S25" i="37"/>
  <c r="AC36" i="34"/>
  <c r="AB8" i="34"/>
  <c r="AC37" i="33"/>
  <c r="AA13" i="33"/>
  <c r="AC45" i="33"/>
  <c r="F43" i="33"/>
  <c r="AA43" i="33"/>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22" i="3"/>
  <c r="H13" i="39"/>
  <c r="AB13" i="39" s="1"/>
  <c r="F13" i="39"/>
  <c r="J13" i="39"/>
  <c r="AC13" i="39" s="1"/>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S34"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F27" i="39"/>
  <c r="AA27" i="39" s="1"/>
  <c r="J27" i="39"/>
  <c r="AC27" i="39" s="1"/>
  <c r="F15" i="40"/>
  <c r="AA15" i="40" s="1"/>
  <c r="J15" i="40"/>
  <c r="H15" i="40"/>
  <c r="AB15" i="40" s="1"/>
  <c r="E91" i="40"/>
  <c r="F91" i="40" s="1"/>
  <c r="G91"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AZ391" i="3"/>
  <c r="AZ399" i="3"/>
  <c r="AZ403" i="3"/>
  <c r="AZ407" i="3"/>
  <c r="AZ415" i="3"/>
  <c r="AZ423" i="3"/>
  <c r="AZ431" i="3"/>
  <c r="AZ439" i="3"/>
  <c r="AZ454" i="3"/>
  <c r="B41" i="1"/>
  <c r="M18" i="15" s="1"/>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F69" i="46"/>
  <c r="H71" i="46" s="1"/>
  <c r="AZ164" i="3"/>
  <c r="AZ167" i="3"/>
  <c r="AZ177" i="3"/>
  <c r="AZ180" i="3"/>
  <c r="AZ24" i="3"/>
  <c r="AZ32" i="3"/>
  <c r="AZ40" i="3"/>
  <c r="AZ48" i="3"/>
  <c r="AZ56" i="3"/>
  <c r="AZ63" i="3"/>
  <c r="AZ71" i="3"/>
  <c r="AZ79" i="3"/>
  <c r="AZ91" i="3"/>
  <c r="AZ99" i="3"/>
  <c r="AZ107" i="3"/>
  <c r="AZ112" i="3"/>
  <c r="J13" i="40"/>
  <c r="W13" i="40" s="1"/>
  <c r="AB14" i="40"/>
  <c r="F72" i="9"/>
  <c r="S33" i="40"/>
  <c r="U37" i="34"/>
  <c r="AB37" i="34"/>
  <c r="W41" i="40"/>
  <c r="J23" i="40"/>
  <c r="AC23" i="40" s="1"/>
  <c r="F23" i="40"/>
  <c r="S23" i="40" s="1"/>
  <c r="AC15" i="40"/>
  <c r="W15" i="40"/>
  <c r="AB16" i="39"/>
  <c r="W14" i="39"/>
  <c r="U23" i="35"/>
  <c r="AB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S13" i="39"/>
  <c r="AA13" i="39"/>
  <c r="U16" i="40"/>
  <c r="AB34" i="40"/>
  <c r="U42" i="40"/>
  <c r="AC16" i="40"/>
  <c r="W32" i="40"/>
  <c r="H25" i="40"/>
  <c r="AB25" i="40" s="1"/>
  <c r="F93" i="40"/>
  <c r="G93" i="40" s="1"/>
  <c r="U47" i="39"/>
  <c r="J37" i="34"/>
  <c r="AC37" i="34" s="1"/>
  <c r="J36" i="33"/>
  <c r="W36" i="33" s="1"/>
  <c r="S41" i="40"/>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B32" i="21"/>
  <c r="W28" i="21"/>
  <c r="AC46" i="21"/>
  <c r="AC26" i="21"/>
  <c r="F85" i="21"/>
  <c r="G85" i="21" s="1"/>
  <c r="J23" i="21"/>
  <c r="W23" i="21" s="1"/>
  <c r="F23" i="21"/>
  <c r="S23" i="21" s="1"/>
  <c r="H23" i="21"/>
  <c r="U23" i="21" s="1"/>
  <c r="AA17"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A21" i="39"/>
  <c r="AC38" i="39"/>
  <c r="S14" i="39"/>
  <c r="AB15" i="39"/>
  <c r="U11" i="39"/>
  <c r="AB38" i="39"/>
  <c r="U31" i="39"/>
  <c r="AB31" i="39"/>
  <c r="S38" i="39"/>
  <c r="S22" i="31"/>
  <c r="M20" i="15"/>
  <c r="D96" i="9"/>
  <c r="A18" i="64"/>
  <c r="B74" i="63" s="1"/>
  <c r="C53" i="10"/>
  <c r="A25" i="64" s="1"/>
  <c r="A18" i="51"/>
  <c r="B14" i="63"/>
  <c r="BA16" i="3"/>
  <c r="BA17" i="3"/>
  <c r="AZ17" i="3" s="1"/>
  <c r="F3" i="35"/>
  <c r="K1" i="12"/>
  <c r="I4" i="6"/>
  <c r="G3" i="46"/>
  <c r="AZ15" i="3"/>
  <c r="BK5" i="3"/>
  <c r="BO5" i="3"/>
  <c r="BP5" i="3"/>
  <c r="BN5" i="3"/>
  <c r="BL18" i="3"/>
  <c r="AZ18" i="3" s="1"/>
  <c r="BC5" i="3"/>
  <c r="E8" i="6"/>
  <c r="E53" i="40" s="1"/>
  <c r="BD5" i="3"/>
  <c r="BR5" i="3"/>
  <c r="BS5" i="3"/>
  <c r="BQ5" i="3"/>
  <c r="BL16" i="3"/>
  <c r="BM5" i="3"/>
  <c r="BA13" i="3"/>
  <c r="G28" i="12"/>
  <c r="D24" i="44"/>
  <c r="D26" i="44"/>
  <c r="N4" i="46"/>
  <c r="F47" i="46"/>
  <c r="H53" i="46" s="1"/>
  <c r="M2" i="46"/>
  <c r="N9" i="46"/>
  <c r="M12" i="46"/>
  <c r="M3" i="46"/>
  <c r="C6" i="46"/>
  <c r="H15" i="48"/>
  <c r="H14" i="48"/>
  <c r="F36" i="46"/>
  <c r="K17" i="46"/>
  <c r="F39" i="46"/>
  <c r="H13" i="48"/>
  <c r="D17" i="46"/>
  <c r="D71" i="46"/>
  <c r="D84" i="46"/>
  <c r="E80" i="46" s="1"/>
  <c r="B78" i="46" s="1"/>
  <c r="D69" i="46"/>
  <c r="E69" i="46"/>
  <c r="B67" i="46" s="1"/>
  <c r="E47" i="46"/>
  <c r="E58" i="46"/>
  <c r="B56" i="46"/>
  <c r="A4" i="5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87" i="46"/>
  <c r="H85" i="46"/>
  <c r="H83" i="46"/>
  <c r="K10" i="1"/>
  <c r="M10" i="1" s="1"/>
  <c r="S11" i="1"/>
  <c r="R11" i="1"/>
  <c r="S13" i="1"/>
  <c r="R13" i="1"/>
  <c r="B10" i="1"/>
  <c r="E10" i="1" s="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AC27" i="40" s="1"/>
  <c r="W37" i="40"/>
  <c r="W30" i="40"/>
  <c r="S34" i="40"/>
  <c r="U38" i="40"/>
  <c r="S40" i="40"/>
  <c r="S42" i="40"/>
  <c r="G104" i="39"/>
  <c r="J31" i="39"/>
  <c r="W31" i="39" s="1"/>
  <c r="AB33" i="39"/>
  <c r="AC46" i="39"/>
  <c r="S34" i="39"/>
  <c r="W42" i="39"/>
  <c r="W36" i="39"/>
  <c r="AC37" i="39"/>
  <c r="U14" i="39"/>
  <c r="W16" i="39"/>
  <c r="S15" i="39"/>
  <c r="W2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8" i="39"/>
  <c r="F27" i="6"/>
  <c r="E5" i="6"/>
  <c r="D12" i="11" s="1"/>
  <c r="C12" i="11" s="1"/>
  <c r="AT6" i="3"/>
  <c r="BA5" i="3"/>
  <c r="G29" i="6"/>
  <c r="E29" i="6" s="1"/>
  <c r="AZ16" i="3"/>
  <c r="A3" i="55"/>
  <c r="B56" i="63" s="1"/>
  <c r="E4" i="4"/>
  <c r="B21" i="55" s="1"/>
  <c r="B72" i="63" s="1"/>
  <c r="C4" i="4"/>
  <c r="B20" i="55" s="1"/>
  <c r="B70" i="63" s="1"/>
  <c r="G66" i="36"/>
  <c r="J18" i="36"/>
  <c r="AE8" i="1"/>
  <c r="W18" i="36"/>
  <c r="AC18" i="36"/>
  <c r="AG6" i="1"/>
  <c r="L20" i="6"/>
  <c r="L19" i="6"/>
  <c r="S8" i="1"/>
  <c r="S9" i="1"/>
  <c r="R9" i="1"/>
  <c r="R8" i="1"/>
  <c r="C45" i="9"/>
  <c r="H14" i="66" s="1"/>
  <c r="B7" i="66" s="1"/>
  <c r="N76" i="9"/>
  <c r="C46" i="9"/>
  <c r="K33" i="9" s="1"/>
  <c r="J17" i="46"/>
  <c r="C17" i="46"/>
  <c r="F34" i="46"/>
  <c r="F38" i="46"/>
  <c r="F37" i="46"/>
  <c r="H113" i="46"/>
  <c r="H49"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22" i="46"/>
  <c r="Y11" i="46"/>
  <c r="Y13" i="46" s="1"/>
  <c r="H101" i="46"/>
  <c r="H102" i="46" s="1"/>
  <c r="G22" i="46"/>
  <c r="J22" i="46"/>
  <c r="F101" i="46"/>
  <c r="F106" i="46" s="1"/>
  <c r="D101" i="46"/>
  <c r="D105" i="46" s="1"/>
  <c r="AP7" i="1"/>
  <c r="H70" i="46"/>
  <c r="F107" i="46"/>
  <c r="H73" i="46"/>
  <c r="H48" i="46"/>
  <c r="F35" i="46"/>
  <c r="I17" i="46"/>
  <c r="I101" i="46"/>
  <c r="I105" i="46" s="1"/>
  <c r="M101" i="46"/>
  <c r="N101" i="46"/>
  <c r="N105" i="46" s="1"/>
  <c r="AC11" i="46"/>
  <c r="AC13" i="46" s="1"/>
  <c r="AD11" i="46"/>
  <c r="AJ11" i="46"/>
  <c r="H64"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74" i="46"/>
  <c r="AB11" i="46"/>
  <c r="AB13" i="46" s="1"/>
  <c r="H72" i="46"/>
  <c r="H77" i="46"/>
  <c r="H55" i="46"/>
  <c r="H52" i="46"/>
  <c r="AD12" i="46"/>
  <c r="AH12" i="46"/>
  <c r="C22" i="59"/>
  <c r="C21" i="59" s="1"/>
  <c r="B22" i="59"/>
  <c r="B21" i="59"/>
  <c r="B20" i="59" s="1"/>
  <c r="B19" i="59" s="1"/>
  <c r="B18" i="59" s="1"/>
  <c r="D22"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G20" i="46"/>
  <c r="E41" i="46" s="1"/>
  <c r="C41" i="46" s="1"/>
  <c r="S5" i="46"/>
  <c r="S2" i="46"/>
  <c r="S3" i="46"/>
  <c r="S7" i="46"/>
  <c r="S6" i="46"/>
  <c r="S4" i="46"/>
  <c r="F37" i="15"/>
  <c r="B8" i="67"/>
  <c r="B10" i="67"/>
  <c r="F9" i="67"/>
  <c r="E14" i="67"/>
  <c r="J6" i="65"/>
  <c r="N3" i="65"/>
  <c r="E9" i="67"/>
  <c r="B12" i="67"/>
  <c r="I3" i="65"/>
  <c r="E10" i="67"/>
  <c r="E11" i="67"/>
  <c r="J36" i="15"/>
  <c r="B11" i="67"/>
  <c r="F6" i="15"/>
  <c r="F13" i="15"/>
  <c r="M23" i="15"/>
  <c r="N4" i="65"/>
  <c r="M22" i="15"/>
  <c r="B9" i="67"/>
  <c r="F8" i="15"/>
  <c r="J5" i="65"/>
  <c r="N5" i="65"/>
  <c r="E13" i="67"/>
  <c r="F14" i="67"/>
  <c r="F43" i="15"/>
  <c r="M26" i="15"/>
  <c r="AE7" i="1"/>
  <c r="B13" i="67"/>
  <c r="F13" i="67"/>
  <c r="B14" i="67"/>
  <c r="I6" i="65"/>
  <c r="E8" i="67"/>
  <c r="M6" i="15"/>
  <c r="I5" i="65"/>
  <c r="L47" i="15"/>
  <c r="M28" i="15"/>
  <c r="I7" i="65"/>
  <c r="F38" i="15"/>
  <c r="E12" i="67"/>
  <c r="C16" i="71"/>
  <c r="N7" i="65"/>
  <c r="M8" i="15"/>
  <c r="M27" i="15"/>
  <c r="M9" i="15"/>
  <c r="F36" i="15"/>
  <c r="M24" i="15"/>
  <c r="M29" i="15"/>
  <c r="L48" i="15"/>
  <c r="F11" i="67"/>
  <c r="N6" i="65"/>
  <c r="F26" i="15"/>
  <c r="J15" i="15"/>
  <c r="F8" i="67"/>
  <c r="F12" i="67"/>
  <c r="F16" i="15"/>
  <c r="F10" i="67"/>
  <c r="F7" i="15"/>
  <c r="H27" i="39" l="1"/>
  <c r="AB27" i="39" s="1"/>
  <c r="AC19" i="39"/>
  <c r="S33" i="21"/>
  <c r="AC33" i="21"/>
  <c r="W42" i="21"/>
  <c r="S42" i="21"/>
  <c r="AC36" i="21"/>
  <c r="AA36" i="21"/>
  <c r="AB36" i="21"/>
  <c r="F113" i="21"/>
  <c r="W32" i="21"/>
  <c r="AC23" i="21"/>
  <c r="AA23" i="21"/>
  <c r="AB23" i="21"/>
  <c r="U19" i="21"/>
  <c r="AC19" i="21"/>
  <c r="F15" i="21"/>
  <c r="J15" i="21"/>
  <c r="W15" i="21" s="1"/>
  <c r="F77" i="21"/>
  <c r="G77" i="21" s="1"/>
  <c r="H15" i="21"/>
  <c r="U17" i="21"/>
  <c r="W17" i="21"/>
  <c r="F69" i="21"/>
  <c r="G69" i="21" s="1"/>
  <c r="H69" i="21" s="1"/>
  <c r="I69" i="21" s="1"/>
  <c r="J69" i="21" s="1"/>
  <c r="K69" i="21" s="1"/>
  <c r="L69" i="21" s="1"/>
  <c r="M69" i="21" s="1"/>
  <c r="F11" i="21"/>
  <c r="J11" i="21"/>
  <c r="H11" i="21"/>
  <c r="U11" i="21" s="1"/>
  <c r="S8" i="21"/>
  <c r="F96" i="39"/>
  <c r="G96" i="39" s="1"/>
  <c r="J23" i="39"/>
  <c r="AC23" i="39" s="1"/>
  <c r="H23" i="39"/>
  <c r="AB23" i="39" s="1"/>
  <c r="C18" i="9"/>
  <c r="AA45" i="39"/>
  <c r="S45" i="39"/>
  <c r="AB45" i="39"/>
  <c r="J45" i="39"/>
  <c r="AC45" i="39" s="1"/>
  <c r="H47" i="46"/>
  <c r="H54" i="46"/>
  <c r="H76" i="46"/>
  <c r="H69" i="46"/>
  <c r="H75" i="46"/>
  <c r="H65" i="46"/>
  <c r="H59" i="46"/>
  <c r="H66" i="46"/>
  <c r="H63" i="46"/>
  <c r="H50" i="46"/>
  <c r="H51" i="46"/>
  <c r="H58" i="46"/>
  <c r="H10" i="48"/>
  <c r="H11" i="48"/>
  <c r="H5" i="48"/>
  <c r="H6" i="48"/>
  <c r="M5" i="46"/>
  <c r="M8" i="46"/>
  <c r="M4" i="46"/>
  <c r="N11" i="46"/>
  <c r="M9" i="46"/>
  <c r="N1" i="46"/>
  <c r="N8" i="46"/>
  <c r="N10" i="46"/>
  <c r="N3" i="46"/>
  <c r="M7" i="46"/>
  <c r="N7" i="46"/>
  <c r="N5" i="46"/>
  <c r="M10" i="46"/>
  <c r="M1" i="46"/>
  <c r="H8" i="48"/>
  <c r="H16" i="48"/>
  <c r="H7" i="48"/>
  <c r="H12" i="48"/>
  <c r="W43" i="39"/>
  <c r="AB43" i="39"/>
  <c r="W41" i="39"/>
  <c r="U41" i="39"/>
  <c r="S41" i="39"/>
  <c r="W29" i="39"/>
  <c r="S29" i="39"/>
  <c r="U27" i="39"/>
  <c r="S27" i="39"/>
  <c r="AB25" i="39"/>
  <c r="AB29" i="39"/>
  <c r="W27" i="39"/>
  <c r="S25" i="39"/>
  <c r="W23" i="39"/>
  <c r="U23" i="39"/>
  <c r="S23" i="39"/>
  <c r="AC21" i="39"/>
  <c r="AB19" i="39"/>
  <c r="S17" i="39"/>
  <c r="AC17" i="39"/>
  <c r="U13" i="39"/>
  <c r="P75" i="15"/>
  <c r="K6" i="1"/>
  <c r="M6" i="1" s="1"/>
  <c r="O6" i="1" s="1"/>
  <c r="P6" i="1" s="1"/>
  <c r="B6" i="1"/>
  <c r="E6" i="1" s="1"/>
  <c r="G1" i="44"/>
  <c r="BL13" i="3"/>
  <c r="AZ13" i="3" s="1"/>
  <c r="F30" i="6"/>
  <c r="C51" i="10"/>
  <c r="C20" i="59"/>
  <c r="T21" i="59"/>
  <c r="D21" i="59"/>
  <c r="F20" i="59"/>
  <c r="F19" i="59" s="1"/>
  <c r="F18" i="59" s="1"/>
  <c r="F17" i="59" s="1"/>
  <c r="V21" i="59"/>
  <c r="O41" i="9"/>
  <c r="R8" i="54" s="1"/>
  <c r="B54" i="63" s="1"/>
  <c r="W23" i="37"/>
  <c r="AC23" i="37"/>
  <c r="AZ542" i="3"/>
  <c r="AZ502" i="3"/>
  <c r="AC24" i="35"/>
  <c r="W24" i="35"/>
  <c r="AZ392" i="3"/>
  <c r="AZ397" i="3"/>
  <c r="AZ408" i="3"/>
  <c r="AZ413" i="3"/>
  <c r="AZ424" i="3"/>
  <c r="AZ437" i="3"/>
  <c r="AD13" i="46"/>
  <c r="S21" i="59"/>
  <c r="AH13" i="46"/>
  <c r="AJ13" i="46"/>
  <c r="I14" i="66"/>
  <c r="B8" i="66" s="1"/>
  <c r="O40" i="9"/>
  <c r="F31" i="6"/>
  <c r="AB23" i="40"/>
  <c r="W15" i="39"/>
  <c r="W34" i="40"/>
  <c r="U41" i="40"/>
  <c r="S47" i="39"/>
  <c r="AC14" i="40"/>
  <c r="W40" i="40"/>
  <c r="AA36" i="35"/>
  <c r="S39" i="33"/>
  <c r="S23" i="37"/>
  <c r="AA23" i="37"/>
  <c r="AZ484" i="3"/>
  <c r="AZ550" i="3"/>
  <c r="AZ556" i="3"/>
  <c r="AB30" i="33"/>
  <c r="U30" i="33"/>
  <c r="S9" i="21"/>
  <c r="AA9" i="21"/>
  <c r="U27" i="33"/>
  <c r="AB27" i="33"/>
  <c r="AC39" i="37"/>
  <c r="W39" i="37"/>
  <c r="AZ447" i="3"/>
  <c r="AC28" i="33"/>
  <c r="AB30" i="21"/>
  <c r="AC34" i="36"/>
  <c r="S38" i="33"/>
  <c r="U9" i="21"/>
  <c r="C23" i="39"/>
  <c r="W33" i="33"/>
  <c r="U33" i="33"/>
  <c r="W39" i="34"/>
  <c r="J9" i="21"/>
  <c r="BT5" i="3"/>
  <c r="BI5" i="3"/>
  <c r="F34" i="35"/>
  <c r="H34" i="35"/>
  <c r="A30" i="64"/>
  <c r="A30" i="51"/>
  <c r="B22" i="63" s="1"/>
  <c r="A2" i="55"/>
  <c r="B55" i="63" s="1"/>
  <c r="AZ206" i="3"/>
  <c r="AZ210" i="3"/>
  <c r="AZ222" i="3"/>
  <c r="AZ226" i="3"/>
  <c r="AZ242" i="3"/>
  <c r="AZ155" i="3"/>
  <c r="H5" i="3"/>
  <c r="AZ464" i="3"/>
  <c r="AZ476" i="3"/>
  <c r="AZ480" i="3"/>
  <c r="AZ368" i="3"/>
  <c r="AZ234" i="3"/>
  <c r="AZ246" i="3"/>
  <c r="AZ250" i="3"/>
  <c r="AZ262" i="3"/>
  <c r="AZ266" i="3"/>
  <c r="AZ277" i="3"/>
  <c r="AZ280" i="3"/>
  <c r="AZ293" i="3"/>
  <c r="AZ117" i="3"/>
  <c r="AZ120" i="3"/>
  <c r="AZ133" i="3"/>
  <c r="AZ136" i="3"/>
  <c r="AZ149" i="3"/>
  <c r="AZ25" i="3"/>
  <c r="AZ5" i="3" s="1"/>
  <c r="E3" i="6" s="1"/>
  <c r="AZ30" i="3"/>
  <c r="AZ41" i="3"/>
  <c r="AZ46" i="3"/>
  <c r="AZ57" i="3"/>
  <c r="AZ62" i="3"/>
  <c r="AZ65" i="3"/>
  <c r="AZ68" i="3"/>
  <c r="AZ75" i="3"/>
  <c r="AZ89" i="3"/>
  <c r="AZ100" i="3"/>
  <c r="AZ105" i="3"/>
  <c r="D43" i="59"/>
  <c r="C44" i="59"/>
  <c r="AZ80" i="3"/>
  <c r="O67" i="59"/>
  <c r="O66" i="59"/>
  <c r="D67"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8" i="59"/>
  <c r="Z8" i="59" s="1"/>
  <c r="Y5" i="59"/>
  <c r="Z5" i="59" s="1"/>
  <c r="Y10" i="59"/>
  <c r="Z10" i="59" s="1"/>
  <c r="Y11" i="59"/>
  <c r="Z11" i="59" s="1"/>
  <c r="Q67" i="59"/>
  <c r="Q66" i="59"/>
  <c r="D29" i="59"/>
  <c r="T29" i="59"/>
  <c r="C28" i="59"/>
  <c r="B37" i="50"/>
  <c r="B2" i="63" s="1"/>
  <c r="AB9" i="59"/>
  <c r="AA9" i="59"/>
  <c r="X9" i="59"/>
  <c r="Y9" i="59"/>
  <c r="Z9" i="59" s="1"/>
  <c r="S21" i="21"/>
  <c r="S21" i="37"/>
  <c r="D68" i="59"/>
  <c r="N16" i="4"/>
  <c r="X6" i="59"/>
  <c r="X7" i="59"/>
  <c r="X5" i="59"/>
  <c r="X8" i="59"/>
  <c r="X10" i="59"/>
  <c r="AA7" i="59"/>
  <c r="AA6" i="59"/>
  <c r="AA5" i="59"/>
  <c r="AA8" i="59"/>
  <c r="AA10" i="59"/>
  <c r="AB8" i="59"/>
  <c r="AB6" i="59"/>
  <c r="AB7" i="59"/>
  <c r="AB5" i="59"/>
  <c r="AB10" i="59"/>
  <c r="B28" i="59"/>
  <c r="B27" i="59" s="1"/>
  <c r="S29" i="59"/>
  <c r="E28" i="59"/>
  <c r="E27" i="59" s="1"/>
  <c r="U29" i="59"/>
  <c r="A28" i="64"/>
  <c r="Y25" i="59"/>
  <c r="Z25" i="59" s="1"/>
  <c r="AB25" i="59"/>
  <c r="Y24" i="59"/>
  <c r="Z24" i="59" s="1"/>
  <c r="AB24" i="59"/>
  <c r="X19" i="59"/>
  <c r="Y19" i="59"/>
  <c r="Z19" i="59" s="1"/>
  <c r="AB19" i="59"/>
  <c r="X14" i="59"/>
  <c r="AA14" i="59"/>
  <c r="F28" i="59"/>
  <c r="F27" i="59" s="1"/>
  <c r="X25" i="59"/>
  <c r="X24" i="59"/>
  <c r="X22" i="59"/>
  <c r="AA24" i="59"/>
  <c r="AA22" i="59"/>
  <c r="AA19" i="59"/>
  <c r="X18" i="59"/>
  <c r="Y18" i="59"/>
  <c r="Z18" i="59" s="1"/>
  <c r="AA18" i="59"/>
  <c r="Y15" i="59"/>
  <c r="Z15" i="59" s="1"/>
  <c r="AB18" i="59"/>
  <c r="AB16" i="59"/>
  <c r="AB14" i="59"/>
  <c r="AB11" i="59"/>
  <c r="AB15" i="59"/>
  <c r="AA12" i="59"/>
  <c r="X13" i="59"/>
  <c r="X12" i="59"/>
  <c r="X15" i="59"/>
  <c r="Y12" i="59"/>
  <c r="Z12" i="59" s="1"/>
  <c r="Y14" i="59"/>
  <c r="Z14" i="59" s="1"/>
  <c r="AA16" i="59"/>
  <c r="X17" i="59"/>
  <c r="AB13" i="59"/>
  <c r="AB12" i="59"/>
  <c r="AA13" i="59"/>
  <c r="AA11" i="59"/>
  <c r="AA15" i="59"/>
  <c r="X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E27" i="6"/>
  <c r="G28" i="6"/>
  <c r="G30" i="6" s="1"/>
  <c r="G31" i="6" s="1"/>
  <c r="G27" i="12"/>
  <c r="M107" i="46"/>
  <c r="M106" i="46"/>
  <c r="H106" i="46"/>
  <c r="H103" i="46"/>
  <c r="G13" i="3"/>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I1" i="65" s="1"/>
  <c r="G20" i="43"/>
  <c r="G26" i="12"/>
  <c r="F70" i="9"/>
  <c r="F66" i="9"/>
  <c r="P72" i="9" s="1"/>
  <c r="F28" i="15"/>
  <c r="C28" i="15" s="1"/>
  <c r="F30" i="44"/>
  <c r="C30" i="44" s="1"/>
  <c r="D86" i="9"/>
  <c r="F29" i="12"/>
  <c r="F32" i="15"/>
  <c r="F59" i="15" s="1"/>
  <c r="F71" i="9"/>
  <c r="L106" i="46"/>
  <c r="E107" i="46"/>
  <c r="E103" i="46"/>
  <c r="K105" i="46"/>
  <c r="K106" i="46"/>
  <c r="I107" i="46"/>
  <c r="N102" i="46"/>
  <c r="N106" i="46"/>
  <c r="I103" i="46"/>
  <c r="N107" i="46"/>
  <c r="I104" i="46"/>
  <c r="M104" i="46"/>
  <c r="M109" i="46"/>
  <c r="M103" i="46"/>
  <c r="L27" i="6"/>
  <c r="K15" i="1"/>
  <c r="E15" i="6"/>
  <c r="E12" i="6"/>
  <c r="E11" i="6"/>
  <c r="E14" i="6"/>
  <c r="E13" i="6"/>
  <c r="E10" i="6"/>
  <c r="O11" i="1"/>
  <c r="P11" i="1" s="1"/>
  <c r="D21" i="12"/>
  <c r="C21" i="12"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C6" i="15"/>
  <c r="F65" i="15"/>
  <c r="F67" i="15"/>
  <c r="F50" i="15"/>
  <c r="C27" i="15"/>
  <c r="F64" i="15"/>
  <c r="F70" i="15"/>
  <c r="L59" i="15"/>
  <c r="L58" i="15"/>
  <c r="J53" i="15"/>
  <c r="J57" i="15"/>
  <c r="J55" i="15" s="1"/>
  <c r="J58" i="15" s="1"/>
  <c r="Q51" i="15" s="1"/>
  <c r="I54" i="15"/>
  <c r="L56" i="15"/>
  <c r="F49" i="15"/>
  <c r="M7" i="15"/>
  <c r="M17" i="15" s="1"/>
  <c r="Q72" i="15"/>
  <c r="F63" i="15"/>
  <c r="C4" i="65"/>
  <c r="B39" i="1" s="1"/>
  <c r="M29" i="44"/>
  <c r="M26" i="44"/>
  <c r="J7" i="65"/>
  <c r="M30" i="44"/>
  <c r="F8" i="44"/>
  <c r="F28" i="44"/>
  <c r="F45" i="44"/>
  <c r="M11" i="44"/>
  <c r="M31" i="44"/>
  <c r="E2" i="65"/>
  <c r="F11" i="44"/>
  <c r="J4" i="65"/>
  <c r="F9" i="44"/>
  <c r="F39" i="44"/>
  <c r="F40" i="44"/>
  <c r="F10" i="44"/>
  <c r="F15" i="44"/>
  <c r="I4" i="65"/>
  <c r="C16" i="15"/>
  <c r="F43" i="44"/>
  <c r="F18" i="44"/>
  <c r="L49" i="44"/>
  <c r="F46" i="44"/>
  <c r="M28" i="44"/>
  <c r="M25" i="44"/>
  <c r="J3" i="65"/>
  <c r="M8" i="44"/>
  <c r="M10" i="44"/>
  <c r="M24" i="44"/>
  <c r="F38" i="44"/>
  <c r="L48" i="44"/>
  <c r="J17" i="44"/>
  <c r="G113" i="21" l="1"/>
  <c r="F37" i="21"/>
  <c r="H37" i="21"/>
  <c r="AB15" i="21"/>
  <c r="U15" i="21"/>
  <c r="AC15" i="21"/>
  <c r="S15" i="21"/>
  <c r="AA15" i="21"/>
  <c r="S11" i="21"/>
  <c r="AA11" i="21"/>
  <c r="AB11" i="21"/>
  <c r="W11" i="21"/>
  <c r="AC11" i="21"/>
  <c r="D18" i="9"/>
  <c r="M44" i="9" s="1"/>
  <c r="M43" i="9"/>
  <c r="W45" i="39"/>
  <c r="F11" i="71"/>
  <c r="M11" i="71"/>
  <c r="J10" i="71" s="1"/>
  <c r="J5" i="71" s="1"/>
  <c r="D113" i="46"/>
  <c r="Q16" i="1"/>
  <c r="AP16" i="1"/>
  <c r="F22" i="11" s="1"/>
  <c r="H16" i="1"/>
  <c r="M9" i="44"/>
  <c r="J8" i="44" s="1"/>
  <c r="J20" i="44" s="1"/>
  <c r="L57" i="44"/>
  <c r="J60" i="44"/>
  <c r="J54" i="44"/>
  <c r="F1" i="44" s="1"/>
  <c r="J58" i="44"/>
  <c r="J56" i="44" s="1"/>
  <c r="J59" i="44" s="1"/>
  <c r="Q52" i="44" s="1"/>
  <c r="J61" i="44"/>
  <c r="Q50" i="44" s="1"/>
  <c r="I55" i="44"/>
  <c r="C8" i="44"/>
  <c r="C34" i="44" s="1"/>
  <c r="Q73" i="44"/>
  <c r="L60" i="44"/>
  <c r="Q76" i="44" s="1"/>
  <c r="L59" i="44"/>
  <c r="Q75" i="44" s="1"/>
  <c r="C29" i="44"/>
  <c r="E16" i="6"/>
  <c r="E28" i="6"/>
  <c r="BL5" i="3"/>
  <c r="A9" i="64"/>
  <c r="A9" i="51"/>
  <c r="B9" i="63" s="1"/>
  <c r="J1" i="65"/>
  <c r="D16" i="43"/>
  <c r="C16" i="43" s="1"/>
  <c r="C21" i="4"/>
  <c r="O5" i="54" s="1"/>
  <c r="B45" i="63" s="1"/>
  <c r="D45" i="9"/>
  <c r="L38" i="9"/>
  <c r="B14" i="66" s="1"/>
  <c r="B1" i="66" s="1"/>
  <c r="D46" i="9"/>
  <c r="D16" i="12"/>
  <c r="D19" i="12" s="1"/>
  <c r="C19" i="12" s="1"/>
  <c r="E6" i="6"/>
  <c r="D22" i="12" s="1"/>
  <c r="C22" i="12" s="1"/>
  <c r="K34" i="9"/>
  <c r="F16" i="59"/>
  <c r="F15" i="59" s="1"/>
  <c r="F14" i="59" s="1"/>
  <c r="F13" i="59" s="1"/>
  <c r="V17" i="59"/>
  <c r="E16" i="59"/>
  <c r="E15" i="59" s="1"/>
  <c r="E14" i="59" s="1"/>
  <c r="E13" i="59" s="1"/>
  <c r="U17" i="59"/>
  <c r="C36" i="59"/>
  <c r="D35" i="59"/>
  <c r="D44" i="59"/>
  <c r="C45" i="59"/>
  <c r="AA34" i="35"/>
  <c r="S34" i="35"/>
  <c r="B16" i="59"/>
  <c r="B15" i="59" s="1"/>
  <c r="B14" i="59" s="1"/>
  <c r="B13" i="59" s="1"/>
  <c r="S17" i="59"/>
  <c r="J7" i="33"/>
  <c r="K22" i="6"/>
  <c r="M22" i="6" s="1"/>
  <c r="I22" i="6" s="1"/>
  <c r="S22" i="6" s="1"/>
  <c r="K21" i="6"/>
  <c r="M21" i="6" s="1"/>
  <c r="I21" i="6" s="1"/>
  <c r="S21" i="6" s="1"/>
  <c r="K24" i="6"/>
  <c r="M24" i="6" s="1"/>
  <c r="I24" i="6" s="1"/>
  <c r="S24" i="6" s="1"/>
  <c r="C27" i="59"/>
  <c r="D27" i="59" s="1"/>
  <c r="D28" i="59"/>
  <c r="AB34" i="35"/>
  <c r="U34" i="35"/>
  <c r="AC9" i="21"/>
  <c r="W9" i="21"/>
  <c r="K31" i="9"/>
  <c r="K32" i="9" s="1"/>
  <c r="R7" i="54"/>
  <c r="B52" i="63" s="1"/>
  <c r="C19" i="59"/>
  <c r="D20"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Q62" i="15"/>
  <c r="Q75" i="15"/>
  <c r="M13" i="44"/>
  <c r="J12" i="44" s="1"/>
  <c r="F11" i="15"/>
  <c r="M11" i="15"/>
  <c r="J10" i="15" s="1"/>
  <c r="F13" i="44"/>
  <c r="C12" i="44" s="1"/>
  <c r="C48" i="15"/>
  <c r="C32" i="15"/>
  <c r="M28" i="46"/>
  <c r="P28" i="46"/>
  <c r="O28" i="46"/>
  <c r="N28" i="46"/>
  <c r="F1" i="15"/>
  <c r="Q53" i="15"/>
  <c r="Q61" i="15"/>
  <c r="Q74" i="15"/>
  <c r="J6" i="15"/>
  <c r="AE6" i="1"/>
  <c r="C18" i="44"/>
  <c r="F41" i="71"/>
  <c r="E3" i="65"/>
  <c r="S37" i="21" l="1"/>
  <c r="AA37" i="21"/>
  <c r="R48" i="21" s="1"/>
  <c r="U37" i="21"/>
  <c r="AB37" i="21"/>
  <c r="T48" i="21" s="1"/>
  <c r="G48" i="21" s="1"/>
  <c r="H113" i="21"/>
  <c r="J37" i="21"/>
  <c r="F68" i="71"/>
  <c r="J26" i="71"/>
  <c r="J29" i="71" s="1"/>
  <c r="J24" i="71"/>
  <c r="C24" i="71"/>
  <c r="C52" i="71"/>
  <c r="C47" i="71" s="1"/>
  <c r="C10" i="71"/>
  <c r="C5" i="71" s="1"/>
  <c r="Q63" i="44"/>
  <c r="Q54" i="44"/>
  <c r="C20" i="12"/>
  <c r="C11" i="11"/>
  <c r="C10" i="11" s="1"/>
  <c r="C18" i="11" s="1"/>
  <c r="J7" i="44"/>
  <c r="J28" i="44" s="1"/>
  <c r="J31" i="44" s="1"/>
  <c r="Q62" i="44"/>
  <c r="C7" i="44"/>
  <c r="C40" i="44" s="1"/>
  <c r="L47" i="44"/>
  <c r="D13" i="11"/>
  <c r="C13" i="11" s="1"/>
  <c r="K19" i="6"/>
  <c r="K26" i="6"/>
  <c r="M26" i="6" s="1"/>
  <c r="I26" i="6" s="1"/>
  <c r="S26" i="6" s="1"/>
  <c r="K20" i="6"/>
  <c r="K23" i="6"/>
  <c r="M23" i="6" s="1"/>
  <c r="I23" i="6" s="1"/>
  <c r="S23" i="6" s="1"/>
  <c r="K25" i="6"/>
  <c r="M25" i="6" s="1"/>
  <c r="I25" i="6" s="1"/>
  <c r="S25" i="6" s="1"/>
  <c r="C16" i="12"/>
  <c r="F17" i="11"/>
  <c r="C17" i="11" s="1"/>
  <c r="C19" i="11" s="1"/>
  <c r="C20" i="11" s="1"/>
  <c r="C21" i="11" s="1"/>
  <c r="C22" i="11" s="1"/>
  <c r="C23" i="11" s="1"/>
  <c r="B2" i="11" s="1"/>
  <c r="T45" i="59"/>
  <c r="D45" i="59"/>
  <c r="C8" i="66"/>
  <c r="C7" i="66"/>
  <c r="C18" i="59"/>
  <c r="D19" i="59"/>
  <c r="D36" i="59"/>
  <c r="C37" i="59"/>
  <c r="F12" i="59"/>
  <c r="F11" i="59" s="1"/>
  <c r="V1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F68" i="15" l="1"/>
  <c r="G52" i="21"/>
  <c r="H52" i="21" s="1"/>
  <c r="E48" i="21"/>
  <c r="W37" i="21"/>
  <c r="AC37" i="21"/>
  <c r="V48" i="21" s="1"/>
  <c r="I48" i="21" s="1"/>
  <c r="I52" i="21" s="1"/>
  <c r="J52" i="21" s="1"/>
  <c r="C38" i="71"/>
  <c r="C59" i="71"/>
  <c r="C58" i="71" s="1"/>
  <c r="C65" i="71"/>
  <c r="J26" i="44"/>
  <c r="M20" i="6"/>
  <c r="I20" i="6" s="1"/>
  <c r="S20" i="6" s="1"/>
  <c r="S7" i="1"/>
  <c r="S6" i="1"/>
  <c r="K27" i="6"/>
  <c r="M19" i="6"/>
  <c r="T37" i="59"/>
  <c r="D37" i="59"/>
  <c r="D18" i="59"/>
  <c r="C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F7" i="67"/>
  <c r="C17" i="15"/>
  <c r="C19" i="44"/>
  <c r="R49" i="21" l="1"/>
  <c r="G53" i="21"/>
  <c r="H53" i="21" s="1"/>
  <c r="M27" i="6"/>
  <c r="I19" i="6"/>
  <c r="S16" i="1"/>
  <c r="E6" i="3"/>
  <c r="C16" i="59"/>
  <c r="T17" i="59"/>
  <c r="D17"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C48" i="21" l="1"/>
  <c r="C49" i="21"/>
  <c r="B3" i="21" s="1"/>
  <c r="R24" i="6"/>
  <c r="R26" i="6"/>
  <c r="S19" i="6"/>
  <c r="S27" i="6" s="1"/>
  <c r="I27" i="6"/>
  <c r="H19" i="6"/>
  <c r="R19" i="6" s="1"/>
  <c r="T6" i="1"/>
  <c r="T7" i="1"/>
  <c r="T9" i="1"/>
  <c r="T10" i="1"/>
  <c r="T13" i="1"/>
  <c r="T11" i="1"/>
  <c r="T8" i="1"/>
  <c r="T12" i="1"/>
  <c r="C15" i="59"/>
  <c r="D16" i="59"/>
  <c r="F7" i="59"/>
  <c r="B8" i="59"/>
  <c r="E8" i="59"/>
  <c r="R25" i="6"/>
  <c r="R21" i="6"/>
  <c r="D27" i="6"/>
  <c r="D31" i="6" s="1"/>
  <c r="A20" i="64"/>
  <c r="A6" i="64"/>
  <c r="A20" i="51"/>
  <c r="B15" i="63" s="1"/>
  <c r="N5" i="54"/>
  <c r="B43" i="63" s="1"/>
  <c r="A6" i="51"/>
  <c r="B7" i="63" s="1"/>
  <c r="D8" i="66"/>
  <c r="D7" i="66"/>
  <c r="D16" i="6"/>
  <c r="R23" i="6"/>
  <c r="R20" i="6"/>
  <c r="R7" i="1" s="1"/>
  <c r="R27" i="6"/>
  <c r="R6" i="1"/>
  <c r="C17" i="43"/>
  <c r="C14" i="43"/>
  <c r="C14" i="12"/>
  <c r="C17" i="12"/>
  <c r="I64" i="40"/>
  <c r="H66" i="40"/>
  <c r="H71" i="39"/>
  <c r="I69" i="39"/>
  <c r="N46" i="36"/>
  <c r="E3" i="67"/>
  <c r="B2" i="67"/>
  <c r="D4" i="46"/>
  <c r="B3" i="46"/>
  <c r="B4" i="46"/>
  <c r="C14" i="71"/>
  <c r="C16" i="44"/>
  <c r="C14" i="15"/>
  <c r="M23" i="44"/>
  <c r="F35" i="15"/>
  <c r="F37" i="44"/>
  <c r="M21" i="15"/>
  <c r="C15" i="71" l="1"/>
  <c r="C18" i="71"/>
  <c r="B2" i="21"/>
  <c r="L57" i="71"/>
  <c r="C18" i="15"/>
  <c r="C15" i="15"/>
  <c r="C20" i="44"/>
  <c r="C17" i="44"/>
  <c r="H27" i="6"/>
  <c r="T16" i="1"/>
  <c r="C14" i="59"/>
  <c r="D15"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19" i="71" l="1"/>
  <c r="C20" i="71" s="1"/>
  <c r="C21" i="44"/>
  <c r="C22" i="44" s="1"/>
  <c r="C28" i="44" s="1"/>
  <c r="C19" i="15"/>
  <c r="C20" i="15" s="1"/>
  <c r="C26" i="15" s="1"/>
  <c r="C13" i="59"/>
  <c r="D14" i="59"/>
  <c r="F5" i="59"/>
  <c r="V5" i="59" s="1"/>
  <c r="B6" i="59"/>
  <c r="E6" i="59"/>
  <c r="C19" i="43"/>
  <c r="K69" i="39"/>
  <c r="J71" i="39"/>
  <c r="U7" i="36"/>
  <c r="AB7" i="36"/>
  <c r="T36" i="36" s="1"/>
  <c r="G36" i="36" s="1"/>
  <c r="AC7" i="36"/>
  <c r="V36" i="36" s="1"/>
  <c r="I36" i="36" s="1"/>
  <c r="W7" i="36"/>
  <c r="J66" i="40"/>
  <c r="K64" i="40"/>
  <c r="S7" i="36"/>
  <c r="AA7" i="36"/>
  <c r="R36" i="36" s="1"/>
  <c r="C26" i="71" l="1"/>
  <c r="C23" i="71"/>
  <c r="C29" i="71" s="1"/>
  <c r="J14" i="71" s="1"/>
  <c r="C12" i="59"/>
  <c r="D13" i="59"/>
  <c r="T13" i="59"/>
  <c r="E5" i="59"/>
  <c r="U5" i="59" s="1"/>
  <c r="B5" i="59"/>
  <c r="C21" i="43"/>
  <c r="R37" i="36"/>
  <c r="E36" i="36"/>
  <c r="K66" i="40"/>
  <c r="L64" i="40"/>
  <c r="G41" i="36"/>
  <c r="H41" i="36" s="1"/>
  <c r="G40" i="36"/>
  <c r="H40" i="36" s="1"/>
  <c r="I40" i="36"/>
  <c r="J40" i="36" s="1"/>
  <c r="I41" i="36"/>
  <c r="J41" i="36" s="1"/>
  <c r="L69" i="39"/>
  <c r="K71" i="39"/>
  <c r="C13" i="71" l="1"/>
  <c r="Q71" i="71" s="1"/>
  <c r="C56" i="71"/>
  <c r="C63" i="71" s="1"/>
  <c r="J19" i="71"/>
  <c r="J17" i="71" s="1"/>
  <c r="Q50" i="71"/>
  <c r="C36" i="71"/>
  <c r="C55" i="71"/>
  <c r="C64" i="71" s="1"/>
  <c r="C37" i="71"/>
  <c r="C30" i="71" s="1"/>
  <c r="C39" i="71" s="1"/>
  <c r="J22" i="71"/>
  <c r="J13" i="71"/>
  <c r="J23" i="71" s="1"/>
  <c r="C11" i="59"/>
  <c r="D12" i="59"/>
  <c r="S5" i="59"/>
  <c r="L71" i="39"/>
  <c r="M69" i="39"/>
  <c r="M64" i="40"/>
  <c r="L66" i="40"/>
  <c r="E40" i="36"/>
  <c r="F40" i="36" s="1"/>
  <c r="E41" i="36"/>
  <c r="F41" i="36" s="1"/>
  <c r="C37" i="36"/>
  <c r="B3" i="36" s="1"/>
  <c r="B2" i="36" s="1"/>
  <c r="C36" i="36"/>
  <c r="L51" i="71"/>
  <c r="J35" i="71" l="1"/>
  <c r="J16" i="71"/>
  <c r="J25" i="71" s="1"/>
  <c r="C57" i="71"/>
  <c r="C66" i="71" s="1"/>
  <c r="C67" i="71" s="1"/>
  <c r="C70" i="71" s="1"/>
  <c r="Q68" i="71"/>
  <c r="C40" i="71"/>
  <c r="Q70" i="71"/>
  <c r="Q69" i="71" s="1"/>
  <c r="J39" i="71"/>
  <c r="J40" i="71" s="1"/>
  <c r="C10" i="59"/>
  <c r="D11" i="59"/>
  <c r="N64" i="40"/>
  <c r="N66" i="40" s="1"/>
  <c r="M66" i="40"/>
  <c r="N69" i="39"/>
  <c r="N71" i="39" s="1"/>
  <c r="M71" i="39"/>
  <c r="Q66" i="71" l="1"/>
  <c r="Q76" i="71" s="1"/>
  <c r="Q48" i="71"/>
  <c r="Q54" i="71" s="1"/>
  <c r="B2" i="71"/>
  <c r="Q57" i="71"/>
  <c r="Q63" i="71" s="1"/>
  <c r="C43" i="71"/>
  <c r="J42" i="71"/>
  <c r="J43" i="71" s="1"/>
  <c r="C46" i="71"/>
  <c r="C9" i="59"/>
  <c r="D10" i="59"/>
  <c r="J9" i="40"/>
  <c r="H9" i="40"/>
  <c r="F9" i="40"/>
  <c r="J9" i="39"/>
  <c r="H9" i="39"/>
  <c r="F9" i="39"/>
  <c r="D10" i="12" l="1"/>
  <c r="B3" i="71"/>
  <c r="D8"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0" i="46"/>
  <c r="B5" i="40"/>
  <c r="B4" i="40"/>
  <c r="B3" i="40"/>
  <c r="C19" i="9"/>
  <c r="L43" i="9" l="1"/>
  <c r="D18" i="70"/>
  <c r="B3" i="39"/>
  <c r="B5" i="39"/>
  <c r="B4" i="39"/>
  <c r="F20" i="43"/>
  <c r="D20" i="43" s="1"/>
  <c r="F26" i="12"/>
  <c r="F26" i="44"/>
  <c r="F24" i="15"/>
  <c r="C20" i="9"/>
  <c r="C21" i="9"/>
  <c r="D19" i="70" l="1"/>
  <c r="C34" i="70" s="1"/>
  <c r="E18" i="70"/>
  <c r="C33" i="70"/>
  <c r="C20" i="43"/>
  <c r="C24" i="15"/>
  <c r="C23" i="15"/>
  <c r="C27" i="12"/>
  <c r="D26" i="12" s="1"/>
  <c r="C32" i="12" s="1"/>
  <c r="D30" i="12" s="1"/>
  <c r="C26" i="44"/>
  <c r="C25" i="44"/>
  <c r="E19" i="70" l="1"/>
  <c r="G19" i="70"/>
  <c r="E26" i="70"/>
  <c r="C23" i="43"/>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C43" i="15"/>
  <c r="Q48" i="15"/>
  <c r="Q54" i="15" s="1"/>
  <c r="Q58" i="15"/>
  <c r="Q63" i="15" s="1"/>
  <c r="L52" i="44"/>
  <c r="L58" i="44" s="1"/>
  <c r="L61" i="44" s="1"/>
  <c r="B3" i="44"/>
  <c r="B5" i="44"/>
  <c r="B4" i="44"/>
  <c r="C6" i="12" l="1"/>
  <c r="C29" i="12" s="1"/>
  <c r="M3" i="21"/>
  <c r="M4" i="21" s="1"/>
  <c r="C24" i="12"/>
  <c r="B3" i="15"/>
  <c r="Q69" i="44"/>
  <c r="Q59" i="44"/>
  <c r="Q64" i="44" s="1"/>
  <c r="Q68" i="44"/>
  <c r="Q77" i="44" s="1"/>
  <c r="C35" i="12" l="1"/>
  <c r="C33" i="12" s="1"/>
  <c r="C28" i="12"/>
  <c r="C26" i="12" s="1"/>
  <c r="C31" i="12" s="1"/>
  <c r="C30" i="12" s="1"/>
  <c r="C36" i="12" l="1"/>
  <c r="B2" i="12" s="1"/>
  <c r="D19" i="9"/>
  <c r="L44" i="9" l="1"/>
  <c r="G19" i="9"/>
  <c r="D22" i="9"/>
  <c r="D8" i="70"/>
  <c r="D9" i="70" s="1"/>
  <c r="D34" i="70" s="1"/>
  <c r="B5" i="12"/>
  <c r="B4" i="12"/>
  <c r="B3" i="12"/>
  <c r="D21" i="9"/>
  <c r="D20" i="9"/>
  <c r="D33" i="70" l="1"/>
  <c r="E33" i="70" s="1"/>
  <c r="E8" i="70"/>
  <c r="E9" i="70" s="1"/>
  <c r="G20" i="9"/>
  <c r="G21" i="9"/>
  <c r="G22" i="9"/>
  <c r="N43" i="9"/>
  <c r="C32" i="9"/>
  <c r="G33" i="70" l="1"/>
  <c r="E36" i="70"/>
  <c r="E34" i="70"/>
  <c r="C42" i="9"/>
  <c r="C35" i="9"/>
  <c r="F42" i="9" s="1"/>
  <c r="O38" i="9"/>
  <c r="C33" i="9"/>
  <c r="O43" i="9"/>
  <c r="C34" i="9"/>
  <c r="D42" i="9" l="1"/>
  <c r="Q5" i="54" s="1"/>
  <c r="B47" i="63" s="1"/>
  <c r="N38" i="9"/>
  <c r="K28" i="9" s="1"/>
  <c r="M38" i="9"/>
  <c r="K27" i="9" s="1"/>
  <c r="E42" i="9"/>
  <c r="P5" i="54" s="1"/>
  <c r="B46" i="63" s="1"/>
  <c r="K26" i="9"/>
  <c r="K25" i="9"/>
  <c r="C44" i="9"/>
  <c r="D63" i="9"/>
  <c r="R5" i="54"/>
  <c r="B48" i="63" s="1"/>
  <c r="N68" i="9"/>
  <c r="D14" i="66"/>
  <c r="B5" i="66" l="1"/>
  <c r="F14" i="66"/>
  <c r="E14" i="66"/>
  <c r="N69" i="9"/>
  <c r="E44" i="9"/>
  <c r="G14" i="66"/>
  <c r="B6" i="66" s="1"/>
  <c r="D44" i="9"/>
  <c r="O39" i="9"/>
  <c r="F44" i="9"/>
  <c r="C96" i="9"/>
  <c r="C91" i="9" s="1"/>
  <c r="C82" i="9"/>
  <c r="C81" i="9" s="1"/>
  <c r="C85" i="9" s="1"/>
  <c r="C86" i="9" s="1"/>
  <c r="D72" i="9" s="1"/>
  <c r="D73" i="9"/>
  <c r="N73" i="9" s="1"/>
  <c r="C111" i="9"/>
  <c r="C104" i="9" s="1"/>
  <c r="C90" i="9"/>
  <c r="C97" i="9" s="1"/>
  <c r="D71" i="9"/>
  <c r="D66" i="9" s="1"/>
  <c r="N72" i="9" s="1"/>
  <c r="C103" i="9"/>
  <c r="D70" i="9"/>
  <c r="C113" i="9" l="1"/>
  <c r="C114" i="9" s="1"/>
  <c r="E114" i="9" s="1"/>
  <c r="E115" i="9" s="1"/>
  <c r="C98" i="9"/>
  <c r="E98" i="9" s="1"/>
  <c r="E99" i="9" s="1"/>
  <c r="K29" i="9"/>
  <c r="K30" i="9" s="1"/>
  <c r="R6" i="54"/>
  <c r="B50" i="63" s="1"/>
  <c r="D6" i="66"/>
  <c r="C6" i="66"/>
  <c r="M86" i="9"/>
  <c r="N86" i="9" s="1"/>
  <c r="M88" i="9"/>
  <c r="N88" i="9" s="1"/>
  <c r="M85" i="9"/>
  <c r="N85" i="9" s="1"/>
  <c r="M84" i="9"/>
  <c r="N84" i="9" s="1"/>
  <c r="M87" i="9"/>
  <c r="N87" i="9" s="1"/>
  <c r="M83" i="9"/>
  <c r="N83" i="9" s="1"/>
  <c r="D5" i="66"/>
  <c r="C5" i="66"/>
  <c r="C115" i="9" l="1"/>
  <c r="D76" i="9" s="1"/>
  <c r="D74" i="9" s="1"/>
  <c r="N74" i="9" s="1"/>
  <c r="O77" i="9" s="1"/>
  <c r="O79" i="9" s="1"/>
  <c r="O80" i="9" s="1"/>
  <c r="C99" i="9"/>
  <c r="N89" i="9"/>
  <c r="O89" i="9" s="1"/>
  <c r="O78" i="9" l="1"/>
  <c r="O81"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<sst xmlns="http://schemas.openxmlformats.org/spreadsheetml/2006/main" count="8333" uniqueCount="3340">
  <si>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</si>
  <si>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</si>
  <si>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</si>
  <si>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</si>
  <si>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</si>
  <si>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</si>
  <si>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</si>
  <si>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</si>
  <si>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</si>
  <si>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</si>
  <si>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</si>
  <si>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</si>
  <si>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</si>
  <si>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</si>
  <si>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</si>
  <si>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</si>
  <si>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</si>
  <si>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</si>
  <si>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</si>
  <si>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</si>
  <si>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</si>
  <si>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</si>
  <si>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</si>
  <si>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</si>
  <si>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</si>
  <si>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</si>
  <si>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</si>
  <si>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</si>
  <si>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</si>
  <si>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</si>
  <si>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</si>
  <si>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</si>
  <si>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</si>
  <si>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</si>
  <si>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</si>
  <si>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</si>
  <si>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</si>
  <si>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</si>
  <si>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</si>
  <si>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</si>
  <si>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</si>
  <si>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</si>
  <si>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</si>
  <si>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</si>
  <si>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</si>
  <si>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</si>
  <si>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</si>
  <si>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</si>
  <si>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</si>
  <si>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</si>
  <si>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</si>
  <si>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</si>
  <si>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</si>
  <si>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</si>
  <si>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</si>
  <si>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</si>
  <si>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</si>
  <si>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</si>
  <si>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</si>
  <si>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</si>
  <si>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</si>
  <si>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</si>
  <si>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</si>
  <si>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</si>
  <si>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</si>
  <si>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</si>
  <si>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</si>
  <si>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</si>
  <si>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</si>
  <si>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</si>
  <si>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</si>
  <si>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</si>
  <si>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</si>
  <si>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</si>
  <si>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</si>
  <si>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</si>
  <si>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</si>
  <si>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</si>
  <si>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</si>
  <si>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</si>
  <si>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</si>
  <si>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</si>
  <si>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</si>
  <si>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</si>
  <si>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</si>
  <si>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</si>
  <si>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</si>
  <si>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</si>
  <si>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</si>
  <si>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</si>
  <si>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</si>
  <si>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</si>
  <si>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</si>
  <si>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</si>
  <si>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</si>
  <si>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</si>
  <si>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</si>
  <si>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</si>
  <si>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</si>
  <si>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</si>
  <si>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</si>
  <si>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</si>
  <si>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</si>
  <si>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</si>
  <si>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</si>
  <si>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</si>
  <si>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</si>
  <si>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</si>
  <si>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</si>
  <si>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</si>
  <si>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</si>
  <si>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</si>
  <si>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</si>
  <si>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</si>
  <si>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</si>
  <si>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</si>
  <si>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</si>
  <si>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</si>
  <si>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</si>
  <si>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</si>
  <si>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</si>
  <si>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</si>
  <si>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</si>
  <si>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</si>
  <si>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</si>
  <si>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</si>
  <si>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</si>
  <si>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</si>
  <si>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</si>
  <si>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</si>
  <si>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</si>
  <si>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</si>
  <si>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</si>
  <si>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</si>
  <si>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</si>
  <si>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</si>
  <si>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</si>
  <si>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</si>
  <si>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</si>
  <si>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</si>
  <si>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</si>
  <si>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</si>
  <si>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</si>
  <si>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</si>
  <si>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</si>
  <si>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</si>
  <si>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</si>
  <si>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</si>
  <si>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</si>
  <si>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</si>
  <si>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</si>
  <si>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</si>
  <si>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</si>
  <si>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</si>
  <si>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</si>
  <si>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</si>
  <si>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</si>
  <si>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</si>
  <si>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</si>
  <si>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</si>
  <si>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</si>
  <si>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</si>
  <si>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</si>
  <si>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</si>
  <si>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</si>
  <si>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</si>
  <si>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</si>
  <si>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</si>
  <si>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</si>
  <si>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</si>
  <si>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</si>
  <si>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</si>
  <si>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</si>
  <si>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</si>
  <si>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</si>
  <si>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</si>
  <si>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</si>
  <si>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</si>
  <si>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</si>
  <si>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</si>
  <si>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</si>
  <si>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</si>
  <si>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</si>
  <si>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</si>
  <si>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</si>
  <si>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</si>
  <si>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</si>
  <si>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</si>
  <si>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</si>
  <si>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</si>
  <si>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</si>
  <si>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</si>
  <si>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</si>
  <si>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</si>
  <si>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</si>
  <si>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</si>
  <si>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</si>
  <si>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</si>
  <si>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</si>
  <si>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</si>
  <si>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</si>
  <si>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</si>
  <si>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</si>
  <si>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</si>
  <si>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</si>
  <si>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</si>
  <si>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</si>
  <si>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</si>
  <si>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</si>
  <si>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</si>
  <si>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</si>
  <si>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</si>
  <si>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</si>
  <si>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</si>
  <si>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</si>
  <si>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</si>
  <si>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</si>
  <si>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</si>
  <si>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</si>
  <si>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</si>
  <si>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</si>
  <si>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</si>
  <si>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</si>
  <si>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</si>
  <si>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</si>
  <si>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</si>
  <si>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</si>
  <si>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</si>
  <si>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</si>
  <si>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</si>
  <si>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</si>
  <si>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</si>
  <si>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</si>
  <si>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</si>
  <si>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</si>
  <si>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</si>
  <si>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</si>
  <si>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</si>
  <si>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</si>
  <si>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</si>
  <si>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</si>
  <si>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</si>
  <si>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</si>
  <si>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</si>
  <si>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</si>
  <si>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</si>
  <si>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</si>
  <si>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</si>
  <si>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</si>
  <si>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</si>
  <si>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</si>
  <si>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</si>
  <si>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</si>
  <si>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</si>
  <si>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</si>
  <si>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</si>
  <si>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</si>
  <si>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</si>
  <si>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</si>
  <si>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</si>
  <si>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</si>
  <si>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</si>
  <si>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</si>
  <si>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</si>
  <si>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</si>
  <si>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</si>
  <si>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</si>
  <si>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</si>
  <si>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</si>
  <si>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</si>
  <si>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</si>
  <si>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</si>
  <si>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</si>
  <si>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</si>
  <si>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</si>
  <si>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</si>
  <si>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</si>
  <si>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</si>
  <si>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</si>
  <si>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</si>
  <si>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</si>
  <si>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</si>
  <si>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</si>
  <si>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</si>
  <si>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</si>
  <si>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</si>
  <si>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</si>
  <si>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</si>
  <si>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</si>
  <si>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</si>
  <si>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</si>
  <si>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</si>
  <si>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</si>
  <si>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</si>
  <si>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</si>
  <si>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</si>
  <si>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</si>
  <si>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</si>
  <si>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</si>
  <si>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</si>
  <si>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</si>
  <si>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</si>
  <si>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</si>
  <si>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</si>
  <si>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</si>
  <si>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</si>
  <si>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</si>
  <si>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</si>
  <si>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</si>
  <si>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</si>
  <si>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</si>
  <si>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</si>
  <si>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</si>
  <si>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</si>
  <si>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</si>
  <si>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</si>
  <si>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</si>
  <si>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</si>
  <si>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</si>
  <si>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</si>
  <si>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</si>
  <si>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</si>
  <si>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</si>
  <si>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</si>
  <si>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</si>
  <si>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</si>
  <si>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</si>
  <si>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</si>
  <si>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</si>
  <si>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</si>
  <si>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</si>
  <si>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</si>
  <si>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</si>
  <si>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</si>
  <si>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</si>
  <si>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</si>
  <si>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</si>
  <si>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</si>
  <si>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</si>
  <si>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</si>
  <si>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</si>
  <si>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</si>
  <si>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</si>
  <si>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</si>
  <si>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</si>
  <si>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</si>
  <si>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</si>
  <si>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</si>
  <si>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</si>
  <si>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</si>
  <si>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</si>
  <si>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</si>
  <si>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</si>
  <si>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</si>
  <si>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</si>
  <si>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</si>
  <si>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</si>
  <si>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</si>
  <si>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</si>
  <si>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</si>
  <si>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</si>
  <si>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</si>
  <si>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</si>
  <si>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</si>
  <si>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</si>
  <si>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</si>
  <si>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</si>
  <si>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</si>
  <si>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</si>
  <si>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</si>
  <si>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</si>
  <si>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</si>
  <si>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</si>
  <si>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</si>
  <si>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</si>
  <si>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</si>
  <si>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</si>
  <si>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</si>
  <si>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</si>
  <si>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</si>
  <si>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</si>
  <si>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</si>
  <si>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</si>
  <si>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</si>
  <si>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</si>
  <si>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</si>
  <si>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</si>
  <si>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</si>
  <si>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</si>
  <si>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</si>
  <si>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</si>
  <si>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</si>
  <si>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</si>
  <si>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</si>
  <si>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</si>
  <si>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</si>
  <si>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</si>
  <si>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</si>
  <si>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</si>
  <si>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</si>
  <si>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</si>
  <si>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</si>
  <si>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</si>
  <si>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</si>
  <si>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</si>
  <si>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</si>
  <si>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</si>
  <si>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</si>
  <si>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</si>
  <si>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</si>
  <si>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</si>
  <si>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</si>
  <si>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</si>
  <si>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</si>
  <si>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</si>
  <si>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</si>
  <si>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</si>
  <si>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</si>
  <si>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</si>
  <si>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</si>
  <si>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</si>
  <si>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</si>
  <si>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</si>
  <si>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</si>
  <si>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</si>
  <si>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</si>
  <si>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</si>
  <si>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</si>
  <si>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</si>
  <si>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</si>
  <si>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</si>
  <si>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</si>
  <si>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</si>
  <si>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</si>
  <si>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</si>
  <si>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</si>
  <si>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</si>
  <si>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</si>
  <si>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</si>
  <si>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</si>
  <si>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</si>
  <si>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</si>
  <si>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</si>
  <si>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</si>
  <si>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</si>
  <si>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</si>
  <si>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</si>
  <si>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</si>
  <si>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</si>
  <si>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</si>
  <si>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</si>
  <si>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</si>
  <si>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</si>
  <si>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</si>
  <si>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</si>
  <si>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</si>
  <si>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</si>
  <si>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</si>
  <si>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</si>
  <si>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</si>
  <si>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</si>
  <si>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</si>
  <si>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</si>
  <si>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</si>
  <si>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</si>
  <si>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</si>
  <si>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</si>
  <si>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</si>
  <si>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</si>
  <si>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</si>
  <si>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</si>
  <si>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</si>
  <si>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</si>
  <si>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</si>
  <si>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</si>
  <si>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</si>
  <si>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</si>
  <si>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</si>
  <si>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</si>
  <si>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</si>
  <si>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</si>
  <si>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</si>
  <si>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</si>
  <si>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</si>
  <si>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</si>
  <si>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</si>
  <si>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</si>
  <si>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</si>
  <si>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</si>
  <si>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</si>
  <si>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</si>
  <si>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</si>
  <si>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</si>
  <si>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</si>
  <si>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</si>
  <si>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</si>
  <si>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</si>
  <si>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</si>
  <si>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</si>
  <si>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</si>
  <si>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</si>
  <si>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</si>
  <si>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</si>
  <si>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</si>
  <si>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</si>
  <si>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</si>
  <si>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</si>
  <si>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</si>
  <si>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</si>
  <si>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</si>
  <si>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</si>
  <si>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</si>
  <si>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</si>
  <si>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</si>
  <si>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</si>
  <si>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</si>
  <si>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</si>
  <si>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</si>
  <si>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</si>
  <si>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</si>
  <si>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</si>
  <si>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</si>
  <si>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</si>
  <si>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</si>
  <si>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</si>
  <si>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</si>
  <si>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</si>
  <si>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</si>
  <si>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</si>
  <si>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</si>
  <si>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</si>
  <si>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</si>
  <si>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</si>
  <si>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</si>
  <si>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</si>
  <si>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</si>
  <si>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</si>
  <si>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</si>
  <si>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</si>
  <si>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</si>
  <si>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</si>
  <si>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</si>
  <si>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</si>
  <si>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</si>
  <si>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</si>
  <si>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</si>
  <si>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</si>
  <si>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</si>
  <si>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</si>
  <si>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</si>
  <si>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</si>
  <si>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</si>
  <si>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</si>
  <si>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</si>
  <si>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</si>
  <si>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</si>
  <si>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</si>
  <si>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</si>
  <si>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</si>
  <si>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</si>
  <si>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</si>
  <si>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</si>
  <si>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</si>
  <si>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</si>
  <si>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</si>
  <si>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</si>
  <si>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</si>
  <si>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</si>
  <si>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</si>
  <si>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</si>
  <si>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</si>
  <si>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</si>
  <si>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</si>
  <si>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</si>
  <si>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</si>
  <si>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</si>
  <si>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</si>
  <si>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</si>
  <si>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</si>
  <si>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</si>
  <si>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</si>
  <si>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</si>
  <si>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</si>
  <si>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</si>
  <si>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</si>
  <si>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</si>
  <si>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</si>
  <si>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</si>
  <si>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</si>
  <si>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</si>
  <si>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</si>
  <si>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</si>
  <si>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</si>
  <si>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</si>
  <si>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</si>
  <si>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</si>
  <si>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</si>
  <si>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</si>
  <si>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</si>
  <si>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</si>
  <si>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</si>
  <si>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</si>
  <si>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</si>
  <si>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</si>
  <si>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</si>
  <si>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</si>
  <si>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</si>
  <si>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</si>
  <si>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</si>
  <si>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</si>
  <si>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</si>
  <si>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</si>
  <si>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</si>
  <si>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</si>
  <si>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</si>
  <si>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</si>
  <si>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</si>
  <si>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</si>
  <si>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</si>
  <si>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</si>
  <si>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</si>
  <si>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</si>
  <si>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</si>
  <si>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</si>
  <si>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</si>
  <si>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</si>
  <si>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</si>
  <si>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</si>
  <si>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</si>
  <si>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</si>
  <si>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</si>
  <si>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</si>
  <si>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</si>
  <si>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</si>
  <si>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</si>
  <si>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</si>
  <si>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</si>
  <si>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</si>
  <si>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</si>
  <si>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</si>
  <si>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</si>
  <si>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</si>
  <si>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</si>
  <si>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</si>
  <si>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</si>
  <si>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</si>
  <si>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</si>
  <si>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</si>
  <si>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</si>
  <si>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</si>
  <si>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</si>
  <si>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</si>
  <si>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</si>
  <si>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</si>
  <si>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</si>
  <si>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</si>
  <si>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</si>
  <si>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</si>
  <si>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</si>
  <si>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</si>
  <si>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</si>
  <si>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</si>
  <si>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</si>
  <si>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</si>
  <si>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</si>
  <si>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</si>
  <si>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</si>
  <si>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</si>
  <si>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</si>
  <si>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</si>
  <si>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</si>
  <si>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</si>
  <si>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</si>
  <si>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</si>
  <si>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</si>
  <si>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</si>
  <si>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</si>
  <si>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</si>
  <si>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</si>
  <si>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</si>
  <si>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</si>
  <si>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</si>
  <si>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</si>
  <si>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</si>
  <si>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</si>
  <si>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</si>
  <si>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</si>
  <si>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</si>
  <si>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</si>
  <si>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</si>
  <si>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</si>
  <si>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</si>
  <si>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</si>
  <si>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</si>
  <si>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</si>
  <si>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</si>
  <si>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</si>
  <si>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</si>
  <si>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</si>
  <si>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</si>
  <si>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</si>
  <si>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</si>
  <si>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</si>
  <si>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</si>
  <si>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</si>
  <si>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</si>
  <si>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</si>
  <si>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</si>
  <si>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</si>
  <si>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</si>
  <si>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</si>
  <si>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</si>
  <si>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</si>
  <si>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</si>
  <si>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</si>
  <si>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</si>
  <si>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</si>
  <si>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</si>
  <si>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</si>
  <si>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</si>
  <si>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</si>
  <si>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</si>
  <si>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</si>
  <si>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</si>
  <si>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</si>
  <si>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</si>
  <si>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</si>
  <si>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</si>
  <si>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</si>
  <si>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</si>
  <si>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</si>
  <si>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</si>
  <si>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</si>
  <si>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</si>
  <si>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</si>
  <si>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</si>
  <si>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</si>
  <si>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</si>
  <si>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</si>
  <si>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</si>
  <si>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</si>
  <si>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</si>
  <si>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</si>
  <si>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</si>
  <si>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</si>
  <si>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</si>
  <si>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</si>
  <si>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</si>
  <si>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</si>
  <si>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</si>
  <si>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</si>
  <si>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</si>
  <si>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</si>
  <si>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</si>
  <si>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</si>
  <si>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</si>
  <si>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</si>
  <si>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</si>
  <si>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</si>
  <si>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</si>
  <si>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</si>
  <si>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</si>
  <si>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</si>
  <si>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</si>
  <si>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</si>
  <si>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</si>
  <si>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</si>
  <si>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</si>
  <si>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</si>
  <si>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</si>
  <si>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</si>
  <si>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</si>
  <si>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</si>
  <si>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</si>
  <si>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</si>
  <si>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</si>
  <si>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</si>
  <si>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</si>
  <si>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</si>
  <si>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</si>
  <si>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</si>
  <si>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</si>
  <si>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</si>
  <si>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</si>
  <si>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</si>
  <si>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</si>
  <si>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</si>
  <si>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</si>
  <si>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</si>
  <si>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</si>
  <si>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</si>
  <si>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</si>
  <si>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</si>
  <si>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</si>
  <si>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</si>
  <si>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</si>
  <si>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</si>
  <si>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</si>
  <si>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</si>
  <si>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</si>
  <si>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</si>
  <si>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</si>
  <si>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</si>
  <si>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</si>
  <si>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</si>
  <si>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</si>
  <si>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</si>
  <si>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</si>
  <si>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</si>
  <si>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</si>
  <si>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</si>
  <si>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</si>
  <si>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</si>
  <si>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</si>
  <si>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</si>
  <si>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</si>
  <si>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</si>
  <si>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</si>
  <si>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</si>
  <si>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</si>
  <si>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</si>
  <si>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</si>
  <si>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</si>
  <si>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</si>
  <si>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</si>
  <si>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</si>
  <si>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</si>
  <si>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</si>
  <si>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</si>
  <si>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</si>
  <si>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</si>
  <si>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</si>
  <si>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</si>
  <si>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</si>
  <si>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</si>
  <si>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</si>
  <si>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</si>
  <si>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</si>
  <si>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</si>
  <si>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</si>
  <si>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</si>
  <si>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</si>
  <si>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</si>
  <si>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</si>
  <si>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</si>
  <si>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</si>
  <si>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</si>
  <si>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</si>
  <si>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</si>
  <si>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</si>
  <si>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</si>
  <si>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</si>
  <si>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</si>
  <si>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</si>
  <si>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</si>
  <si>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</si>
  <si>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</si>
  <si>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</si>
  <si>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</si>
  <si>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</si>
  <si>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</si>
  <si>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</si>
  <si>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</si>
  <si>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</si>
  <si>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</si>
  <si>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</si>
  <si>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</si>
  <si>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</si>
  <si>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</si>
  <si>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</si>
  <si>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</si>
  <si>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</si>
  <si>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</si>
  <si>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</si>
  <si>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</si>
  <si>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</si>
  <si>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</si>
  <si>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</si>
  <si>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</si>
  <si>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</si>
  <si>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</si>
  <si>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</si>
  <si>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</si>
  <si>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</si>
  <si>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</si>
  <si>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</si>
  <si>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</si>
  <si>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</si>
  <si>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</si>
  <si>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</si>
  <si>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</si>
  <si>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</si>
  <si>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</si>
  <si>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</si>
  <si>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</si>
  <si>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</si>
  <si>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</si>
  <si>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</si>
  <si>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</si>
  <si>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</si>
  <si>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</si>
  <si>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</si>
  <si>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</si>
  <si>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</si>
  <si>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</si>
  <si>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</si>
  <si>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</si>
  <si>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</si>
  <si>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</si>
  <si>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</si>
  <si>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</si>
  <si>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</si>
  <si>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</si>
  <si>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</si>
  <si>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</si>
  <si>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</si>
  <si>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</si>
  <si>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</si>
  <si>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</si>
  <si>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</si>
  <si>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</si>
  <si>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</si>
  <si>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</si>
  <si>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</si>
  <si>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</si>
  <si>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</si>
  <si>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</si>
  <si>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</si>
  <si>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</si>
  <si>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</si>
  <si>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</si>
  <si>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</si>
  <si>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</si>
  <si>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</si>
  <si>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</si>
  <si>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</si>
  <si>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</si>
  <si>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</si>
  <si>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</si>
  <si>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</si>
  <si>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</si>
  <si>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</si>
  <si>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</si>
  <si>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</si>
  <si>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</si>
  <si>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</si>
  <si>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</si>
  <si>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</si>
  <si>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</si>
  <si>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</si>
  <si>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</si>
  <si>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</si>
  <si>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</si>
  <si>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</si>
  <si>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</si>
  <si>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</si>
  <si>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</si>
  <si>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</si>
  <si>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</si>
  <si>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</si>
  <si>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</si>
  <si>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</si>
  <si>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</si>
  <si>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</si>
  <si>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</si>
  <si>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</si>
  <si>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</si>
  <si>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</si>
  <si>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</si>
  <si>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</si>
  <si>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</si>
  <si>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</si>
  <si>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</si>
  <si>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</si>
  <si>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</si>
  <si>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</si>
  <si>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</si>
  <si>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</si>
  <si>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</si>
  <si>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</si>
  <si>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</si>
  <si>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</si>
  <si>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</si>
  <si>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</si>
  <si>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</si>
  <si>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</si>
  <si>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</si>
  <si>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</si>
  <si>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</si>
  <si>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</si>
  <si>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</si>
  <si>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</si>
  <si>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</si>
  <si>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</si>
  <si>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</si>
  <si>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</si>
  <si>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</si>
  <si>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</si>
  <si>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</si>
  <si>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</si>
  <si>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</si>
  <si>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</si>
  <si>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</si>
  <si>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</si>
  <si>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</si>
  <si>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</si>
  <si>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</si>
  <si>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</si>
  <si>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</si>
  <si>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</si>
  <si>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</si>
  <si>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</si>
  <si>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</si>
  <si>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</si>
  <si>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</si>
  <si>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</si>
  <si>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</si>
  <si>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</si>
  <si>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</si>
  <si>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</si>
  <si>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</si>
  <si>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</si>
  <si>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</si>
  <si>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</si>
  <si>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</si>
  <si>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</si>
  <si>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</si>
  <si>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</si>
  <si>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</si>
  <si>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</si>
  <si>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</si>
  <si>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</si>
  <si>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</si>
  <si>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</si>
  <si>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</si>
  <si>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</si>
  <si>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</si>
  <si>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</si>
  <si>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</si>
  <si>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</si>
  <si>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</si>
  <si>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</si>
  <si>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</si>
  <si>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</si>
  <si>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</si>
  <si>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</si>
  <si>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</si>
  <si>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</si>
  <si>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</si>
  <si>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</si>
  <si>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</si>
  <si>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</si>
  <si>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</si>
  <si>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</si>
  <si>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</si>
  <si>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</si>
  <si>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</si>
  <si>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</si>
  <si>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</si>
  <si>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</si>
  <si>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</si>
  <si>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</si>
  <si>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</si>
  <si>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</si>
  <si>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</si>
  <si>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</si>
  <si>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</si>
  <si>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</si>
  <si>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</si>
  <si>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</si>
  <si>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</si>
  <si>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</si>
  <si>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</si>
  <si>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</si>
  <si>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</si>
  <si>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</si>
  <si>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</si>
  <si>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</si>
  <si>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</si>
  <si>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</si>
  <si>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</si>
  <si>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</si>
  <si>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</si>
  <si>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</si>
  <si>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</si>
  <si>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</si>
  <si>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</si>
  <si>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</si>
  <si>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</si>
  <si>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</si>
  <si>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</si>
  <si>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</si>
  <si>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</si>
  <si>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</si>
  <si>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</si>
  <si>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</si>
  <si>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</si>
  <si>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</si>
  <si>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</si>
  <si>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</si>
  <si>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</si>
  <si>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</si>
  <si>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</si>
  <si>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</si>
  <si>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</si>
  <si>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</si>
  <si>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</si>
  <si>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</si>
  <si>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</si>
  <si>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</si>
  <si>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</si>
  <si>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</si>
  <si>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</si>
  <si>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</si>
  <si>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</si>
  <si>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</si>
  <si>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</si>
  <si>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</si>
  <si>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</si>
  <si>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</si>
  <si>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</si>
  <si>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</si>
  <si>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</si>
  <si>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</si>
  <si>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</si>
  <si>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</si>
  <si>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</si>
  <si>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</si>
  <si>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</si>
  <si>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</si>
  <si>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</si>
  <si>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</si>
  <si>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</si>
  <si>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</si>
  <si>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</si>
  <si>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</si>
  <si>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</si>
  <si>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</si>
  <si>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</si>
  <si>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</si>
  <si>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</si>
  <si>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</si>
  <si>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</si>
  <si>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</si>
  <si>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</si>
  <si>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</si>
  <si>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</si>
  <si>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</si>
  <si>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</si>
  <si>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</si>
  <si>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</si>
  <si>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</si>
  <si>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</si>
  <si>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</si>
  <si>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</si>
  <si>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</si>
  <si>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</si>
  <si>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</si>
  <si>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</si>
  <si>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</si>
  <si>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</si>
  <si>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</si>
  <si>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</si>
  <si>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</si>
  <si>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</si>
  <si>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</si>
  <si>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</si>
  <si>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</si>
  <si>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</si>
  <si>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</si>
  <si>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</si>
  <si>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</si>
  <si>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</si>
  <si>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</si>
  <si>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</si>
  <si>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</si>
  <si>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</si>
  <si>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</si>
  <si>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</si>
  <si>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</si>
  <si>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</si>
  <si>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</si>
  <si>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</si>
  <si>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</si>
  <si>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</si>
  <si>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</si>
  <si>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</si>
  <si>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</si>
  <si>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</si>
  <si>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</si>
  <si>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</si>
  <si>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</si>
  <si>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</si>
  <si>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</si>
  <si>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</si>
  <si>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</si>
  <si>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</si>
  <si>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</si>
  <si>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</si>
  <si>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</si>
  <si>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</si>
  <si>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</si>
  <si>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</si>
  <si>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</si>
  <si>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</si>
  <si>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</si>
  <si>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</si>
  <si>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</si>
  <si>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</si>
  <si>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</si>
  <si>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</si>
  <si>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</si>
  <si>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</si>
  <si>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</si>
  <si>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</si>
  <si>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</si>
  <si>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</si>
  <si>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</si>
  <si>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</si>
  <si>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</si>
  <si>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</si>
  <si>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</si>
  <si>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</si>
  <si>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</si>
  <si>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</si>
  <si>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</si>
  <si>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</si>
  <si>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</si>
  <si>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</si>
  <si>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</si>
  <si>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</si>
  <si>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</si>
  <si>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</si>
  <si>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</si>
  <si>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</si>
  <si>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</si>
  <si>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</si>
  <si>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</si>
  <si>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</si>
  <si>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</si>
  <si>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</si>
  <si>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</si>
  <si>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</si>
  <si>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</si>
  <si>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</si>
  <si>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</si>
  <si>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</si>
  <si>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</si>
  <si>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</si>
  <si>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</si>
  <si>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</si>
  <si>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</si>
  <si>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</si>
  <si>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</si>
  <si>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</si>
  <si>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</si>
  <si>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</si>
  <si>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</si>
  <si>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</si>
  <si>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</si>
  <si>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</si>
  <si>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</si>
  <si>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</si>
  <si>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</si>
  <si>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</si>
  <si>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</si>
  <si>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</si>
  <si>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</si>
  <si>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</si>
  <si>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</si>
  <si>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</si>
  <si>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</si>
  <si>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</si>
  <si>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</si>
  <si>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</si>
  <si>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</si>
  <si>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</si>
  <si>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</si>
  <si>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</si>
  <si>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</si>
  <si>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</si>
  <si>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</si>
  <si>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</si>
  <si>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</si>
  <si>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</si>
  <si>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</si>
  <si>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</si>
  <si>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</si>
  <si>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</si>
  <si>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</si>
  <si>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</si>
  <si>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</si>
  <si>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</si>
  <si>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</si>
  <si>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</si>
  <si>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</si>
  <si>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</si>
  <si>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</si>
  <si>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</si>
  <si>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</si>
  <si>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</si>
  <si>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</si>
  <si>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</si>
  <si>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</si>
  <si>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</si>
  <si>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</si>
  <si>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</si>
  <si>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</si>
  <si>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</si>
  <si>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</si>
  <si>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</si>
  <si>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</si>
  <si>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</si>
  <si>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</si>
  <si>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</si>
  <si>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</si>
  <si>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</si>
  <si>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</si>
  <si>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</si>
  <si>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</si>
  <si>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</si>
  <si>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</si>
  <si>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</si>
  <si>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</si>
  <si>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</si>
  <si>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</si>
  <si>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</si>
  <si>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</si>
  <si>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</si>
  <si>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</si>
  <si>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</si>
  <si>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</si>
  <si>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</si>
  <si>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</si>
  <si>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</si>
  <si>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</si>
  <si>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</si>
  <si>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</si>
  <si>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</si>
  <si>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</si>
  <si>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</si>
  <si>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</si>
  <si>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</si>
  <si>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</si>
  <si>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</si>
  <si>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</si>
  <si>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</si>
  <si>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</si>
  <si>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</si>
  <si>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</si>
  <si>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</si>
  <si>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</si>
  <si>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</si>
  <si>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</si>
  <si>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</si>
  <si>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</si>
  <si>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</si>
  <si>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</si>
  <si>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</si>
  <si>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</si>
  <si>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</si>
  <si>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</si>
  <si>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</si>
  <si>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</si>
  <si>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</si>
  <si>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</si>
  <si>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</si>
  <si>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</si>
  <si>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</si>
  <si>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</si>
  <si>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</si>
  <si>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</si>
  <si>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</si>
  <si>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</si>
  <si>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</si>
  <si>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</si>
  <si>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</si>
  <si>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</si>
  <si>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</si>
  <si>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</si>
  <si>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</si>
  <si>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</si>
  <si>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</si>
  <si>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</si>
  <si>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</si>
  <si>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</si>
  <si>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</si>
  <si>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</si>
  <si>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</si>
  <si>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</si>
  <si>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</si>
  <si>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</si>
  <si>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</si>
  <si>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</si>
  <si>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</si>
  <si>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</si>
  <si>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</si>
  <si>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</si>
  <si>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</si>
  <si>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</si>
  <si>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</si>
  <si>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</si>
  <si>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</si>
  <si>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</si>
  <si>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</si>
  <si>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</si>
  <si>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</si>
  <si>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</si>
  <si>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</si>
  <si>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</si>
  <si>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</si>
  <si>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</si>
  <si>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</si>
  <si>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</si>
  <si>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</si>
  <si>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</si>
  <si>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</si>
  <si>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</si>
  <si>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</si>
  <si>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</si>
  <si>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</si>
  <si>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</si>
  <si>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</si>
  <si>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</si>
  <si>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</si>
  <si>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</si>
  <si>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</si>
  <si>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</si>
  <si>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</si>
  <si>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</si>
  <si>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</si>
  <si>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</si>
  <si>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</si>
  <si>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</si>
  <si>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</si>
  <si>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</si>
  <si>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</si>
  <si>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</si>
  <si>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</si>
  <si>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</si>
  <si>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</si>
  <si>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</si>
  <si>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</si>
  <si>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</si>
  <si>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</si>
  <si>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</si>
  <si>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</si>
  <si>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</si>
  <si>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</si>
  <si>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</si>
  <si>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</si>
  <si>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</si>
  <si>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</si>
  <si>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</si>
  <si>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</si>
  <si>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</si>
  <si>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</si>
  <si>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</si>
  <si>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</si>
  <si>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</si>
  <si>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</si>
  <si>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</si>
  <si>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</si>
  <si>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</si>
  <si>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</si>
  <si>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</si>
  <si>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</si>
  <si>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</si>
  <si>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</si>
  <si>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</si>
  <si>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</si>
  <si>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</si>
  <si>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</si>
  <si>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</si>
  <si>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</si>
  <si>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</si>
  <si>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</si>
  <si>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</si>
  <si>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</si>
  <si>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</si>
  <si>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</si>
  <si>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</si>
  <si>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</si>
  <si>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</si>
  <si>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</si>
  <si>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</si>
  <si>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</si>
  <si>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</si>
  <si>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</si>
  <si>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</si>
  <si>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</si>
  <si>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</si>
  <si>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</si>
  <si>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</si>
  <si>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</si>
  <si>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</si>
  <si>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</si>
  <si>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</si>
  <si>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</si>
  <si>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</si>
  <si>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</si>
  <si>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</si>
  <si>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</si>
  <si>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</si>
  <si>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</si>
  <si>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</si>
  <si>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</si>
  <si>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</si>
  <si>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</si>
  <si>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</si>
  <si>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</si>
  <si>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</si>
  <si>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</si>
  <si>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</si>
  <si>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</si>
  <si>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</si>
  <si>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</si>
  <si>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</si>
  <si>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</si>
  <si>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</si>
  <si>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</si>
  <si>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</si>
  <si>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</si>
  <si>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</si>
  <si>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</si>
  <si>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</si>
  <si>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</si>
  <si>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</si>
  <si>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</si>
  <si>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</si>
  <si>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</si>
  <si>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</si>
  <si>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</si>
  <si>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</si>
  <si>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</si>
  <si>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</si>
  <si>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</si>
  <si>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</si>
  <si>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</si>
  <si>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</si>
  <si>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</si>
  <si>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</si>
  <si>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</si>
  <si>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</si>
  <si>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</si>
  <si>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</si>
  <si>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</si>
  <si>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</si>
  <si>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</si>
  <si>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</si>
  <si>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</si>
  <si>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</si>
  <si>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</si>
  <si>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</si>
  <si>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</si>
  <si>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</si>
  <si>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</si>
  <si>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</si>
  <si>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</si>
  <si>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</si>
  <si>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</si>
  <si>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</si>
  <si>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</si>
  <si>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</si>
  <si>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</si>
  <si>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</si>
  <si>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</si>
  <si>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</si>
  <si>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</si>
  <si>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</si>
  <si>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</si>
  <si>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</si>
  <si>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</si>
  <si>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</si>
  <si>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</si>
  <si>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</si>
  <si>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</si>
  <si>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</si>
  <si>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</si>
  <si>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</si>
  <si>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</si>
  <si>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</si>
  <si>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</si>
  <si>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</si>
  <si>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</si>
  <si>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</si>
  <si>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</si>
  <si>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</si>
  <si>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</si>
  <si>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</si>
  <si>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</si>
  <si>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</si>
  <si>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</si>
  <si>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</si>
  <si>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</si>
  <si>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</si>
  <si>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</si>
  <si>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</si>
  <si>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</si>
  <si>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</si>
  <si>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</si>
  <si>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</si>
  <si>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</si>
  <si>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</si>
  <si>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</si>
  <si>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</si>
  <si>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</si>
  <si>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</si>
  <si>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</si>
  <si>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</si>
  <si>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</si>
  <si>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</si>
  <si>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</si>
  <si>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</si>
  <si>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</si>
  <si>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</si>
  <si>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</si>
  <si>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</si>
  <si>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</si>
  <si>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</si>
  <si>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</si>
  <si>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</si>
  <si>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</si>
  <si>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</si>
  <si>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</si>
  <si>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</si>
  <si>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</si>
  <si>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</si>
  <si>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</si>
  <si>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</si>
  <si>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</si>
  <si>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</si>
  <si>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</si>
  <si>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</si>
  <si>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</si>
  <si>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</si>
  <si>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</si>
  <si>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</si>
  <si>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</si>
  <si>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</si>
  <si>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</si>
  <si>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</si>
  <si>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</si>
  <si>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</si>
  <si>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</si>
  <si>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</si>
  <si>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</si>
  <si>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</si>
  <si>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</si>
  <si>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</si>
  <si>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</si>
  <si>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</si>
  <si>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</si>
  <si>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</si>
  <si>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</si>
  <si>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</si>
  <si>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</si>
  <si>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</si>
  <si>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</si>
  <si>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</si>
  <si>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</si>
  <si>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</si>
  <si>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</si>
  <si>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</si>
  <si>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</si>
  <si>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</si>
  <si>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</si>
  <si>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</si>
  <si>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</si>
  <si>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</si>
  <si>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</si>
  <si>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</si>
  <si>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</si>
  <si>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</si>
  <si>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</si>
  <si>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</si>
  <si>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</si>
  <si>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</si>
  <si>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</si>
  <si>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</si>
  <si>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</si>
  <si>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</si>
  <si>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</si>
  <si>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</si>
  <si>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</si>
  <si>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</si>
  <si>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</si>
  <si>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</si>
  <si>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</si>
  <si>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</si>
  <si>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</si>
  <si>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</si>
  <si>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</si>
  <si>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</si>
  <si>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</si>
  <si>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</si>
  <si>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</si>
  <si>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</si>
  <si>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</si>
  <si>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</si>
  <si>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</si>
  <si>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</si>
  <si>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</si>
  <si>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</si>
  <si>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</si>
  <si>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</si>
  <si>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</si>
  <si>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</si>
  <si>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</si>
  <si>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</si>
  <si>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</si>
  <si>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</si>
  <si>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</si>
  <si>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</si>
  <si>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</si>
  <si>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</si>
  <si>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</si>
  <si>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</si>
  <si>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</si>
  <si>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</si>
  <si>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</si>
  <si>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</si>
  <si>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</si>
  <si>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</si>
  <si>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</si>
  <si>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</si>
  <si>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</si>
  <si>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</si>
  <si>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</si>
  <si>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</si>
  <si>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</si>
  <si>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</si>
  <si>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</si>
  <si>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</si>
  <si>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</si>
  <si>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</si>
  <si>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</si>
  <si>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</si>
  <si>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</si>
  <si>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</si>
  <si>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</si>
  <si>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</si>
  <si>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</si>
  <si>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</si>
  <si>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</si>
  <si>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</si>
  <si>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</si>
  <si>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</si>
  <si>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</si>
  <si>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</si>
  <si>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</si>
  <si>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</si>
  <si>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</si>
  <si>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</si>
  <si>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</si>
  <si>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</si>
  <si>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</si>
  <si>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</si>
  <si>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</si>
  <si>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</si>
  <si>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</si>
  <si>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</si>
  <si>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</si>
  <si>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</si>
  <si>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</si>
  <si>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</si>
  <si>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</si>
  <si>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</si>
  <si>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</si>
  <si>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</si>
  <si>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</si>
  <si>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</si>
  <si>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</si>
  <si>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</si>
  <si>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</si>
  <si>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</si>
  <si>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</si>
  <si>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</si>
  <si>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</si>
  <si>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</si>
  <si>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</si>
  <si>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</si>
  <si>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</si>
  <si>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</si>
  <si>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</si>
  <si>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</si>
  <si>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</si>
  <si>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</si>
  <si>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</si>
  <si>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</si>
  <si>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</si>
  <si>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</si>
  <si>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</si>
  <si>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</si>
  <si>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</si>
  <si>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</si>
  <si>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</si>
  <si>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</si>
  <si>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</si>
  <si>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</si>
  <si>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</si>
  <si>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</si>
  <si>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</si>
  <si>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</si>
  <si>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</si>
  <si>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</si>
  <si>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</si>
  <si>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</si>
  <si>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</si>
  <si>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</si>
  <si>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</si>
  <si>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</si>
  <si>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</si>
  <si>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</si>
  <si>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</si>
  <si>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</si>
  <si>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</si>
  <si>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</si>
  <si>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</si>
  <si>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</si>
  <si>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</si>
  <si>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</si>
  <si>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</si>
  <si>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</si>
  <si>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</si>
  <si>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</si>
  <si>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</si>
  <si>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</si>
  <si>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</si>
  <si>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</si>
  <si>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</si>
  <si>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</si>
  <si>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</si>
  <si>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</si>
  <si>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</si>
  <si>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</si>
  <si>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</si>
  <si>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</si>
  <si>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</si>
  <si>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</si>
  <si>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</si>
  <si>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</si>
  <si>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</si>
  <si>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</si>
  <si>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</si>
  <si>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</si>
  <si>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</si>
  <si>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</si>
  <si>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</si>
  <si>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</si>
  <si>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</si>
  <si>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</si>
  <si>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</si>
  <si>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</si>
  <si>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</si>
  <si>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</si>
  <si>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</si>
  <si>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</si>
  <si>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</si>
  <si>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</si>
  <si>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</si>
  <si>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</si>
  <si>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</si>
  <si>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</si>
  <si>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</si>
  <si>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</si>
  <si>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</si>
  <si>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</si>
  <si>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</si>
  <si>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</si>
  <si>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</si>
  <si>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</si>
  <si>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</si>
  <si>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</si>
  <si>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</si>
  <si>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</si>
  <si>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</si>
  <si>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</si>
  <si>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</si>
  <si>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</si>
  <si>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</si>
  <si>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</si>
  <si>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</si>
  <si>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</si>
  <si>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</si>
  <si>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</si>
  <si>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</si>
  <si>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</si>
  <si>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</si>
  <si>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</si>
  <si>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</si>
  <si>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</si>
  <si>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</si>
  <si>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</si>
  <si>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</si>
  <si>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</si>
  <si>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</si>
  <si>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</si>
  <si>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</si>
  <si>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</si>
  <si>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</si>
  <si>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</si>
  <si>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</si>
  <si>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</si>
  <si>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</si>
  <si>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</si>
  <si>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</si>
  <si>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</si>
  <si>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</si>
  <si>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</si>
  <si>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</si>
  <si>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</si>
  <si>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</si>
  <si>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</si>
  <si>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</si>
  <si>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</si>
  <si>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</si>
  <si>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</si>
  <si>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</si>
  <si>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</si>
  <si>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</si>
  <si>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</si>
  <si>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</si>
  <si>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</si>
  <si>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</si>
  <si>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</si>
  <si>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</si>
  <si>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</si>
  <si>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</si>
  <si>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</si>
  <si>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</si>
  <si>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</si>
  <si>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</si>
  <si>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</si>
  <si>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</si>
  <si>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</si>
  <si>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</si>
  <si>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</si>
  <si>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</si>
  <si>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</si>
  <si>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</si>
  <si>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</si>
  <si>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</si>
  <si>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</si>
  <si>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</si>
  <si>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</si>
  <si>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</si>
  <si>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</si>
  <si>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</si>
  <si>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</si>
  <si>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</si>
  <si>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</si>
  <si>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</si>
  <si>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</si>
  <si>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</si>
  <si>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</si>
  <si>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</si>
  <si>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</si>
  <si>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</si>
  <si>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</si>
  <si>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</si>
  <si>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</si>
  <si>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</si>
  <si>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</si>
  <si>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</si>
  <si>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</si>
  <si>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</si>
  <si>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</si>
  <si>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</si>
  <si>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</si>
  <si>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</si>
  <si>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</si>
  <si>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</si>
  <si>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</si>
  <si>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</si>
  <si>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</si>
  <si>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</si>
  <si>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</si>
  <si>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</si>
  <si>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</si>
  <si>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</si>
  <si>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</si>
  <si>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</si>
  <si>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</si>
  <si>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</si>
  <si>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</si>
  <si>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</si>
  <si>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</si>
  <si>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</si>
  <si>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</si>
  <si>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</si>
  <si>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</si>
  <si>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</si>
  <si>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</si>
  <si>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</si>
  <si>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</si>
  <si>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</si>
  <si>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</si>
  <si>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</si>
  <si>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</si>
  <si>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</si>
  <si>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</si>
  <si>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</si>
  <si>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</si>
  <si>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</si>
  <si>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</si>
  <si>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</si>
  <si>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</si>
  <si>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</si>
  <si>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</si>
  <si>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</si>
  <si>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</si>
  <si>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</si>
  <si>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</si>
  <si>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</si>
  <si>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</si>
  <si>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</si>
  <si>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</si>
  <si>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</si>
  <si>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</si>
  <si>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</si>
  <si>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</si>
  <si>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</si>
  <si>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</si>
  <si>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</si>
  <si>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</si>
  <si>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</si>
  <si>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</si>
  <si>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</si>
  <si>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</si>
  <si>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</si>
  <si>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</si>
  <si>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</si>
  <si>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</si>
  <si>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</si>
  <si>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</si>
  <si>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</si>
  <si>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</si>
  <si>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</si>
  <si>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</si>
  <si>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</si>
  <si>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</si>
  <si>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</si>
  <si>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</si>
  <si>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</si>
  <si>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</si>
  <si>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</si>
  <si>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</si>
  <si>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</si>
  <si>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</si>
  <si>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</si>
  <si>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</si>
  <si>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</si>
  <si>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</si>
  <si>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</si>
  <si>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</si>
  <si>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</si>
  <si>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</si>
  <si>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</si>
  <si>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</si>
  <si>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</si>
  <si>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</si>
  <si>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</si>
  <si>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</si>
  <si>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</si>
  <si>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</si>
  <si>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</si>
  <si>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</si>
  <si>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</si>
  <si>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</si>
  <si>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</si>
  <si>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</si>
  <si>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</si>
  <si>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</si>
  <si>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</si>
  <si>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</si>
  <si>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</si>
  <si>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</si>
  <si>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</si>
  <si>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</si>
  <si>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</si>
  <si>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</si>
  <si>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</si>
  <si>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</si>
  <si>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</si>
  <si>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</si>
  <si>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</si>
  <si>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</si>
  <si>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</si>
  <si>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</si>
  <si>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</si>
  <si>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</si>
  <si>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</si>
  <si>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</si>
  <si>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</si>
  <si>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</si>
  <si>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</si>
  <si>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</si>
  <si>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</si>
  <si>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</si>
  <si>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</si>
  <si>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</si>
  <si>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</si>
  <si>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</si>
  <si>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</si>
  <si>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</si>
  <si>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</si>
  <si>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</si>
  <si>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</si>
  <si>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</si>
  <si>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</si>
  <si>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</si>
  <si>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</si>
  <si>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</si>
  <si>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</si>
  <si>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</si>
  <si>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</si>
  <si>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</si>
  <si>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</si>
  <si>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</si>
  <si>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</si>
  <si>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</si>
  <si>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</si>
  <si>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</si>
  <si>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</si>
  <si>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</si>
  <si>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</si>
  <si>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</si>
  <si>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</si>
  <si>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</si>
  <si>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</si>
  <si>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</si>
  <si>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</si>
  <si>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</si>
  <si>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</si>
  <si>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</si>
  <si>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</si>
  <si>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</si>
  <si>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</si>
  <si>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</si>
  <si>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</si>
  <si>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</si>
  <si>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</si>
  <si>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</si>
  <si>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</si>
  <si>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</si>
  <si>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</si>
  <si>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</si>
  <si>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</si>
  <si>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</si>
  <si>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</si>
  <si>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</si>
  <si>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</si>
  <si>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</si>
  <si>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</si>
  <si>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</si>
  <si>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</si>
  <si>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</si>
  <si>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</si>
  <si>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</si>
  <si>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</si>
  <si>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</si>
  <si>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</si>
  <si>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</si>
  <si>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</si>
  <si>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</si>
  <si>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</si>
  <si>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</si>
  <si>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</si>
  <si>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</si>
  <si>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</si>
  <si>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</si>
  <si>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</si>
  <si>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</si>
  <si>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</si>
  <si>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</si>
  <si>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</si>
  <si>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</si>
  <si>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</si>
  <si>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</si>
  <si>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</si>
  <si>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</si>
  <si>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</si>
  <si>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</si>
  <si>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</si>
  <si>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</si>
  <si>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</si>
  <si>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</si>
  <si>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</si>
  <si>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</si>
  <si>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</si>
  <si>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</si>
  <si>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</si>
  <si>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</si>
  <si>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</si>
  <si>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</si>
  <si>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</si>
  <si>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</si>
  <si>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</si>
  <si>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</si>
  <si>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</si>
  <si>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</si>
  <si>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</si>
  <si>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</si>
  <si>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</si>
  <si>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</si>
  <si>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</si>
  <si>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</si>
  <si>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</si>
  <si>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</si>
  <si>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</si>
  <si>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</si>
  <si>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</si>
  <si>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</si>
  <si>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</si>
  <si>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</si>
  <si>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</si>
  <si>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</si>
  <si>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</si>
  <si>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</si>
  <si>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</si>
  <si>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</si>
  <si>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</si>
  <si>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</si>
  <si>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</si>
  <si>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</si>
  <si>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</si>
  <si>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</si>
  <si>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</si>
  <si>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</si>
  <si>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</si>
  <si>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</si>
  <si>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</si>
  <si>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</si>
  <si>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</si>
  <si>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</si>
  <si>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</si>
  <si>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</si>
  <si>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</si>
  <si>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</si>
  <si>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</si>
  <si>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</si>
  <si>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</si>
  <si>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</si>
  <si>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</si>
  <si>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</si>
  <si>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</si>
  <si>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</si>
  <si>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</si>
  <si>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</si>
  <si>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</si>
  <si>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</si>
  <si>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</si>
  <si>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</si>
  <si>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</si>
  <si>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</si>
  <si>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</si>
  <si>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</si>
  <si>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</si>
  <si>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</si>
  <si>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</si>
  <si>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</si>
  <si>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</si>
  <si>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</si>
  <si>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</si>
  <si>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</si>
  <si>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</si>
  <si>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</si>
  <si>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</si>
  <si>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</si>
  <si>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</si>
  <si>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</si>
  <si>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</si>
  <si>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</si>
  <si>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</si>
  <si>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</si>
  <si>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</si>
  <si>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</si>
  <si>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</si>
  <si>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</si>
  <si>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</si>
  <si>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</si>
  <si>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</si>
  <si>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</si>
  <si>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</si>
  <si>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</si>
  <si>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</si>
  <si>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</si>
  <si>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</si>
  <si>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</si>
  <si>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</si>
  <si>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</si>
  <si>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</si>
  <si>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</si>
  <si>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</si>
  <si>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</si>
  <si>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</si>
  <si>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</si>
  <si>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</si>
  <si>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</si>
  <si>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</si>
  <si>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</si>
  <si>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</si>
  <si>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</si>
  <si>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</si>
  <si>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</si>
  <si>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</si>
  <si>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</si>
  <si>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</si>
  <si>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</si>
  <si>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</si>
  <si>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</si>
  <si>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</si>
  <si>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</si>
  <si>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</si>
  <si>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</si>
  <si>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</si>
  <si>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</si>
  <si>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</si>
  <si>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</si>
  <si>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</si>
  <si>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</si>
  <si>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</si>
  <si>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</si>
  <si>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</si>
  <si>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</si>
  <si>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</si>
  <si>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</si>
  <si>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</si>
  <si>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</si>
  <si>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</si>
  <si>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</si>
  <si>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</si>
  <si>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</si>
  <si>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</si>
  <si>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</si>
  <si>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</si>
  <si>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</si>
  <si>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</si>
  <si>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</si>
  <si>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</si>
  <si>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</si>
  <si>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</si>
  <si>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</si>
  <si>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</si>
  <si>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</si>
  <si>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</si>
  <si>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</si>
  <si>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</si>
  <si>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</si>
  <si>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</si>
  <si>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</si>
  <si>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</si>
  <si>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</si>
  <si>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</si>
  <si>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</si>
  <si>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</si>
  <si>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</si>
  <si>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</si>
  <si>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</si>
  <si>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</si>
  <si>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</si>
  <si>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</si>
  <si>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</si>
  <si>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</si>
  <si>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</si>
  <si>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</si>
  <si>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</si>
  <si>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</si>
  <si>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</si>
  <si>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</si>
  <si>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</si>
  <si>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</si>
  <si>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</si>
  <si>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</si>
  <si>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</si>
  <si>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</si>
  <si>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</si>
  <si>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</si>
  <si>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</si>
  <si>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</si>
  <si>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</si>
  <si>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</si>
  <si>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</si>
  <si>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</si>
  <si>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</si>
  <si>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</si>
  <si>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</si>
  <si>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</si>
  <si>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</si>
  <si>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</si>
  <si>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</si>
  <si>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</si>
  <si>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</si>
  <si>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</si>
  <si>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</si>
  <si>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</si>
  <si>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</si>
  <si>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</si>
  <si>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</si>
  <si>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</si>
  <si>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</si>
  <si>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</si>
  <si>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</si>
  <si>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</si>
  <si>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</si>
  <si>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</si>
  <si>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</si>
  <si>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</si>
  <si>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</si>
  <si>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</si>
  <si>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</si>
  <si>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</si>
  <si>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</si>
  <si>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</si>
  <si>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</si>
  <si>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</si>
  <si>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</si>
  <si>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</si>
  <si>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</si>
  <si>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</si>
  <si>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</si>
  <si>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</si>
  <si>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</si>
  <si>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</si>
  <si>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</si>
  <si>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</si>
  <si>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</si>
  <si>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</si>
  <si>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</si>
  <si>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</si>
  <si>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</si>
  <si>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</si>
  <si>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</si>
  <si>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</si>
  <si>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</si>
  <si>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</si>
  <si>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</si>
  <si>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</si>
  <si>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</si>
  <si>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</si>
  <si>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</si>
  <si>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</si>
  <si>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</si>
  <si>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</si>
  <si>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</si>
  <si>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</si>
  <si>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</si>
  <si>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</si>
  <si>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</si>
  <si>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</si>
  <si>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</si>
  <si>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</si>
  <si>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</si>
  <si>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</si>
  <si>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</si>
  <si>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</si>
  <si>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</si>
  <si>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</si>
  <si>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</si>
  <si>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</si>
  <si>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</si>
  <si>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</si>
  <si>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</si>
  <si>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</si>
  <si>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</si>
  <si>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</si>
  <si>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</si>
  <si>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</si>
  <si>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</si>
  <si>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</si>
  <si>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</si>
  <si>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</si>
  <si>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</si>
  <si>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</si>
  <si>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</si>
  <si>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</si>
  <si>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</si>
  <si>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</si>
  <si>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</si>
  <si>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</si>
  <si>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</si>
  <si>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</si>
  <si>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</si>
  <si>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</si>
  <si>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</si>
  <si>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</si>
  <si>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</si>
  <si>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</si>
  <si>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</si>
  <si>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</si>
  <si>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</si>
  <si>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</si>
  <si>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</si>
  <si>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</si>
  <si>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</si>
  <si>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</si>
  <si>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</si>
  <si>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</si>
  <si>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</si>
  <si>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</si>
  <si>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</si>
  <si>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</si>
  <si>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</si>
  <si>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</si>
  <si>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</si>
  <si>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</si>
  <si>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</si>
  <si>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</si>
  <si>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</si>
  <si>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</si>
  <si>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</si>
  <si>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</si>
  <si>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</si>
  <si>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</si>
  <si>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</si>
  <si>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</si>
  <si>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</si>
  <si>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</si>
  <si>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</si>
  <si>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</si>
  <si>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</si>
  <si>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</si>
  <si>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</si>
  <si>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</si>
  <si>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</si>
  <si>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</si>
  <si>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</si>
  <si>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</si>
  <si>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</si>
  <si>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</si>
  <si>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</si>
  <si>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</si>
  <si>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</si>
  <si>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</si>
  <si>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</si>
  <si>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</si>
  <si>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</si>
  <si>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</si>
  <si>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</si>
  <si>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</si>
  <si>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</si>
  <si>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</si>
  <si>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</si>
  <si>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</si>
  <si>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</si>
  <si>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</si>
  <si>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</si>
  <si>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</si>
  <si>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</si>
  <si>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</si>
  <si>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</si>
  <si>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</si>
  <si>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</si>
  <si>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</si>
  <si>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</si>
  <si>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</si>
  <si>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</si>
  <si>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</si>
  <si>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</si>
  <si>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</si>
  <si>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</si>
  <si>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</si>
  <si>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</si>
  <si>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</si>
  <si>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</si>
  <si>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</si>
  <si>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</si>
  <si>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</si>
  <si>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</si>
  <si>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</si>
  <si>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</si>
  <si>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</si>
  <si>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</si>
  <si>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</si>
  <si>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</si>
  <si>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</si>
  <si>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</si>
  <si>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</si>
  <si>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</si>
  <si>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</si>
  <si>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</si>
  <si>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</si>
  <si>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</si>
  <si>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</si>
  <si>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</si>
  <si>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</si>
  <si>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</si>
  <si>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</si>
  <si>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</si>
  <si>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</si>
  <si>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</si>
  <si>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</si>
  <si>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</si>
  <si>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</si>
  <si>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</si>
  <si>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</si>
  <si>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</si>
  <si>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</si>
  <si>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</si>
  <si>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</si>
  <si>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</si>
  <si>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</si>
  <si>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</si>
  <si>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</si>
  <si>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</si>
  <si>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</si>
  <si>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</si>
  <si>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</si>
  <si>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</si>
  <si>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</si>
  <si>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</si>
  <si>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</si>
  <si>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</si>
  <si>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</si>
  <si>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</si>
  <si>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</si>
  <si>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</si>
  <si>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</si>
  <si>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</si>
  <si>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</si>
  <si>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</si>
  <si>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</si>
  <si>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</si>
  <si>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</si>
  <si>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</si>
  <si>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</si>
  <si>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</si>
  <si>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</si>
  <si>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</si>
  <si>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</si>
  <si>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</si>
  <si>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</si>
  <si>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</si>
  <si>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</si>
  <si>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</si>
  <si>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</si>
  <si>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</si>
  <si>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</si>
  <si>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</si>
  <si>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</si>
  <si>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</si>
  <si>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</si>
  <si>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</si>
  <si>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</si>
  <si>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</si>
  <si>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</si>
  <si>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</si>
  <si>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</si>
  <si>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</si>
  <si>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</si>
  <si>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</si>
  <si>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</si>
  <si>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</si>
  <si>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</si>
  <si>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</si>
  <si>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</si>
  <si>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</si>
  <si>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</si>
  <si>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</si>
  <si>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</si>
  <si>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</si>
  <si>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</si>
  <si>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</si>
  <si>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</si>
  <si>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</si>
  <si>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</si>
  <si>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</si>
  <si>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</si>
  <si>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</si>
  <si>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</si>
  <si>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</si>
  <si>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</si>
  <si>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</si>
  <si>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</si>
  <si>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</si>
  <si>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</si>
  <si>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</si>
  <si>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</si>
  <si>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</si>
  <si>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</si>
  <si>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</si>
  <si>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</si>
  <si>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</si>
  <si>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</si>
  <si>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</si>
  <si>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</si>
  <si>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</si>
  <si>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</si>
  <si>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</si>
  <si>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</si>
  <si>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</si>
  <si>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</si>
  <si>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</si>
  <si>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</si>
  <si>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</si>
  <si>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</si>
  <si>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</si>
  <si>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</si>
  <si>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</si>
  <si>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</si>
  <si>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</si>
  <si>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</si>
  <si>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</si>
  <si>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</si>
  <si>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</si>
  <si>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</si>
  <si>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</si>
  <si>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</si>
  <si>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</si>
  <si>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</si>
  <si>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</si>
  <si>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</si>
  <si>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</si>
  <si>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</si>
  <si>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</si>
  <si>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</si>
  <si>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</si>
  <si>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</si>
  <si>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</si>
  <si>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</si>
  <si>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</si>
  <si>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</si>
  <si>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</si>
  <si>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</si>
  <si>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</si>
  <si>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</si>
  <si>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</si>
  <si>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</si>
  <si>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</si>
  <si>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</si>
  <si>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</si>
  <si>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</si>
  <si>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</si>
  <si>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</si>
  <si>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</si>
  <si>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</si>
  <si>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</si>
  <si>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</si>
  <si>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</si>
  <si>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</si>
  <si>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</si>
  <si>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</si>
  <si>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</si>
  <si>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</si>
  <si>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</si>
  <si>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</si>
  <si>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</si>
  <si>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</si>
  <si>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</si>
  <si>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</si>
  <si>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</si>
  <si>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</si>
  <si>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</si>
  <si>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</si>
  <si>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</si>
  <si>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</si>
  <si>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</si>
  <si>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</si>
  <si>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</si>
  <si>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</si>
  <si>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</si>
  <si>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</si>
  <si>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</si>
  <si>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</si>
  <si>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</si>
  <si>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</si>
  <si>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</si>
  <si>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</si>
  <si>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</si>
  <si>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</si>
  <si>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</si>
  <si>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</si>
  <si>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</si>
  <si>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</si>
  <si>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</si>
  <si>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</si>
  <si>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</si>
  <si>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</si>
  <si>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</si>
  <si>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</si>
  <si>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</si>
  <si>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</si>
  <si>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</si>
  <si>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</si>
  <si>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</si>
  <si>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</si>
  <si>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</si>
  <si>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</si>
  <si>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</si>
  <si>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</si>
  <si>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</si>
  <si>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</si>
  <si>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</si>
  <si>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</si>
  <si>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</si>
  <si>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</si>
  <si>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</si>
  <si>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</si>
  <si>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</si>
  <si>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</si>
  <si>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</si>
  <si>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</si>
  <si>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</si>
  <si>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</si>
  <si>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</si>
  <si>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</si>
  <si>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</si>
  <si>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</si>
  <si>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</si>
  <si>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</si>
  <si>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</si>
  <si>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</si>
  <si>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</si>
  <si>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</si>
  <si>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</si>
  <si>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</si>
  <si>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</si>
  <si>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</si>
  <si>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</si>
  <si>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</si>
  <si>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</si>
  <si>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</si>
  <si>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</si>
  <si>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</si>
  <si>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</si>
  <si>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</si>
  <si>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</si>
  <si>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</si>
  <si>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</si>
  <si>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</si>
  <si>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</si>
  <si>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</si>
  <si>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</si>
  <si>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</si>
  <si>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</si>
  <si>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</si>
  <si>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</si>
  <si>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</si>
  <si>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</si>
  <si>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</si>
  <si>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</si>
  <si>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</si>
  <si>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</si>
  <si>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</si>
  <si>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</si>
  <si>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</si>
  <si>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</si>
  <si>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</si>
  <si>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</si>
  <si>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</si>
  <si>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</si>
  <si>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</si>
  <si>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</si>
  <si>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</si>
  <si>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</si>
  <si>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</si>
  <si>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</si>
  <si>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</si>
  <si>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</si>
  <si>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</si>
  <si>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</si>
  <si>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</si>
  <si>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</si>
  <si>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</si>
  <si>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</si>
  <si>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</si>
  <si>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</si>
  <si>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</si>
  <si>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</si>
  <si>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</si>
  <si>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</si>
  <si>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</si>
  <si>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</si>
  <si>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</si>
  <si>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</si>
  <si>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</si>
  <si>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</si>
  <si>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</si>
  <si>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</si>
  <si>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</si>
  <si>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</si>
  <si>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</si>
  <si>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</si>
  <si>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</si>
  <si>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</si>
  <si>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</si>
  <si>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</si>
  <si>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</si>
  <si>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</si>
  <si>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</si>
  <si>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</si>
  <si>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</si>
  <si>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</si>
  <si>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</si>
  <si>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</si>
  <si>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</si>
  <si>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</si>
  <si>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</si>
  <si>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</si>
  <si>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</si>
  <si>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</si>
  <si>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</si>
  <si>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</si>
  <si>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</si>
  <si>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</si>
  <si>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</si>
  <si>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</si>
  <si>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</si>
  <si>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</si>
  <si>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</si>
  <si>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</si>
  <si>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</si>
  <si>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</si>
  <si>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</si>
  <si>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</si>
  <si>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</si>
  <si>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</si>
  <si>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</si>
  <si>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</si>
  <si>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</si>
  <si>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</si>
  <si>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</si>
  <si>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</si>
  <si>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</si>
  <si>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</si>
  <si>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</si>
  <si>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</si>
  <si>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</si>
  <si>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</si>
  <si>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</si>
  <si>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</si>
  <si>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</si>
  <si>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</si>
  <si>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</si>
  <si>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</si>
  <si>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</si>
  <si>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</si>
  <si>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</si>
  <si>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</si>
  <si>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</si>
  <si>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</si>
  <si>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</si>
  <si>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</si>
  <si>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</si>
  <si>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</si>
  <si>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</si>
  <si>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</si>
  <si>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</si>
  <si>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</si>
  <si>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</si>
  <si>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</si>
  <si>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</si>
  <si>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</si>
  <si>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</si>
  <si>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</si>
  <si>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</si>
  <si>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</si>
  <si>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</si>
  <si>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</si>
  <si>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</si>
  <si>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</si>
  <si>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</si>
  <si>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</si>
  <si>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</si>
  <si>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</si>
  <si>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</si>
  <si>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</si>
  <si>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</si>
  <si>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</si>
  <si>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</si>
  <si>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</si>
  <si>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</si>
  <si>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</si>
  <si>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</si>
  <si>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</si>
  <si>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</si>
  <si>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</si>
  <si>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</si>
  <si>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</si>
  <si>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</si>
  <si>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</si>
  <si>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</si>
  <si>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</si>
  <si>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</si>
  <si>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</si>
  <si>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</si>
  <si>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</si>
  <si>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</si>
  <si>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</si>
  <si>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</si>
  <si>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</si>
  <si>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</si>
  <si>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</si>
  <si>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</si>
  <si>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</si>
  <si>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</si>
  <si>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</si>
  <si>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</si>
  <si>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</si>
  <si>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</si>
  <si>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</si>
  <si>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</si>
  <si>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</si>
  <si>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</si>
  <si>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</si>
  <si>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</si>
  <si>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</si>
  <si>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</si>
  <si>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</si>
  <si>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</si>
  <si>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</si>
  <si>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</si>
  <si>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</si>
  <si>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</si>
  <si>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</si>
  <si>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</si>
  <si>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</si>
  <si>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</si>
  <si>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</si>
  <si>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</si>
  <si>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</si>
  <si>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</si>
  <si>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</si>
  <si>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</si>
  <si>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</si>
  <si>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</si>
  <si>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</si>
  <si>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</si>
  <si>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</si>
  <si>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</si>
  <si>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</si>
  <si>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</si>
  <si>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</si>
  <si>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</si>
  <si>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</si>
  <si>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</si>
  <si>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</si>
  <si>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</si>
  <si>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</si>
  <si>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</si>
  <si>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</si>
  <si>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</si>
  <si>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</si>
  <si>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</si>
  <si>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</si>
  <si>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</si>
  <si>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</si>
  <si>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</si>
  <si>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</si>
  <si>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</si>
  <si>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</si>
  <si>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</si>
  <si>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</si>
  <si>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</si>
  <si>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</si>
  <si>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</si>
  <si>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</si>
  <si>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</si>
  <si>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</si>
  <si>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</si>
  <si>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</si>
  <si>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</si>
  <si>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</si>
  <si>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</si>
  <si>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</si>
  <si>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</si>
  <si>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</si>
  <si>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</si>
  <si>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</si>
  <si>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</si>
  <si>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</si>
  <si>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</si>
  <si>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</si>
  <si>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</si>
  <si>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</si>
  <si>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</si>
  <si>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</si>
  <si>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</si>
  <si>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</si>
  <si>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</si>
  <si>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</si>
  <si>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</si>
  <si>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</si>
  <si>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</si>
  <si>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</si>
  <si>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</si>
  <si>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</si>
  <si>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</si>
  <si>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</si>
  <si>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</si>
  <si>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</si>
  <si>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</si>
  <si>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</si>
  <si>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</si>
  <si>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</si>
  <si>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</si>
  <si>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</si>
  <si>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</si>
  <si>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</si>
  <si>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</si>
  <si>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</si>
  <si>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</si>
  <si>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</si>
  <si>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</si>
  <si>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</si>
  <si>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</si>
  <si>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</si>
  <si>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</si>
  <si>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</si>
  <si>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</si>
  <si>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</si>
  <si>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</si>
  <si>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</si>
  <si>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</si>
  <si>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</si>
  <si>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</si>
  <si>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</si>
  <si>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</si>
  <si>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</si>
  <si>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</si>
  <si>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土地面积</t>
    <phoneticPr fontId="225" type="noConversion"/>
  </si>
  <si>
    <t>总建筑面积</t>
    <phoneticPr fontId="225" type="noConversion"/>
  </si>
  <si>
    <t>地上建筑面积</t>
    <phoneticPr fontId="225" type="noConversion"/>
  </si>
  <si>
    <t>住宅</t>
    <phoneticPr fontId="225" type="noConversion"/>
  </si>
  <si>
    <t>配套</t>
    <phoneticPr fontId="225" type="noConversion"/>
  </si>
  <si>
    <t>地下建筑面积</t>
    <phoneticPr fontId="225" type="noConversion"/>
  </si>
  <si>
    <t>车位个数</t>
    <phoneticPr fontId="225" type="noConversion"/>
  </si>
  <si>
    <t>容积率</t>
    <phoneticPr fontId="225" type="noConversion"/>
  </si>
  <si>
    <t>其中</t>
    <phoneticPr fontId="225" type="noConversion"/>
  </si>
  <si>
    <t>其中</t>
    <phoneticPr fontId="225" type="noConversion"/>
  </si>
  <si>
    <t>设定车位面积</t>
    <phoneticPr fontId="225" type="noConversion"/>
  </si>
  <si>
    <t>车位面积</t>
    <phoneticPr fontId="225" type="noConversion"/>
  </si>
  <si>
    <t>地下设备面积</t>
    <phoneticPr fontId="225" type="noConversion"/>
  </si>
  <si>
    <t>商业办公</t>
    <phoneticPr fontId="225" type="noConversion"/>
  </si>
  <si>
    <t>住宅</t>
    <phoneticPr fontId="225" type="noConversion"/>
  </si>
  <si>
    <t>办公</t>
    <phoneticPr fontId="225" type="noConversion"/>
  </si>
  <si>
    <t>全人才</t>
    <phoneticPr fontId="225" type="noConversion"/>
  </si>
  <si>
    <t>土地楼面单价</t>
    <phoneticPr fontId="225" type="noConversion"/>
  </si>
  <si>
    <t>地上经营用途建筑面积</t>
    <phoneticPr fontId="225" type="noConversion"/>
  </si>
  <si>
    <t>土地总价</t>
    <phoneticPr fontId="225" type="noConversion"/>
  </si>
  <si>
    <t>推算人才土地楼面单价</t>
    <phoneticPr fontId="225" type="noConversion"/>
  </si>
  <si>
    <t>估价结果</t>
    <phoneticPr fontId="225" type="noConversion"/>
  </si>
  <si>
    <t>基准地价法</t>
    <phoneticPr fontId="225" type="noConversion"/>
  </si>
  <si>
    <t>剩余法</t>
    <phoneticPr fontId="225" type="noConversion"/>
  </si>
  <si>
    <t>总价</t>
    <phoneticPr fontId="225" type="noConversion"/>
  </si>
  <si>
    <t>楼面单价</t>
    <phoneticPr fontId="225" type="noConversion"/>
  </si>
  <si>
    <t>占比</t>
    <phoneticPr fontId="225" type="noConversion"/>
  </si>
  <si>
    <t>评估总值</t>
    <phoneticPr fontId="225" type="noConversion"/>
  </si>
  <si>
    <t>地上</t>
  </si>
  <si>
    <t>地下</t>
  </si>
  <si>
    <t>车库</t>
  </si>
  <si>
    <t>住宅</t>
    <phoneticPr fontId="7" type="noConversion"/>
  </si>
  <si>
    <t>地下车库</t>
    <phoneticPr fontId="7" type="noConversion"/>
  </si>
  <si>
    <t>利息：取LPR加浮动点数</t>
  </si>
  <si>
    <t>土地（套用方法）</t>
  </si>
  <si>
    <t>按租金收入计税</t>
  </si>
  <si>
    <t>押一</t>
  </si>
  <si>
    <t>钢混</t>
  </si>
  <si>
    <t>不动产收益法</t>
  </si>
  <si>
    <t>工程进度</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</si>
  <si>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</si>
  <si>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</si>
  <si>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</si>
  <si>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</si>
  <si>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</si>
  <si>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</si>
  <si>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</si>
  <si>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</si>
  <si>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</si>
  <si>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</si>
  <si>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</si>
  <si>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</si>
  <si>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</si>
  <si>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</si>
  <si>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</si>
  <si>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</si>
  <si>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</si>
  <si>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</si>
  <si>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</si>
  <si>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</si>
  <si>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</si>
  <si>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</si>
  <si>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</si>
  <si>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</si>
  <si>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</si>
  <si>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</si>
  <si>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</si>
  <si>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</si>
  <si>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 已成交</t>
  </si>
  <si>
    <t xml:space="preserve"> 北京城市副中心投资建设集团有限公司  </t>
  </si>
  <si>
    <t>2022-02-15 15:00</t>
  </si>
  <si>
    <t>北京城市副中心0101街区FZX-0101-0902地块F3其他类多功能用地</t>
  </si>
  <si>
    <t>京土整储挂(通)[2021]096号</t>
  </si>
  <si>
    <t xml:space="preserve"> 商业/办公用地</t>
  </si>
  <si>
    <t xml:space="preserve"> F3其他类多功能用地</t>
  </si>
  <si>
    <t xml:space="preserve">--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</si>
  <si>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</si>
  <si>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</si>
  <si>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</si>
  <si>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</si>
  <si>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</si>
  <si>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</si>
  <si>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</si>
  <si>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</si>
  <si>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</si>
  <si>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</si>
  <si>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</si>
  <si>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</si>
  <si>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</si>
  <si>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</si>
  <si>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</si>
  <si>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</si>
  <si>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</si>
  <si>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</si>
  <si>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</si>
  <si>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</si>
  <si>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</si>
  <si>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</si>
  <si>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</si>
  <si>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</si>
  <si>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</si>
  <si>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</si>
  <si>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</si>
  <si>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</si>
  <si>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</si>
  <si>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</si>
  <si>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</si>
  <si>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</si>
  <si>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</si>
  <si>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</si>
  <si>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</si>
  <si>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</si>
  <si>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</si>
  <si>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</si>
  <si>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</si>
  <si>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</si>
  <si>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</si>
  <si>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</si>
  <si>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</si>
  <si>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</si>
  <si>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</si>
  <si>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</si>
  <si>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</si>
  <si>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</si>
  <si>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</si>
  <si>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</si>
  <si>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</si>
  <si>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</si>
  <si>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</si>
  <si>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</si>
  <si>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</si>
  <si>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</si>
  <si>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</si>
  <si>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</si>
  <si>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</si>
  <si>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</si>
  <si>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</si>
  <si>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</si>
  <si>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</si>
  <si>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</si>
  <si>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</si>
  <si>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</si>
  <si>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</si>
  <si>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</si>
  <si>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</si>
  <si>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</si>
  <si>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</si>
  <si>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</si>
  <si>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</si>
  <si>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</si>
  <si>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</si>
  <si>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</si>
  <si>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</si>
  <si>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</si>
  <si>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</si>
  <si>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</si>
  <si>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</si>
  <si>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</si>
  <si>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</si>
  <si>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26" type="noConversion"/>
  </si>
  <si>
    <t>一般</t>
  </si>
  <si>
    <t>一般</t>
    <phoneticPr fontId="26" type="noConversion"/>
  </si>
  <si>
    <t>一般</t>
    <phoneticPr fontId="26" type="noConversion"/>
  </si>
  <si>
    <t>较好</t>
  </si>
  <si>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</si>
  <si>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</si>
  <si>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</si>
  <si>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</si>
  <si>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</si>
  <si>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</si>
  <si>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</si>
  <si>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</si>
  <si>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</si>
  <si>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自持年限修正系数</t>
    <phoneticPr fontId="26" type="noConversion"/>
  </si>
  <si>
    <t>Ⅵ-通1</t>
  </si>
  <si>
    <t>市场比较法</t>
    <phoneticPr fontId="225" type="noConversion"/>
  </si>
  <si>
    <t>扣除补交出让金</t>
    <phoneticPr fontId="225" type="noConversion"/>
  </si>
  <si>
    <t>面积</t>
    <phoneticPr fontId="225" type="noConversion"/>
  </si>
  <si>
    <t>单价</t>
    <phoneticPr fontId="225" type="noConversion"/>
  </si>
  <si>
    <t>总价</t>
    <phoneticPr fontId="225" type="noConversion"/>
  </si>
  <si>
    <t>自持年限</t>
    <phoneticPr fontId="26" type="noConversion"/>
  </si>
  <si>
    <t>地面价</t>
    <phoneticPr fontId="225" type="noConversion"/>
  </si>
  <si>
    <t>比较法-住宅、综合</t>
  </si>
  <si>
    <r>
      <rPr>
        <sz val="11"/>
        <color theme="1"/>
        <rFont val="宋体"/>
        <family val="3"/>
        <charset val="134"/>
      </rPr>
      <t>基准地价</t>
    </r>
    <r>
      <rPr>
        <sz val="11"/>
        <color theme="1"/>
        <rFont val="Arial"/>
        <family val="2"/>
      </rPr>
      <t>-</t>
    </r>
    <r>
      <rPr>
        <sz val="11"/>
        <color theme="1"/>
        <rFont val="宋体"/>
        <family val="3"/>
        <charset val="134"/>
      </rPr>
      <t>结果链接</t>
    </r>
    <phoneticPr fontId="14" type="noConversion"/>
  </si>
  <si>
    <t>地面单价</t>
    <phoneticPr fontId="225" type="noConversion"/>
  </si>
  <si>
    <t>估价结果</t>
    <phoneticPr fontId="225" type="noConversion"/>
  </si>
  <si>
    <t>地上楼面价</t>
    <phoneticPr fontId="225" type="noConversion"/>
  </si>
  <si>
    <t>剩余法-待开发</t>
  </si>
  <si>
    <t>售价</t>
  </si>
  <si>
    <t>京洲世家</t>
    <phoneticPr fontId="3" type="noConversion"/>
  </si>
  <si>
    <t>阿尔法社区</t>
    <phoneticPr fontId="3" type="noConversion"/>
  </si>
  <si>
    <t>旗舰凯旋</t>
    <phoneticPr fontId="3" type="noConversion"/>
  </si>
  <si>
    <t>正常</t>
    <phoneticPr fontId="21" type="noConversion"/>
  </si>
  <si>
    <t>正常</t>
    <phoneticPr fontId="21" type="noConversion"/>
  </si>
  <si>
    <t>一般</t>
    <phoneticPr fontId="21" type="noConversion"/>
  </si>
  <si>
    <t>较好</t>
    <phoneticPr fontId="21" type="noConversion"/>
  </si>
  <si>
    <t>较好</t>
    <phoneticPr fontId="21" type="noConversion"/>
  </si>
  <si>
    <t>较好</t>
    <phoneticPr fontId="21" type="noConversion"/>
  </si>
  <si>
    <t>较好</t>
    <phoneticPr fontId="21" type="noConversion"/>
  </si>
  <si>
    <t>案例A</t>
    <phoneticPr fontId="225" type="noConversion"/>
  </si>
  <si>
    <t>案例B</t>
    <phoneticPr fontId="225" type="noConversion"/>
  </si>
  <si>
    <t>案例C</t>
    <phoneticPr fontId="225" type="noConversion"/>
  </si>
  <si>
    <t>金悦郡</t>
    <phoneticPr fontId="225" type="noConversion"/>
  </si>
  <si>
    <t>亦庄橡树湾</t>
    <phoneticPr fontId="225" type="noConversion"/>
  </si>
  <si>
    <t>绿城明月听籣</t>
    <phoneticPr fontId="225" type="noConversion"/>
  </si>
  <si>
    <t>七通</t>
    <phoneticPr fontId="21" type="noConversion"/>
  </si>
  <si>
    <t>七通</t>
    <phoneticPr fontId="21" type="noConversion"/>
  </si>
  <si>
    <t>七通</t>
    <phoneticPr fontId="21" type="noConversion"/>
  </si>
  <si>
    <t>一般</t>
    <phoneticPr fontId="21" type="noConversion"/>
  </si>
  <si>
    <t>住宅</t>
    <phoneticPr fontId="21" type="noConversion"/>
  </si>
  <si>
    <t>精装</t>
    <phoneticPr fontId="21" type="noConversion"/>
  </si>
  <si>
    <t>国誉未来悦</t>
  </si>
  <si>
    <t>福星惠誉·京澜誉府</t>
  </si>
  <si>
    <t>台湖金茂悦</t>
  </si>
  <si>
    <t>自持</t>
    <phoneticPr fontId="225" type="noConversion"/>
  </si>
  <si>
    <t>自定义</t>
  </si>
  <si>
    <t>精装</t>
    <phoneticPr fontId="225" type="noConversion"/>
  </si>
  <si>
    <t>毛坯</t>
  </si>
  <si>
    <t>毛坯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</si>
</sst>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b/>
      <sz val="15"/>
      <color rgb="FF303133"/>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61" fillId="0" borderId="2" xfId="0" applyFont="1" applyBorder="1">
      <alignment vertical="center"/>
    </xf>
    <xf numFmtId="0" fontId="161" fillId="0" borderId="0" xfId="0" applyFont="1">
      <alignment vertical="center"/>
    </xf>
    <xf numFmtId="0" fontId="161" fillId="7" borderId="2" xfId="0" applyFont="1" applyFill="1" applyBorder="1">
      <alignment vertical="center"/>
    </xf>
    <xf numFmtId="0" fontId="0" fillId="17" borderId="0" xfId="0" applyFill="1">
      <alignment vertical="center"/>
    </xf>
    <xf numFmtId="0" fontId="166" fillId="17" borderId="0" xfId="16" applyNumberFormat="1" applyFont="1" applyFill="1"/>
    <xf numFmtId="49" fontId="78" fillId="2" borderId="33"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5" xfId="0" applyFont="1" applyFill="1" applyBorder="1" applyAlignment="1" applyProtection="1">
      <alignment horizontal="center" vertical="center"/>
      <protection locked="0"/>
    </xf>
    <xf numFmtId="0" fontId="209" fillId="5" borderId="0" xfId="0"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0" fontId="150" fillId="0" borderId="2" xfId="0" applyNumberFormat="1" applyFont="1" applyFill="1" applyBorder="1" applyAlignment="1" applyProtection="1">
      <alignment horizontal="center" vertical="center"/>
      <protection locked="0"/>
    </xf>
    <xf numFmtId="49" fontId="78" fillId="2" borderId="62"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3" fillId="0" borderId="0" xfId="0" applyFont="1">
      <alignment vertical="center"/>
    </xf>
    <xf numFmtId="49" fontId="141" fillId="2" borderId="24"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81" fillId="12" borderId="0" xfId="0" applyNumberFormat="1" applyFont="1" applyFill="1" applyAlignment="1" applyProtection="1">
      <alignment horizontal="center" vertical="center"/>
      <protection locked="0"/>
    </xf>
    <xf numFmtId="49" fontId="141" fillId="2" borderId="9" xfId="0" applyNumberFormat="1" applyFont="1" applyFill="1" applyBorder="1" applyAlignment="1" applyProtection="1">
      <alignment horizontal="center" vertical="center" wrapText="1"/>
      <protection locked="0"/>
    </xf>
    <xf numFmtId="0" fontId="282" fillId="0" borderId="0" xfId="0" applyFont="1">
      <alignment vertical="center"/>
    </xf>
    <xf numFmtId="0" fontId="78" fillId="0" borderId="5" xfId="0"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5" xfId="0" applyFont="1" applyBorder="1" applyAlignment="1">
      <alignment horizontal="center" vertical="center"/>
    </xf>
    <xf numFmtId="0" fontId="161" fillId="0" borderId="8" xfId="0" applyFont="1" applyBorder="1" applyAlignment="1">
      <alignment horizontal="center" vertical="center"/>
    </xf>
    <xf numFmtId="0" fontId="161" fillId="0" borderId="9" xfId="0" applyFont="1" applyBorder="1" applyAlignment="1">
      <alignment horizontal="center" vertical="center"/>
    </xf>
    <xf numFmtId="0" fontId="161" fillId="0" borderId="2" xfId="0" applyFont="1" applyBorder="1" applyAlignment="1">
      <alignment horizontal="center" vertical="center"/>
    </xf>
    <xf numFmtId="0" fontId="161" fillId="0" borderId="10" xfId="0" applyFont="1" applyBorder="1" applyAlignment="1">
      <alignment horizontal="center" vertical="center"/>
    </xf>
    <xf numFmtId="0" fontId="161" fillId="0" borderId="21" xfId="0" applyFont="1" applyBorder="1" applyAlignment="1">
      <alignment horizontal="center" vertical="center"/>
    </xf>
    <xf numFmtId="0" fontId="161" fillId="0" borderId="3" xfId="0" applyFont="1" applyBorder="1" applyAlignment="1">
      <alignment horizontal="center" vertical="center"/>
    </xf>
    <xf numFmtId="0" fontId="281" fillId="0" borderId="0" xfId="16" applyNumberFormat="1" applyFont="1"/>
    <xf numFmtId="14" fontId="161" fillId="0" borderId="0" xfId="16" applyNumberFormat="1" applyFont="1"/>
    <xf numFmtId="14" fontId="161" fillId="17" borderId="0" xfId="16" applyNumberFormat="1" applyFont="1" applyFill="1"/>
    <xf numFmtId="0" fontId="281" fillId="17" borderId="0" xfId="16" applyNumberFormat="1" applyFont="1" applyFill="1"/>
    <xf numFmtId="182" fontId="82" fillId="16" borderId="25" xfId="0" applyNumberFormat="1" applyFont="1" applyFill="1" applyBorder="1" applyAlignment="1" applyProtection="1">
      <alignment horizontal="center" vertical="center"/>
      <protection locked="0"/>
    </xf>
    <xf numFmtId="178" fontId="68" fillId="16" borderId="2" xfId="2" applyNumberFormat="1" applyFont="1" applyFill="1" applyBorder="1" applyAlignment="1" applyProtection="1">
      <alignment horizontal="center" vertical="center"/>
      <protection locked="0"/>
    </xf>
    <xf numFmtId="180" fontId="82" fillId="16" borderId="12" xfId="0" applyNumberFormat="1" applyFont="1" applyFill="1" applyBorder="1" applyAlignment="1" applyProtection="1">
      <alignment horizontal="center" vertical="center"/>
    </xf>
    <xf numFmtId="182" fontId="82" fillId="16" borderId="12" xfId="0" applyNumberFormat="1" applyFont="1" applyFill="1" applyBorder="1" applyAlignment="1" applyProtection="1">
      <alignment horizontal="center" vertical="center"/>
    </xf>
    <xf numFmtId="0" fontId="78" fillId="0" borderId="7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532477</xdr:colOff>
      <xdr:row>41</xdr:row>
      <xdr:rowOff>94360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90477" cy="7123810"/>
        </a:xfrm>
        <a:prstGeom prst="rect">
          <a:avLst/>
        </a:prstGeom>
      </xdr:spPr>
    </xdr:pic>
    <xdr:clientData/>
  </xdr:twoCellAnchor>
  <xdr:twoCellAnchor editAs="oneCell">
    <xdr:from>
      <xdr:col>0</xdr:col>
      <xdr:colOff>0</xdr:colOff>
      <xdr:row>43</xdr:row>
      <xdr:rowOff>0</xdr:rowOff>
    </xdr:from>
    <xdr:to>
      <xdr:col>13</xdr:col>
      <xdr:colOff>275077</xdr:colOff>
      <xdr:row>91</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190477" cy="8257143"/>
        </a:xfrm>
        <a:prstGeom prst="rect">
          <a:avLst/>
        </a:prstGeom>
      </xdr:spPr>
    </xdr:pic>
    <xdr:clientData/>
  </xdr:twoCellAnchor>
  <xdr:twoCellAnchor editAs="oneCell">
    <xdr:from>
      <xdr:col>0</xdr:col>
      <xdr:colOff>0</xdr:colOff>
      <xdr:row>92</xdr:row>
      <xdr:rowOff>0</xdr:rowOff>
    </xdr:from>
    <xdr:to>
      <xdr:col>12</xdr:col>
      <xdr:colOff>379924</xdr:colOff>
      <xdr:row>139</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8609524" cy="8219048"/>
        </a:xfrm>
        <a:prstGeom prst="rect">
          <a:avLst/>
        </a:prstGeom>
      </xdr:spPr>
    </xdr:pic>
    <xdr:clientData/>
  </xdr:twoCellAnchor>
  <xdr:twoCellAnchor editAs="oneCell">
    <xdr:from>
      <xdr:col>0</xdr:col>
      <xdr:colOff>0</xdr:colOff>
      <xdr:row>142</xdr:row>
      <xdr:rowOff>0</xdr:rowOff>
    </xdr:from>
    <xdr:to>
      <xdr:col>11</xdr:col>
      <xdr:colOff>541915</xdr:colOff>
      <xdr:row>178</xdr:row>
      <xdr:rowOff>27800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345900"/>
          <a:ext cx="8085715" cy="6200000"/>
        </a:xfrm>
        <a:prstGeom prst="rect">
          <a:avLst/>
        </a:prstGeom>
      </xdr:spPr>
    </xdr:pic>
    <xdr:clientData/>
  </xdr:twoCellAnchor>
  <xdr:twoCellAnchor editAs="oneCell">
    <xdr:from>
      <xdr:col>0</xdr:col>
      <xdr:colOff>0</xdr:colOff>
      <xdr:row>179</xdr:row>
      <xdr:rowOff>0</xdr:rowOff>
    </xdr:from>
    <xdr:to>
      <xdr:col>16</xdr:col>
      <xdr:colOff>398629</xdr:colOff>
      <xdr:row>212</xdr:row>
      <xdr:rowOff>75484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0689550"/>
          <a:ext cx="11371429" cy="5733334"/>
        </a:xfrm>
        <a:prstGeom prst="rect">
          <a:avLst/>
        </a:prstGeom>
      </xdr:spPr>
    </xdr:pic>
    <xdr:clientData/>
  </xdr:twoCellAnchor>
  <xdr:twoCellAnchor editAs="oneCell">
    <xdr:from>
      <xdr:col>0</xdr:col>
      <xdr:colOff>0</xdr:colOff>
      <xdr:row>213</xdr:row>
      <xdr:rowOff>0</xdr:rowOff>
    </xdr:from>
    <xdr:to>
      <xdr:col>15</xdr:col>
      <xdr:colOff>322525</xdr:colOff>
      <xdr:row>245</xdr:row>
      <xdr:rowOff>113600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518850"/>
          <a:ext cx="10609525" cy="5600000"/>
        </a:xfrm>
        <a:prstGeom prst="rect">
          <a:avLst/>
        </a:prstGeom>
      </xdr:spPr>
    </xdr:pic>
    <xdr:clientData/>
  </xdr:twoCellAnchor>
  <xdr:twoCellAnchor editAs="oneCell">
    <xdr:from>
      <xdr:col>0</xdr:col>
      <xdr:colOff>0</xdr:colOff>
      <xdr:row>246</xdr:row>
      <xdr:rowOff>85725</xdr:rowOff>
    </xdr:from>
    <xdr:to>
      <xdr:col>16</xdr:col>
      <xdr:colOff>255772</xdr:colOff>
      <xdr:row>285</xdr:row>
      <xdr:rowOff>113461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2262425"/>
          <a:ext cx="11228572" cy="6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104775</xdr:rowOff>
    </xdr:from>
    <xdr:to>
      <xdr:col>13</xdr:col>
      <xdr:colOff>789443</xdr:colOff>
      <xdr:row>45</xdr:row>
      <xdr:rowOff>47182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19575"/>
          <a:ext cx="9057143" cy="3542857"/>
        </a:xfrm>
        <a:prstGeom prst="rect">
          <a:avLst/>
        </a:prstGeom>
      </xdr:spPr>
    </xdr:pic>
    <xdr:clientData/>
  </xdr:twoCellAnchor>
  <xdr:twoCellAnchor editAs="oneCell">
    <xdr:from>
      <xdr:col>0</xdr:col>
      <xdr:colOff>19050</xdr:colOff>
      <xdr:row>44</xdr:row>
      <xdr:rowOff>123825</xdr:rowOff>
    </xdr:from>
    <xdr:to>
      <xdr:col>18</xdr:col>
      <xdr:colOff>493898</xdr:colOff>
      <xdr:row>52</xdr:row>
      <xdr:rowOff>133177</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7667625"/>
          <a:ext cx="11219048" cy="1380952"/>
        </a:xfrm>
        <a:prstGeom prst="rect">
          <a:avLst/>
        </a:prstGeom>
      </xdr:spPr>
    </xdr:pic>
    <xdr:clientData/>
  </xdr:twoCellAnchor>
  <xdr:twoCellAnchor editAs="oneCell">
    <xdr:from>
      <xdr:col>0</xdr:col>
      <xdr:colOff>0</xdr:colOff>
      <xdr:row>56</xdr:row>
      <xdr:rowOff>0</xdr:rowOff>
    </xdr:from>
    <xdr:to>
      <xdr:col>18</xdr:col>
      <xdr:colOff>398658</xdr:colOff>
      <xdr:row>64</xdr:row>
      <xdr:rowOff>114114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1142858" cy="1485714"/>
        </a:xfrm>
        <a:prstGeom prst="rect">
          <a:avLst/>
        </a:prstGeom>
      </xdr:spPr>
    </xdr:pic>
    <xdr:clientData/>
  </xdr:twoCellAnchor>
  <xdr:twoCellAnchor editAs="oneCell">
    <xdr:from>
      <xdr:col>0</xdr:col>
      <xdr:colOff>0</xdr:colOff>
      <xdr:row>67</xdr:row>
      <xdr:rowOff>0</xdr:rowOff>
    </xdr:from>
    <xdr:to>
      <xdr:col>18</xdr:col>
      <xdr:colOff>408182</xdr:colOff>
      <xdr:row>92</xdr:row>
      <xdr:rowOff>47084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11152382" cy="4333334"/>
        </a:xfrm>
        <a:prstGeom prst="rect">
          <a:avLst/>
        </a:prstGeom>
      </xdr:spPr>
    </xdr:pic>
    <xdr:clientData/>
  </xdr:twoCellAnchor>
  <xdr:twoCellAnchor editAs="oneCell">
    <xdr:from>
      <xdr:col>8</xdr:col>
      <xdr:colOff>876300</xdr:colOff>
      <xdr:row>23</xdr:row>
      <xdr:rowOff>9525</xdr:rowOff>
    </xdr:from>
    <xdr:to>
      <xdr:col>22</xdr:col>
      <xdr:colOff>618131</xdr:colOff>
      <xdr:row>60</xdr:row>
      <xdr:rowOff>170637</xdr:rowOff>
    </xdr:to>
    <xdr:pic>
      <xdr:nvPicPr>
        <xdr:cNvPr id="6" name="图片 5"/>
        <xdr:cNvPicPr>
          <a:picLocks noChangeAspect="1"/>
        </xdr:cNvPicPr>
      </xdr:nvPicPr>
      <xdr:blipFill>
        <a:blip xmlns:r="http://schemas.openxmlformats.org/officeDocument/2006/relationships" r:embed="rId5"/>
        <a:stretch>
          <a:fillRect/>
        </a:stretch>
      </xdr:blipFill>
      <xdr:spPr>
        <a:xfrm>
          <a:off x="6248400" y="3952875"/>
          <a:ext cx="7952381" cy="6504762"/>
        </a:xfrm>
        <a:prstGeom prst="rect">
          <a:avLst/>
        </a:prstGeom>
      </xdr:spPr>
    </xdr:pic>
    <xdr:clientData/>
  </xdr:twoCellAnchor>
  <xdr:twoCellAnchor editAs="oneCell">
    <xdr:from>
      <xdr:col>0</xdr:col>
      <xdr:colOff>0</xdr:colOff>
      <xdr:row>95</xdr:row>
      <xdr:rowOff>0</xdr:rowOff>
    </xdr:from>
    <xdr:to>
      <xdr:col>13</xdr:col>
      <xdr:colOff>1056110</xdr:colOff>
      <xdr:row>126</xdr:row>
      <xdr:rowOff>37431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9323810" cy="5352381"/>
        </a:xfrm>
        <a:prstGeom prst="rect">
          <a:avLst/>
        </a:prstGeom>
      </xdr:spPr>
    </xdr:pic>
    <xdr:clientData/>
  </xdr:twoCellAnchor>
  <xdr:twoCellAnchor editAs="oneCell">
    <xdr:from>
      <xdr:col>0</xdr:col>
      <xdr:colOff>0</xdr:colOff>
      <xdr:row>130</xdr:row>
      <xdr:rowOff>0</xdr:rowOff>
    </xdr:from>
    <xdr:to>
      <xdr:col>18</xdr:col>
      <xdr:colOff>503420</xdr:colOff>
      <xdr:row>155</xdr:row>
      <xdr:rowOff>113750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288500"/>
          <a:ext cx="11247620" cy="4400000"/>
        </a:xfrm>
        <a:prstGeom prst="rect">
          <a:avLst/>
        </a:prstGeom>
      </xdr:spPr>
    </xdr:pic>
    <xdr:clientData/>
  </xdr:twoCellAnchor>
  <xdr:twoCellAnchor editAs="oneCell">
    <xdr:from>
      <xdr:col>0</xdr:col>
      <xdr:colOff>0</xdr:colOff>
      <xdr:row>158</xdr:row>
      <xdr:rowOff>0</xdr:rowOff>
    </xdr:from>
    <xdr:to>
      <xdr:col>17</xdr:col>
      <xdr:colOff>636840</xdr:colOff>
      <xdr:row>184</xdr:row>
      <xdr:rowOff>104205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089100"/>
          <a:ext cx="10685715" cy="4561905"/>
        </a:xfrm>
        <a:prstGeom prst="rect">
          <a:avLst/>
        </a:prstGeom>
      </xdr:spPr>
    </xdr:pic>
    <xdr:clientData/>
  </xdr:twoCellAnchor>
  <xdr:twoCellAnchor editAs="oneCell">
    <xdr:from>
      <xdr:col>0</xdr:col>
      <xdr:colOff>0</xdr:colOff>
      <xdr:row>188</xdr:row>
      <xdr:rowOff>47625</xdr:rowOff>
    </xdr:from>
    <xdr:to>
      <xdr:col>17</xdr:col>
      <xdr:colOff>398745</xdr:colOff>
      <xdr:row>214</xdr:row>
      <xdr:rowOff>75640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280225"/>
          <a:ext cx="10447620" cy="4485715"/>
        </a:xfrm>
        <a:prstGeom prst="rect">
          <a:avLst/>
        </a:prstGeom>
      </xdr:spPr>
    </xdr:pic>
    <xdr:clientData/>
  </xdr:twoCellAnchor>
  <xdr:twoCellAnchor editAs="oneCell">
    <xdr:from>
      <xdr:col>8</xdr:col>
      <xdr:colOff>1143000</xdr:colOff>
      <xdr:row>124</xdr:row>
      <xdr:rowOff>47625</xdr:rowOff>
    </xdr:from>
    <xdr:to>
      <xdr:col>27</xdr:col>
      <xdr:colOff>141546</xdr:colOff>
      <xdr:row>160</xdr:row>
      <xdr:rowOff>113521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515100" y="21307425"/>
          <a:ext cx="10638096"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598972</xdr:colOff>
      <xdr:row>40</xdr:row>
      <xdr:rowOff>84879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828572" cy="6771429"/>
        </a:xfrm>
        <a:prstGeom prst="rect">
          <a:avLst/>
        </a:prstGeom>
      </xdr:spPr>
    </xdr:pic>
    <xdr:clientData/>
  </xdr:twoCellAnchor>
  <xdr:twoCellAnchor editAs="oneCell">
    <xdr:from>
      <xdr:col>0</xdr:col>
      <xdr:colOff>9525</xdr:colOff>
      <xdr:row>43</xdr:row>
      <xdr:rowOff>19050</xdr:rowOff>
    </xdr:from>
    <xdr:to>
      <xdr:col>14</xdr:col>
      <xdr:colOff>589278</xdr:colOff>
      <xdr:row>67</xdr:row>
      <xdr:rowOff>18536</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7477125"/>
          <a:ext cx="10180953" cy="4114286"/>
        </a:xfrm>
        <a:prstGeom prst="rect">
          <a:avLst/>
        </a:prstGeom>
      </xdr:spPr>
    </xdr:pic>
    <xdr:clientData/>
  </xdr:twoCellAnchor>
  <xdr:twoCellAnchor editAs="oneCell">
    <xdr:from>
      <xdr:col>0</xdr:col>
      <xdr:colOff>0</xdr:colOff>
      <xdr:row>70</xdr:row>
      <xdr:rowOff>0</xdr:rowOff>
    </xdr:from>
    <xdr:to>
      <xdr:col>15</xdr:col>
      <xdr:colOff>265382</xdr:colOff>
      <xdr:row>94</xdr:row>
      <xdr:rowOff>113772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0552382" cy="4228572"/>
        </a:xfrm>
        <a:prstGeom prst="rect">
          <a:avLst/>
        </a:prstGeom>
      </xdr:spPr>
    </xdr:pic>
    <xdr:clientData/>
  </xdr:twoCellAnchor>
  <xdr:twoCellAnchor editAs="oneCell">
    <xdr:from>
      <xdr:col>0</xdr:col>
      <xdr:colOff>0</xdr:colOff>
      <xdr:row>97</xdr:row>
      <xdr:rowOff>0</xdr:rowOff>
    </xdr:from>
    <xdr:to>
      <xdr:col>15</xdr:col>
      <xdr:colOff>389191</xdr:colOff>
      <xdr:row>120</xdr:row>
      <xdr:rowOff>132841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87825"/>
          <a:ext cx="10676191" cy="4076191"/>
        </a:xfrm>
        <a:prstGeom prst="rect">
          <a:avLst/>
        </a:prstGeom>
      </xdr:spPr>
    </xdr:pic>
    <xdr:clientData/>
  </xdr:twoCellAnchor>
  <xdr:twoCellAnchor editAs="oneCell">
    <xdr:from>
      <xdr:col>9</xdr:col>
      <xdr:colOff>409575</xdr:colOff>
      <xdr:row>35</xdr:row>
      <xdr:rowOff>95250</xdr:rowOff>
    </xdr:from>
    <xdr:to>
      <xdr:col>25</xdr:col>
      <xdr:colOff>160585</xdr:colOff>
      <xdr:row>69</xdr:row>
      <xdr:rowOff>123083</xdr:rowOff>
    </xdr:to>
    <xdr:pic>
      <xdr:nvPicPr>
        <xdr:cNvPr id="6" name="图片 5"/>
        <xdr:cNvPicPr>
          <a:picLocks noChangeAspect="1"/>
        </xdr:cNvPicPr>
      </xdr:nvPicPr>
      <xdr:blipFill>
        <a:blip xmlns:r="http://schemas.openxmlformats.org/officeDocument/2006/relationships" r:embed="rId5"/>
        <a:stretch>
          <a:fillRect/>
        </a:stretch>
      </xdr:blipFill>
      <xdr:spPr>
        <a:xfrm>
          <a:off x="6581775" y="6096000"/>
          <a:ext cx="10723810" cy="5942858"/>
        </a:xfrm>
        <a:prstGeom prst="rect">
          <a:avLst/>
        </a:prstGeom>
      </xdr:spPr>
    </xdr:pic>
    <xdr:clientData/>
  </xdr:twoCellAnchor>
  <xdr:twoCellAnchor editAs="oneCell">
    <xdr:from>
      <xdr:col>9</xdr:col>
      <xdr:colOff>342900</xdr:colOff>
      <xdr:row>67</xdr:row>
      <xdr:rowOff>123825</xdr:rowOff>
    </xdr:from>
    <xdr:to>
      <xdr:col>24</xdr:col>
      <xdr:colOff>255901</xdr:colOff>
      <xdr:row>98</xdr:row>
      <xdr:rowOff>75521</xdr:rowOff>
    </xdr:to>
    <xdr:pic>
      <xdr:nvPicPr>
        <xdr:cNvPr id="7" name="图片 6"/>
        <xdr:cNvPicPr>
          <a:picLocks noChangeAspect="1"/>
        </xdr:cNvPicPr>
      </xdr:nvPicPr>
      <xdr:blipFill>
        <a:blip xmlns:r="http://schemas.openxmlformats.org/officeDocument/2006/relationships" r:embed="rId6"/>
        <a:stretch>
          <a:fillRect/>
        </a:stretch>
      </xdr:blipFill>
      <xdr:spPr>
        <a:xfrm>
          <a:off x="6515100" y="11696700"/>
          <a:ext cx="10200001" cy="5438096"/>
        </a:xfrm>
        <a:prstGeom prst="rect">
          <a:avLst/>
        </a:prstGeom>
      </xdr:spPr>
    </xdr:pic>
    <xdr:clientData/>
  </xdr:twoCellAnchor>
  <xdr:twoCellAnchor editAs="oneCell">
    <xdr:from>
      <xdr:col>9</xdr:col>
      <xdr:colOff>209550</xdr:colOff>
      <xdr:row>98</xdr:row>
      <xdr:rowOff>0</xdr:rowOff>
    </xdr:from>
    <xdr:to>
      <xdr:col>23</xdr:col>
      <xdr:colOff>417874</xdr:colOff>
      <xdr:row>133</xdr:row>
      <xdr:rowOff>37346</xdr:rowOff>
    </xdr:to>
    <xdr:pic>
      <xdr:nvPicPr>
        <xdr:cNvPr id="8" name="图片 7"/>
        <xdr:cNvPicPr>
          <a:picLocks noChangeAspect="1"/>
        </xdr:cNvPicPr>
      </xdr:nvPicPr>
      <xdr:blipFill>
        <a:blip xmlns:r="http://schemas.openxmlformats.org/officeDocument/2006/relationships" r:embed="rId7"/>
        <a:stretch>
          <a:fillRect/>
        </a:stretch>
      </xdr:blipFill>
      <xdr:spPr>
        <a:xfrm>
          <a:off x="6381750" y="17059275"/>
          <a:ext cx="9809524" cy="6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6890;&#24030;&#30887;&#26690;&#22253;&#183;&#21644;&#19990;&#30028;&#22303;&#22320;&#22522;&#20934;&#22320;&#20215;&#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v>99796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99796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25" customWidth="1"/>
    <col min="2" max="2" width="78.21875" style="2526" customWidth="1"/>
    <col min="3" max="18" width="9" style="2520"/>
    <col min="19" max="19" width="17.88671875" style="2520" customWidth="1"/>
    <col min="20" max="51" width="9" style="2520"/>
    <col min="52" max="52" width="13.21875" style="2520" customWidth="1"/>
    <col min="53" max="53" width="13.44140625" style="2520" bestFit="1" customWidth="1"/>
    <col min="54" max="54" width="11.6640625" style="2520" bestFit="1" customWidth="1"/>
    <col min="55" max="55" width="13.44140625" style="2520" bestFit="1" customWidth="1"/>
    <col min="56" max="16384" width="9" style="2520"/>
  </cols>
  <sheetData>
    <row r="1" spans="1:55" s="2531" customFormat="1" ht="16.2" thickBot="1">
      <c r="A1" s="2529" t="s">
        <v>2373</v>
      </c>
      <c r="B1" s="2530" t="s">
        <v>2470</v>
      </c>
    </row>
    <row r="2" spans="1:55" s="2534" customFormat="1" ht="16.2" thickTop="1">
      <c r="A2" s="2532" t="s">
        <v>2377</v>
      </c>
      <c r="B2" s="2533" t="str">
        <f>'预评函-封皮'!B37</f>
        <v>北京市出让国有建设用地使用权抵押价格预评估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6.2" thickBot="1">
      <c r="A5" s="2538" t="s">
        <v>2380</v>
      </c>
      <c r="B5" s="2539" t="str">
        <f>'预评函-封皮'!B49</f>
        <v>康正预评字号</v>
      </c>
    </row>
    <row r="6" spans="1:55" s="2540" customFormat="1" ht="16.2" thickTop="1">
      <c r="A6" s="2532" t="s">
        <v>2422</v>
      </c>
      <c r="B6" s="2533" t="str">
        <f>'预评函-1'!A4</f>
        <v>受贵公司委托，我公司对北京市出让国有建设用地使用权抵押价格进行了预评估。</v>
      </c>
      <c r="AM6" s="2541"/>
    </row>
    <row r="7" spans="1:55" s="2515" customFormat="1">
      <c r="A7" s="2516" t="s">
        <v>2374</v>
      </c>
      <c r="B7" s="2517" t="str">
        <f>'预评函-1'!A6</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2022年7月14日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根据《国有土地使用证》[]，估价对象（分摊）出让国有建设用地使用权面积为32294.89平方米。根据《建设工程规划许可证》[]、《出让合同》[]，估价对象规划建筑面积为98965.43平方米。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6.2"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估价期日：2022年7月14日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32294.89</v>
      </c>
    </row>
    <row r="44" spans="1:2">
      <c r="A44" s="2516" t="s">
        <v>2457</v>
      </c>
      <c r="B44" s="2517" t="str">
        <f>'预评函-2'!O3</f>
        <v>规划建筑面积/㎡</v>
      </c>
    </row>
    <row r="45" spans="1:2">
      <c r="A45" s="2516" t="s">
        <v>2439</v>
      </c>
      <c r="B45" s="2517">
        <f>'预评函-2'!O5</f>
        <v>98965.430000000008</v>
      </c>
    </row>
    <row r="46" spans="1:2">
      <c r="A46" s="2516" t="s">
        <v>2440</v>
      </c>
      <c r="B46" s="2517">
        <f ca="1">'预评函-2'!P5</f>
        <v>44363</v>
      </c>
    </row>
    <row r="47" spans="1:2">
      <c r="A47" s="2516" t="s">
        <v>2441</v>
      </c>
      <c r="B47" s="2517">
        <f ca="1">'预评函-2'!Q5</f>
        <v>14477</v>
      </c>
    </row>
    <row r="48" spans="1:2">
      <c r="A48" s="2516" t="s">
        <v>2442</v>
      </c>
      <c r="B48" s="2517">
        <f ca="1">'预评函-2'!R5</f>
        <v>143270</v>
      </c>
    </row>
    <row r="49" spans="1:2">
      <c r="A49" s="2516" t="s">
        <v>2458</v>
      </c>
      <c r="B49" s="2517" t="str">
        <f>'预评函-2'!A6</f>
        <v>抵押价格</v>
      </c>
    </row>
    <row r="50" spans="1:2">
      <c r="A50" s="2516" t="s">
        <v>2443</v>
      </c>
      <c r="B50" s="2517">
        <f ca="1">'预评函-2'!R6</f>
        <v>141811</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6.2" thickBot="1">
      <c r="A54" s="2538" t="s">
        <v>2445</v>
      </c>
      <c r="B54" s="2539" t="str">
        <f>'预评函-2'!R8</f>
        <v>——</v>
      </c>
    </row>
    <row r="55" spans="1:2" ht="16.2"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6.2" thickBot="1">
      <c r="A58" s="2538" t="s">
        <v>2446</v>
      </c>
      <c r="B58" s="2539" t="str">
        <f>'预评函-3'!A5</f>
        <v>4.影响价格的其他限定条件：无。</v>
      </c>
    </row>
    <row r="59" spans="1:2" ht="16.2"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综上，本次评估估价师知悉的法定优先受偿款为人民币1459万元整。</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6.2" thickBot="1">
      <c r="A68" s="2538" t="s">
        <v>2409</v>
      </c>
      <c r="B68" s="2542">
        <f>'预评函-3'!D30</f>
        <v>42558</v>
      </c>
    </row>
    <row r="69" spans="1:2" ht="16.2"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6.2" thickBot="1">
      <c r="A72" s="2538" t="s">
        <v>2408</v>
      </c>
      <c r="B72" s="2544">
        <f>'预评函-3'!B21</f>
        <v>0</v>
      </c>
    </row>
    <row r="73" spans="1:2" ht="16.2"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6.2"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43" sqref="I43"/>
    </sheetView>
  </sheetViews>
  <sheetFormatPr defaultColWidth="10" defaultRowHeight="15.6"/>
  <cols>
    <col min="1" max="1" width="15.33203125" style="1567" customWidth="1"/>
    <col min="2" max="2" width="11.33203125" style="1567" customWidth="1"/>
    <col min="3" max="3" width="12.6640625" style="1567" customWidth="1"/>
    <col min="4" max="4" width="11.21875" style="1567" customWidth="1"/>
    <col min="5" max="5" width="12.44140625" style="1567" customWidth="1"/>
    <col min="6" max="6" width="11.33203125" style="1567" customWidth="1"/>
    <col min="7" max="7" width="12.33203125" style="1567" customWidth="1"/>
    <col min="8" max="8" width="10" style="1567" customWidth="1"/>
    <col min="9" max="9" width="12.441406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6.2" thickBot="1">
      <c r="A1" s="1540" t="s">
        <v>1729</v>
      </c>
      <c r="B1" s="3524" t="str">
        <f>IF(B10="北京市","北京市",C10)&amp;F10&amp;B16&amp;"国有建设用地使用权"&amp;B9&amp;"预评估"</f>
        <v>北京市出让国有建设用地使用权抵押价格预评估</v>
      </c>
      <c r="C1" s="3525"/>
      <c r="D1" s="3525"/>
      <c r="E1" s="3525"/>
      <c r="F1" s="3525"/>
      <c r="G1" s="3525"/>
      <c r="H1" s="3525"/>
      <c r="I1" s="3526"/>
      <c r="J1" s="2981"/>
      <c r="K1" s="2263" t="str">
        <f>IF(B10="北京市","北京市",C10)&amp;F10&amp;B16&amp;"国有建设用地使用权"&amp;B9</f>
        <v>北京市出让国有建设用地使用权抵押价格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北京市出让国有建设用地使用权</v>
      </c>
      <c r="L2" s="2960"/>
      <c r="M2" s="2960"/>
      <c r="N2" s="2961"/>
      <c r="O2" s="2962"/>
      <c r="P2" s="2961"/>
      <c r="Q2" s="2961"/>
      <c r="R2" s="2961"/>
      <c r="S2" s="2961"/>
      <c r="T2" s="2961"/>
      <c r="U2" s="2961"/>
    </row>
    <row r="3" spans="1:21">
      <c r="A3" s="1542" t="s">
        <v>1731</v>
      </c>
      <c r="B3" s="1543"/>
      <c r="C3" s="2904" t="s">
        <v>1787</v>
      </c>
      <c r="D3" s="1543">
        <v>44756</v>
      </c>
      <c r="E3" s="2981"/>
      <c r="F3" s="2981"/>
      <c r="G3" s="2981"/>
      <c r="H3" s="2982"/>
      <c r="I3" s="2983"/>
      <c r="J3" s="2981"/>
      <c r="K3" s="2964"/>
      <c r="L3" s="2960"/>
      <c r="M3" s="2960"/>
      <c r="N3" s="2961"/>
      <c r="O3" s="2962"/>
      <c r="P3" s="2961"/>
      <c r="Q3" s="2961"/>
      <c r="R3" s="2961"/>
      <c r="S3" s="2961"/>
      <c r="T3" s="2961"/>
      <c r="U3" s="2961"/>
    </row>
    <row r="4" spans="1:21" ht="31.8"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6.2"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7.6">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30" t="s">
        <v>1736</v>
      </c>
      <c r="E8" s="1711" t="s">
        <v>3118</v>
      </c>
      <c r="F8" s="1553"/>
      <c r="G8" s="2982"/>
      <c r="H8" s="2982"/>
      <c r="I8" s="2985"/>
      <c r="J8" s="2981"/>
      <c r="K8" s="2964"/>
      <c r="L8" s="2960"/>
      <c r="M8" s="2960"/>
      <c r="N8" s="2961"/>
      <c r="O8" s="2962"/>
      <c r="P8" s="2961"/>
      <c r="Q8" s="2961"/>
      <c r="R8" s="2961"/>
      <c r="S8" s="2961"/>
      <c r="T8" s="2961"/>
      <c r="U8" s="2961"/>
    </row>
    <row r="9" spans="1:21" ht="16.2" thickBot="1">
      <c r="A9" s="2906" t="s">
        <v>1735</v>
      </c>
      <c r="B9" s="1554" t="s">
        <v>3118</v>
      </c>
      <c r="C9" s="1555"/>
      <c r="D9" s="3531"/>
      <c r="E9" s="1554"/>
      <c r="F9" s="1618"/>
      <c r="G9" s="2986"/>
      <c r="H9" s="2986"/>
      <c r="I9" s="2987"/>
      <c r="J9" s="2981"/>
      <c r="K9" s="2964"/>
      <c r="L9" s="2960"/>
      <c r="M9" s="2960"/>
      <c r="N9" s="2961"/>
      <c r="O9" s="2962"/>
      <c r="P9" s="2961"/>
      <c r="Q9" s="2961"/>
      <c r="R9" s="2961"/>
      <c r="S9" s="2961"/>
      <c r="T9" s="2961"/>
      <c r="U9" s="2961"/>
    </row>
    <row r="10" spans="1:21" ht="16.2" thickTop="1">
      <c r="A10" s="2907" t="s">
        <v>1791</v>
      </c>
      <c r="B10" s="1594" t="s">
        <v>1737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3119</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27"/>
      <c r="C12" s="3528"/>
      <c r="D12" s="3529"/>
      <c r="E12" s="1574" t="s">
        <v>1853</v>
      </c>
      <c r="F12" s="3545" t="s">
        <v>2602</v>
      </c>
      <c r="G12" s="3546"/>
      <c r="H12" s="3546"/>
      <c r="I12" s="3547"/>
      <c r="J12" s="2981"/>
      <c r="K12" s="2964"/>
      <c r="L12" s="2960"/>
      <c r="M12" s="2960"/>
      <c r="N12" s="2961"/>
      <c r="O12" s="2962"/>
      <c r="P12" s="2961"/>
      <c r="Q12" s="2961"/>
      <c r="R12" s="2961"/>
      <c r="S12" s="2961"/>
      <c r="T12" s="2961"/>
      <c r="U12" s="2961"/>
    </row>
    <row r="13" spans="1:21">
      <c r="A13" s="1565" t="s">
        <v>1851</v>
      </c>
      <c r="B13" s="3527"/>
      <c r="C13" s="3528"/>
      <c r="D13" s="3529"/>
      <c r="E13" s="1574" t="s">
        <v>1853</v>
      </c>
      <c r="F13" s="3545" t="s">
        <v>2603</v>
      </c>
      <c r="G13" s="3546"/>
      <c r="H13" s="3546"/>
      <c r="I13" s="3547"/>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6.8">
      <c r="A16" s="2909" t="s">
        <v>1739</v>
      </c>
      <c r="B16" s="1560" t="s">
        <v>3120</v>
      </c>
      <c r="C16" s="1574" t="s">
        <v>1740</v>
      </c>
      <c r="D16" s="2409" t="s">
        <v>1741</v>
      </c>
      <c r="E16" s="1597"/>
      <c r="F16" s="1597"/>
      <c r="G16" s="1597" t="s">
        <v>35</v>
      </c>
      <c r="H16" s="1597"/>
      <c r="I16" s="1564" t="s">
        <v>1746</v>
      </c>
      <c r="J16" s="2981"/>
      <c r="K16" s="2264" t="str">
        <f>IF(D17="","",D16&amp;TEXT(D17,"yyyy年m月d日;;"))</f>
        <v>住宅2091年5月13日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地下车库2071年5月13日</v>
      </c>
      <c r="R16" s="1574" t="str">
        <f>IF(OR(Q16="",S16=""),"","、")</f>
        <v/>
      </c>
      <c r="S16" s="2264" t="str">
        <f>IF(H17="","",H16&amp;TEXT(H17,"yyyy年m月d日;;"))</f>
        <v/>
      </c>
      <c r="T16" s="1574" t="str">
        <f>IF(OR(S16="",U16=""),"","、")</f>
        <v/>
      </c>
      <c r="U16" s="2264" t="str">
        <f>IF(I17="","",I16&amp;TEXT(I17,"yyyy年m月d日;;"))</f>
        <v/>
      </c>
    </row>
    <row r="17" spans="1:21">
      <c r="A17" s="1634"/>
      <c r="B17" s="1561"/>
      <c r="C17" s="2910" t="s">
        <v>1747</v>
      </c>
      <c r="D17" s="1575">
        <v>69896</v>
      </c>
      <c r="E17" s="1575"/>
      <c r="F17" s="1575"/>
      <c r="G17" s="1575">
        <v>62591</v>
      </c>
      <c r="H17" s="1575"/>
      <c r="I17" s="1575"/>
      <c r="J17" s="2981"/>
      <c r="K17" s="2959" t="str">
        <f>CONCATENATE(K16,L16,M16,N16,O16,P16,Q16,R16,S16,T16,,U16)</f>
        <v>住宅2091年5月13日地下车库2071年5月13日</v>
      </c>
      <c r="L17" s="2960"/>
      <c r="M17" s="2960"/>
      <c r="N17" s="2961"/>
      <c r="O17" s="2962"/>
      <c r="P17" s="2961"/>
      <c r="Q17" s="2961"/>
      <c r="R17" s="2961"/>
      <c r="S17" s="2961"/>
      <c r="T17" s="2961"/>
      <c r="U17" s="2961"/>
    </row>
    <row r="18" spans="1:21">
      <c r="A18" s="1634"/>
      <c r="B18" s="1561"/>
      <c r="C18" s="2910" t="s">
        <v>1748</v>
      </c>
      <c r="D18" s="1562">
        <v>70</v>
      </c>
      <c r="E18" s="1562"/>
      <c r="F18" s="1562"/>
      <c r="G18" s="1562">
        <v>50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68.87</v>
      </c>
      <c r="E19" s="1563" t="str">
        <f>IF(B16="出让",IF(E17="","",ROUNDDOWN(MIN((E17-$D$3)/365,E18),2)),E18)</f>
        <v/>
      </c>
      <c r="F19" s="1563" t="str">
        <f>IF(B16="出让",IF(F17="","",ROUNDDOWN(MIN((F17-$D$3)/365,F18),2)),F18)</f>
        <v/>
      </c>
      <c r="G19" s="1563">
        <f>IF(B16="出让",IF(G17="","",ROUNDDOWN(MIN((G17-$D$3)/365,G18),2)),G18)</f>
        <v>48.86</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42"/>
      <c r="E20" s="3543"/>
      <c r="F20" s="3543"/>
      <c r="G20" s="3543"/>
      <c r="H20" s="3543"/>
      <c r="I20" s="3544"/>
      <c r="J20" s="2981"/>
      <c r="K20" s="2964"/>
      <c r="L20" s="2960"/>
      <c r="M20" s="2960"/>
      <c r="N20" s="2961"/>
      <c r="O20" s="2962"/>
      <c r="P20" s="2961"/>
      <c r="Q20" s="2961"/>
      <c r="R20" s="2961"/>
      <c r="S20" s="2961"/>
      <c r="T20" s="2961"/>
      <c r="U20" s="2961"/>
    </row>
    <row r="21" spans="1:21">
      <c r="A21" s="1634" t="s">
        <v>1750</v>
      </c>
      <c r="B21" s="1635" t="s">
        <v>1751</v>
      </c>
      <c r="C21" s="1630">
        <f>'数据-汇总表'!E3</f>
        <v>98965.430000000008</v>
      </c>
      <c r="D21" s="1631" t="s">
        <v>1752</v>
      </c>
      <c r="E21" s="3532" t="s">
        <v>1790</v>
      </c>
      <c r="F21" s="3533"/>
      <c r="G21" s="3533"/>
      <c r="H21" s="3533"/>
      <c r="I21" s="3534"/>
      <c r="J21" s="2981"/>
      <c r="K21" s="2964"/>
      <c r="L21" s="2960"/>
      <c r="M21" s="2960"/>
      <c r="N21" s="2961"/>
      <c r="O21" s="2962"/>
      <c r="P21" s="2961"/>
      <c r="Q21" s="2961"/>
      <c r="R21" s="2961"/>
      <c r="S21" s="2961"/>
      <c r="T21" s="2961"/>
      <c r="U21" s="2961"/>
    </row>
    <row r="22" spans="1:21">
      <c r="A22" s="2719" t="s">
        <v>931</v>
      </c>
      <c r="B22" s="1542" t="s">
        <v>1753</v>
      </c>
      <c r="C22" s="1564">
        <f>'数据-汇总表'!D3</f>
        <v>32294.89</v>
      </c>
      <c r="D22" s="1565" t="s">
        <v>1752</v>
      </c>
      <c r="E22" s="3532" t="s">
        <v>2604</v>
      </c>
      <c r="F22" s="3533"/>
      <c r="G22" s="3533"/>
      <c r="H22" s="3533"/>
      <c r="I22" s="3534"/>
      <c r="J22" s="2981"/>
      <c r="K22" s="2964"/>
      <c r="L22" s="2960"/>
      <c r="M22" s="2960"/>
      <c r="N22" s="2961"/>
      <c r="O22" s="2962"/>
      <c r="P22" s="2961"/>
      <c r="Q22" s="2961"/>
      <c r="R22" s="2961"/>
      <c r="S22" s="2961"/>
      <c r="T22" s="2961"/>
      <c r="U22" s="2961"/>
    </row>
    <row r="23" spans="1:21" ht="47.4"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35" t="s">
        <v>1758</v>
      </c>
      <c r="C24" s="3536"/>
      <c r="D24" s="3537" t="s">
        <v>1759</v>
      </c>
      <c r="E24" s="3538"/>
      <c r="F24" s="1583" t="s">
        <v>1760</v>
      </c>
      <c r="G24" s="2981"/>
      <c r="H24" s="2981"/>
      <c r="I24" s="2985"/>
      <c r="J24" s="2981"/>
      <c r="K24" s="3523"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31.2">
      <c r="A25" s="1622"/>
      <c r="B25" s="1619" t="s">
        <v>2115</v>
      </c>
      <c r="C25" s="1584" t="s">
        <v>1762</v>
      </c>
      <c r="D25" s="1585"/>
      <c r="E25" s="1586" t="s">
        <v>931</v>
      </c>
      <c r="F25" s="1587"/>
      <c r="G25" s="2981"/>
      <c r="H25" s="2981"/>
      <c r="I25" s="2985"/>
      <c r="J25" s="2981"/>
      <c r="K25" s="3523"/>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47.4" thickBot="1">
      <c r="A26" s="1623"/>
      <c r="B26" s="1620" t="s">
        <v>1763</v>
      </c>
      <c r="C26" s="1584" t="s">
        <v>2116</v>
      </c>
      <c r="D26" s="2982"/>
      <c r="E26" s="2982"/>
      <c r="F26" s="2988"/>
      <c r="G26" s="2981"/>
      <c r="H26" s="2981"/>
      <c r="I26" s="2985"/>
      <c r="J26" s="2981"/>
      <c r="K26" s="3523"/>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6.2"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6.2" thickTop="1">
      <c r="A31" s="3550" t="s">
        <v>1793</v>
      </c>
      <c r="B31" s="1635" t="s">
        <v>1794</v>
      </c>
      <c r="C31" s="3548"/>
      <c r="D31" s="3549"/>
      <c r="E31" s="2981"/>
      <c r="F31" s="2981"/>
      <c r="G31" s="2981"/>
      <c r="H31" s="2981"/>
      <c r="I31" s="2985"/>
      <c r="J31" s="2981"/>
      <c r="K31" s="2967"/>
      <c r="L31" s="2961"/>
      <c r="M31" s="2961"/>
      <c r="N31" s="2961"/>
      <c r="O31" s="2961"/>
      <c r="P31" s="2961"/>
      <c r="Q31" s="2961"/>
      <c r="R31" s="2961"/>
      <c r="S31" s="2961"/>
      <c r="T31" s="2961"/>
      <c r="U31" s="2961"/>
    </row>
    <row r="32" spans="1:21">
      <c r="A32" s="3550"/>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50"/>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51"/>
      <c r="B34" s="1542" t="s">
        <v>1797</v>
      </c>
      <c r="C34" s="3552"/>
      <c r="D34" s="3553"/>
      <c r="E34" s="2981"/>
      <c r="F34" s="2981"/>
      <c r="G34" s="2981"/>
      <c r="H34" s="2981"/>
      <c r="I34" s="2985"/>
      <c r="J34" s="2981"/>
      <c r="K34" s="2967"/>
      <c r="L34" s="2961"/>
      <c r="M34" s="2961"/>
      <c r="N34" s="2961"/>
      <c r="O34" s="2961"/>
      <c r="P34" s="2961"/>
      <c r="Q34" s="2961"/>
      <c r="R34" s="2961"/>
      <c r="S34" s="2961"/>
      <c r="T34" s="2961"/>
      <c r="U34" s="2961"/>
    </row>
    <row r="35" spans="1:28">
      <c r="A35" s="3554" t="s">
        <v>827</v>
      </c>
      <c r="B35" s="1597"/>
      <c r="C35" s="1644" t="str">
        <f>IF(B35="场地平整","——","具体情况：")</f>
        <v>具体情况：</v>
      </c>
      <c r="D35" s="3556"/>
      <c r="E35" s="3557"/>
      <c r="F35" s="3557"/>
      <c r="G35" s="3557"/>
      <c r="H35" s="3557"/>
      <c r="I35" s="3558"/>
      <c r="J35" s="2981"/>
      <c r="K35" s="2968"/>
      <c r="L35" s="2960"/>
      <c r="M35" s="2960"/>
      <c r="N35" s="2961"/>
      <c r="O35" s="2962"/>
      <c r="P35" s="2961"/>
      <c r="Q35" s="2961"/>
      <c r="R35" s="2961"/>
      <c r="S35" s="2961"/>
      <c r="T35" s="2961"/>
      <c r="U35" s="2961"/>
    </row>
    <row r="36" spans="1:28">
      <c r="A36" s="3550"/>
      <c r="B36" s="3559" t="s">
        <v>1846</v>
      </c>
      <c r="C36" s="3560"/>
      <c r="D36" s="1660"/>
      <c r="E36" s="3561"/>
      <c r="F36" s="3561"/>
      <c r="G36" s="1565" t="str">
        <f>IF(B35="场地未平整","估价结果处理","")</f>
        <v/>
      </c>
      <c r="H36" s="3562"/>
      <c r="I36" s="3562"/>
      <c r="J36" s="2981"/>
      <c r="K36" s="2968"/>
      <c r="L36" s="2960"/>
      <c r="M36" s="2960"/>
      <c r="N36" s="2961"/>
      <c r="O36" s="2962"/>
      <c r="P36" s="2961"/>
      <c r="Q36" s="2961"/>
      <c r="R36" s="2961"/>
      <c r="S36" s="2961"/>
      <c r="T36" s="2961"/>
      <c r="U36" s="2961"/>
    </row>
    <row r="37" spans="1:28" ht="31.2">
      <c r="A37" s="3550"/>
      <c r="B37" s="3539"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50"/>
      <c r="B38" s="3540"/>
      <c r="C38" s="1550" t="s">
        <v>830</v>
      </c>
      <c r="D38" s="1659">
        <f>ROUNDDOWN(MIN(('数据-取费表'!$B$2-D37)/365,D34),1)</f>
        <v>122.6</v>
      </c>
      <c r="E38" s="1602" t="s">
        <v>831</v>
      </c>
      <c r="F38" s="2981"/>
      <c r="G38" s="2981"/>
      <c r="H38" s="2981"/>
      <c r="I38" s="2985"/>
      <c r="J38" s="2981"/>
      <c r="K38" s="2968"/>
      <c r="L38" s="2961"/>
      <c r="M38" s="2961"/>
      <c r="N38" s="2961"/>
      <c r="O38" s="2961"/>
      <c r="P38" s="2961"/>
      <c r="Q38" s="2961"/>
      <c r="R38" s="2961"/>
      <c r="S38" s="2961"/>
      <c r="T38" s="2961"/>
      <c r="U38" s="2961"/>
    </row>
    <row r="39" spans="1:28">
      <c r="A39" s="3551"/>
      <c r="B39" s="3541"/>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22" t="s">
        <v>1777</v>
      </c>
      <c r="T40" s="1606" t="str">
        <f>NUMBERSTRING(7-K40,1)&amp;"通"</f>
        <v>七通</v>
      </c>
      <c r="U40" s="2961"/>
    </row>
    <row r="41" spans="1:28">
      <c r="A41" s="1544"/>
      <c r="B41" s="3555" t="s">
        <v>1521</v>
      </c>
      <c r="C41" s="3555"/>
      <c r="D41" s="3555"/>
      <c r="E41" s="3555"/>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22"/>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t="s">
        <v>1388</v>
      </c>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t="s">
        <v>3295</v>
      </c>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46.8">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I16" sqref="AI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3.2">
      <c r="A3" s="21">
        <f>面积清单!F5</f>
        <v>32294.89</v>
      </c>
      <c r="B3" s="22">
        <f>IF(C3="否",G5-AT5,G5)</f>
        <v>98965.430000000008</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3.2">
      <c r="A5" s="26" t="s">
        <v>168</v>
      </c>
      <c r="B5" s="959"/>
      <c r="C5" s="959"/>
      <c r="D5" s="966"/>
      <c r="E5" s="27" t="s">
        <v>1</v>
      </c>
      <c r="F5" s="27">
        <f>SUM(F13:F572)</f>
        <v>0</v>
      </c>
      <c r="G5" s="27">
        <f>SUM(G13:G572)</f>
        <v>98965.430000000008</v>
      </c>
      <c r="H5" s="27">
        <f t="shared" ref="H5:AT5" si="0">SUM(H13:H641)</f>
        <v>82736.070000000007</v>
      </c>
      <c r="I5" s="27">
        <f t="shared" si="0"/>
        <v>60651.07</v>
      </c>
      <c r="J5" s="27">
        <f t="shared" si="0"/>
        <v>0</v>
      </c>
      <c r="K5" s="27">
        <f t="shared" si="0"/>
        <v>22085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16229.36</v>
      </c>
      <c r="AD5" s="27">
        <f t="shared" si="0"/>
        <v>4000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12229.36</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98965.430000000008</v>
      </c>
      <c r="BA5" s="29">
        <f t="shared" si="1"/>
        <v>82736.070000000007</v>
      </c>
      <c r="BB5" s="29">
        <f t="shared" si="1"/>
        <v>60651.07</v>
      </c>
      <c r="BC5" s="29">
        <f t="shared" si="1"/>
        <v>22085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16229.36</v>
      </c>
      <c r="BM5" s="29">
        <f t="shared" si="1"/>
        <v>4000</v>
      </c>
      <c r="BN5" s="29">
        <f t="shared" si="1"/>
        <v>0</v>
      </c>
      <c r="BO5" s="29">
        <f t="shared" si="1"/>
        <v>0</v>
      </c>
      <c r="BP5" s="29">
        <f t="shared" si="1"/>
        <v>0</v>
      </c>
      <c r="BQ5" s="29">
        <f t="shared" si="1"/>
        <v>0</v>
      </c>
      <c r="BR5" s="29">
        <f t="shared" si="1"/>
        <v>12229.36</v>
      </c>
      <c r="BS5" s="29">
        <f t="shared" si="1"/>
        <v>0</v>
      </c>
      <c r="BT5" s="30">
        <f t="shared" si="1"/>
        <v>0</v>
      </c>
    </row>
    <row r="6" spans="1:72" s="37" customFormat="1" ht="13.2">
      <c r="A6" s="26" t="s">
        <v>169</v>
      </c>
      <c r="B6" s="31"/>
      <c r="C6" s="31"/>
      <c r="D6" s="32"/>
      <c r="E6" s="27">
        <f>H6+AC6+AT6</f>
        <v>32294.899999999998</v>
      </c>
      <c r="F6" s="27" t="s">
        <v>1</v>
      </c>
      <c r="G6" s="27" t="s">
        <v>2</v>
      </c>
      <c r="H6" s="33">
        <f>SUMIF(I$12:AB$12,"总值",I6:AB6)</f>
        <v>26998.85</v>
      </c>
      <c r="I6" s="27">
        <f t="shared" ref="I6:AB6" si="2">ROUND($A$3*I5/$B$3,2)</f>
        <v>19791.96</v>
      </c>
      <c r="J6" s="27">
        <f t="shared" si="2"/>
        <v>0</v>
      </c>
      <c r="K6" s="27">
        <f t="shared" si="2"/>
        <v>7206.89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5296.05</v>
      </c>
      <c r="AD6" s="27">
        <f t="shared" ref="AD6:AS6" si="3">ROUND($A$3*AD5/$B$3,2)</f>
        <v>1305.3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3990.75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32294.89</v>
      </c>
      <c r="AZ6" s="27" t="s">
        <v>3</v>
      </c>
      <c r="BA6" s="27">
        <f>ROUND($AY$6*BA5/$AZ$5,2)</f>
        <v>26998.84</v>
      </c>
      <c r="BB6" s="27">
        <f>ROUND($AY$6*BB5/$AZ$5,2)</f>
        <v>19791.96</v>
      </c>
      <c r="BC6" s="27">
        <f t="shared" ref="BC6:BH6" si="4">ROUND($AY$6*BC5/$AZ$5,2)</f>
        <v>7206.89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5296.05</v>
      </c>
      <c r="BM6" s="27">
        <f t="shared" si="5"/>
        <v>1305.3</v>
      </c>
      <c r="BN6" s="27">
        <f t="shared" si="5"/>
        <v>0</v>
      </c>
      <c r="BO6" s="27">
        <f t="shared" si="5"/>
        <v>0</v>
      </c>
      <c r="BP6" s="27">
        <f t="shared" si="5"/>
        <v>0</v>
      </c>
      <c r="BQ6" s="27">
        <f t="shared" si="5"/>
        <v>0</v>
      </c>
      <c r="BR6" s="27">
        <f t="shared" si="5"/>
        <v>3990.75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2">
      <c r="A9" s="45"/>
      <c r="B9" s="45"/>
      <c r="C9" s="45"/>
      <c r="D9" s="45"/>
      <c r="E9" s="45"/>
      <c r="F9" s="45"/>
      <c r="G9" s="55"/>
      <c r="H9" s="58" t="s">
        <v>188</v>
      </c>
      <c r="I9" s="2652" t="s">
        <v>3149</v>
      </c>
      <c r="J9" s="51"/>
      <c r="K9" s="2652" t="s">
        <v>3150</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2">
      <c r="A10" s="45"/>
      <c r="B10" s="45"/>
      <c r="C10" s="45"/>
      <c r="D10" s="45"/>
      <c r="E10" s="45"/>
      <c r="F10" s="45"/>
      <c r="G10" s="55"/>
      <c r="H10" s="62"/>
      <c r="I10" s="2652" t="s">
        <v>902</v>
      </c>
      <c r="J10" s="51"/>
      <c r="K10" s="2654" t="s">
        <v>3151</v>
      </c>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2">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2">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2">
      <c r="A13" s="2647"/>
      <c r="B13" s="2647"/>
      <c r="C13" s="2647"/>
      <c r="D13" s="2648" t="s">
        <v>1478</v>
      </c>
      <c r="E13" s="27">
        <f t="shared" ref="E13:E20" si="6">IF($C$3="是",ROUND($A$3*G13/$B$3,2),ROUND($A$3*(G13-AT13)/$B$3,2))</f>
        <v>32294.89</v>
      </c>
      <c r="F13" s="81"/>
      <c r="G13" s="82">
        <f t="shared" ref="G13:G20" si="7">H13+AC13+AT13</f>
        <v>98965.430000000008</v>
      </c>
      <c r="H13" s="33">
        <f t="shared" ref="H13:H20" si="8">SUMIF(I$12:AB$12,"总值",I13:AB13)</f>
        <v>82736.070000000007</v>
      </c>
      <c r="I13" s="2651">
        <f>面积清单!F8</f>
        <v>60651.07</v>
      </c>
      <c r="J13" s="2651"/>
      <c r="K13" s="2651">
        <f>面积清单!I11</f>
        <v>22085</v>
      </c>
      <c r="L13" s="2651"/>
      <c r="M13" s="2651"/>
      <c r="N13" s="83"/>
      <c r="O13" s="83"/>
      <c r="P13" s="83"/>
      <c r="Q13" s="83"/>
      <c r="R13" s="83"/>
      <c r="S13" s="83"/>
      <c r="T13" s="83"/>
      <c r="U13" s="83"/>
      <c r="V13" s="83"/>
      <c r="W13" s="83"/>
      <c r="X13" s="83"/>
      <c r="Y13" s="83"/>
      <c r="Z13" s="83"/>
      <c r="AA13" s="83"/>
      <c r="AB13" s="83"/>
      <c r="AC13" s="27">
        <f t="shared" ref="AC13:AC20" si="9">SUMIF(AD$12:AS$12,"总值",AD13:AS13)</f>
        <v>16229.36</v>
      </c>
      <c r="AD13" s="2655">
        <f>面积清单!F9</f>
        <v>4000</v>
      </c>
      <c r="AE13" s="2655"/>
      <c r="AF13" s="2655"/>
      <c r="AG13" s="2655"/>
      <c r="AH13" s="2655"/>
      <c r="AI13" s="2655"/>
      <c r="AJ13" s="2655"/>
      <c r="AK13" s="2655"/>
      <c r="AL13" s="2655"/>
      <c r="AM13" s="2655"/>
      <c r="AN13" s="2655">
        <f>面积清单!J11</f>
        <v>12229.36</v>
      </c>
      <c r="AO13" s="2655"/>
      <c r="AP13" s="2655"/>
      <c r="AQ13" s="2655"/>
      <c r="AR13" s="2655"/>
      <c r="AS13" s="2655"/>
      <c r="AT13" s="2656"/>
      <c r="AU13" s="2657"/>
      <c r="AV13" s="17">
        <f t="shared" ref="AV13:AX20" si="10">A13</f>
        <v>0</v>
      </c>
      <c r="AW13" s="17">
        <f t="shared" si="10"/>
        <v>0</v>
      </c>
      <c r="AX13" s="17">
        <f t="shared" si="10"/>
        <v>0</v>
      </c>
      <c r="AY13" s="966">
        <f t="shared" ref="AY13:AY20" si="11">ROUND($AY$6*AZ13/$AZ$5,2)</f>
        <v>32294.89</v>
      </c>
      <c r="AZ13" s="27">
        <f t="shared" ref="AZ13:AZ20" si="12">BA13+BL13</f>
        <v>98965.430000000008</v>
      </c>
      <c r="BA13" s="27">
        <f t="shared" ref="BA13:BA20" si="13">SUM(BB13:BK13)</f>
        <v>82736.070000000007</v>
      </c>
      <c r="BB13" s="27">
        <f t="shared" ref="BB13:BB20" si="14">IF($D13="是",I13-J13,0)</f>
        <v>60651.07</v>
      </c>
      <c r="BC13" s="27">
        <f t="shared" ref="BC13:BC20" si="15">IF($D13="是",K13-L13,0)</f>
        <v>22085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16229.36</v>
      </c>
      <c r="BM13" s="27">
        <f t="shared" ref="BM13:BM20" si="25">IF($D13="是",AD13-AE13,0)</f>
        <v>4000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12229.36</v>
      </c>
      <c r="BS13" s="27">
        <f t="shared" ref="BS13:BS20" si="31">IF($D13="是",AP13-AQ13,0)</f>
        <v>0</v>
      </c>
      <c r="BT13" s="36">
        <f t="shared" ref="BT13:BT20" si="32">IF($D13="是",AR13-AS13,0)</f>
        <v>0</v>
      </c>
    </row>
    <row r="14" spans="1:72" s="18" customFormat="1" ht="13.2">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63" t="s">
        <v>0</v>
      </c>
      <c r="B1" s="3563" t="s">
        <v>4</v>
      </c>
      <c r="C1" s="3563" t="s">
        <v>5</v>
      </c>
      <c r="D1" s="3564" t="s">
        <v>40</v>
      </c>
      <c r="E1" s="3564" t="s">
        <v>41</v>
      </c>
      <c r="F1" s="3564"/>
      <c r="G1" s="3564"/>
      <c r="H1" s="3564"/>
      <c r="I1" s="3564"/>
      <c r="J1" s="3564"/>
      <c r="K1" s="3564"/>
      <c r="L1" s="3564"/>
      <c r="M1" s="3564"/>
    </row>
    <row r="2" spans="1:13" ht="27" customHeight="1">
      <c r="A2" s="3563"/>
      <c r="B2" s="3563"/>
      <c r="C2" s="3563"/>
      <c r="D2" s="3564"/>
      <c r="E2" s="3564" t="s">
        <v>24</v>
      </c>
      <c r="F2" s="3564" t="s">
        <v>25</v>
      </c>
      <c r="G2" s="3564"/>
      <c r="H2" s="3564"/>
      <c r="I2" s="3564"/>
      <c r="J2" s="3564" t="s">
        <v>26</v>
      </c>
      <c r="K2" s="3564"/>
      <c r="L2" s="3564"/>
      <c r="M2" s="3564"/>
    </row>
    <row r="3" spans="1:13" ht="46.8">
      <c r="A3" s="3563"/>
      <c r="B3" s="3563"/>
      <c r="C3" s="3563"/>
      <c r="D3" s="3564"/>
      <c r="E3" s="356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4" t="s">
        <v>42</v>
      </c>
      <c r="B9" s="3564"/>
      <c r="C9" s="35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41" sqref="E41"/>
    </sheetView>
  </sheetViews>
  <sheetFormatPr defaultColWidth="9.21875" defaultRowHeight="13.8"/>
  <cols>
    <col min="1" max="1" width="8.21875" style="1852" customWidth="1"/>
    <col min="2" max="2" width="10.21875" style="1852" customWidth="1"/>
    <col min="3" max="3" width="18.44140625" style="1852" customWidth="1"/>
    <col min="4" max="4" width="11.109375" style="1852" customWidth="1"/>
    <col min="5" max="5" width="13.33203125" style="1852" customWidth="1"/>
    <col min="6" max="8" width="11.44140625" style="1852" customWidth="1"/>
    <col min="9" max="9" width="10.33203125" style="1852" customWidth="1"/>
    <col min="10" max="10" width="3.109375" style="1852" customWidth="1"/>
    <col min="11" max="16" width="11.6640625" style="1852" customWidth="1"/>
    <col min="17" max="17" width="3.33203125" style="1852" customWidth="1"/>
    <col min="18" max="16384" width="9.21875" style="1852"/>
  </cols>
  <sheetData>
    <row r="1" spans="1:16" ht="17.399999999999999">
      <c r="A1" s="104" t="s">
        <v>202</v>
      </c>
      <c r="B1" s="1851"/>
      <c r="C1" s="1851"/>
      <c r="D1" s="1851"/>
      <c r="E1" s="1851"/>
      <c r="F1" s="1851"/>
      <c r="G1" s="1851"/>
      <c r="H1" s="1851"/>
      <c r="I1" s="1851"/>
      <c r="J1" s="1851"/>
      <c r="K1" s="1851"/>
      <c r="L1" s="1851"/>
      <c r="M1" s="1851"/>
      <c r="N1" s="1851"/>
      <c r="O1" s="1851"/>
      <c r="P1" s="1851"/>
    </row>
    <row r="2" spans="1:16" ht="14.4">
      <c r="A2" s="3574" t="s">
        <v>203</v>
      </c>
      <c r="B2" s="3574"/>
      <c r="C2" s="3574"/>
      <c r="D2" s="1842" t="s">
        <v>204</v>
      </c>
      <c r="E2" s="106" t="s">
        <v>205</v>
      </c>
      <c r="F2" s="2990"/>
      <c r="G2" s="1144"/>
      <c r="H2" s="1145"/>
      <c r="I2" s="1146" t="s">
        <v>837</v>
      </c>
      <c r="J2" s="2990"/>
      <c r="K2" s="2990"/>
      <c r="L2" s="2990"/>
      <c r="M2" s="2990"/>
      <c r="N2" s="2990"/>
      <c r="O2" s="2990"/>
      <c r="P2" s="2990"/>
    </row>
    <row r="3" spans="1:16" ht="15" thickBot="1">
      <c r="A3" s="3575" t="s">
        <v>206</v>
      </c>
      <c r="B3" s="3575"/>
      <c r="C3" s="3575"/>
      <c r="D3" s="107">
        <f>'数据-基础表'!AY6</f>
        <v>32294.89</v>
      </c>
      <c r="E3" s="107">
        <f>'数据-基础表'!AZ5</f>
        <v>98965.430000000008</v>
      </c>
      <c r="F3" s="2990"/>
      <c r="G3" s="278" t="s">
        <v>838</v>
      </c>
      <c r="H3" s="273" t="s">
        <v>839</v>
      </c>
      <c r="I3" s="1843">
        <f>ROUND('数据-基础表'!B3/'数据-基础表'!A3,2)</f>
        <v>3.06</v>
      </c>
      <c r="J3" s="2990"/>
      <c r="K3" s="2990"/>
      <c r="L3" s="2990"/>
      <c r="M3" s="2990"/>
      <c r="N3" s="2990"/>
      <c r="O3" s="2990"/>
      <c r="P3" s="2990"/>
    </row>
    <row r="4" spans="1:16" ht="14.4">
      <c r="A4" s="3576"/>
      <c r="B4" s="3577"/>
      <c r="C4" s="3578"/>
      <c r="D4" s="108" t="s">
        <v>204</v>
      </c>
      <c r="E4" s="109" t="s">
        <v>205</v>
      </c>
      <c r="F4" s="2990"/>
      <c r="G4" s="1147"/>
      <c r="H4" s="273" t="s">
        <v>840</v>
      </c>
      <c r="I4" s="1843">
        <f>ROUND(SUMIF('数据-基础表'!I9:AS9,"地上",'数据-基础表'!I5:AS5)/'数据-基础表'!A3,2)</f>
        <v>2</v>
      </c>
      <c r="J4" s="2990"/>
      <c r="K4" s="2990"/>
      <c r="L4" s="2990"/>
      <c r="M4" s="2990"/>
      <c r="N4" s="2990"/>
      <c r="O4" s="2990"/>
      <c r="P4" s="2990"/>
    </row>
    <row r="5" spans="1:16" ht="14.4">
      <c r="A5" s="110" t="s">
        <v>207</v>
      </c>
      <c r="B5" s="3579" t="s">
        <v>230</v>
      </c>
      <c r="C5" s="3579"/>
      <c r="D5" s="111">
        <f>ROUND($D$3*E5/$E$3,2)</f>
        <v>19791.96</v>
      </c>
      <c r="E5" s="112">
        <f>SUMIF('数据-基础表'!$11:$11,"住宅",'数据-基础表'!$5:$5)</f>
        <v>60651.07</v>
      </c>
      <c r="F5" s="2990"/>
      <c r="G5" s="278" t="s">
        <v>841</v>
      </c>
      <c r="H5" s="273" t="s">
        <v>839</v>
      </c>
      <c r="I5" s="1843">
        <f>ROUND(E31/D31,2)</f>
        <v>3.06</v>
      </c>
      <c r="J5" s="2990"/>
      <c r="K5" s="2990"/>
      <c r="L5" s="2990"/>
      <c r="M5" s="2990"/>
      <c r="N5" s="2990"/>
      <c r="O5" s="2990"/>
      <c r="P5" s="2990"/>
    </row>
    <row r="6" spans="1:16" ht="15" thickBot="1">
      <c r="A6" s="113"/>
      <c r="B6" s="3579" t="s">
        <v>208</v>
      </c>
      <c r="C6" s="3579"/>
      <c r="D6" s="111">
        <f>ROUND($D$3*E6/$E$3,2)</f>
        <v>12502.93</v>
      </c>
      <c r="E6" s="112">
        <f>E3-E5</f>
        <v>38314.360000000008</v>
      </c>
      <c r="F6" s="2990"/>
      <c r="G6" s="1147"/>
      <c r="H6" s="273" t="s">
        <v>840</v>
      </c>
      <c r="I6" s="1843">
        <f>ROUND(F31/D31,2)</f>
        <v>2</v>
      </c>
      <c r="J6" s="2990"/>
      <c r="K6" s="2990"/>
      <c r="L6" s="2990"/>
      <c r="M6" s="2990"/>
      <c r="N6" s="2990"/>
      <c r="O6" s="2990"/>
      <c r="P6" s="2990"/>
    </row>
    <row r="7" spans="1:16" ht="14.4">
      <c r="A7" s="3571"/>
      <c r="B7" s="3572"/>
      <c r="C7" s="3573"/>
      <c r="D7" s="108" t="s">
        <v>204</v>
      </c>
      <c r="E7" s="114" t="s">
        <v>231</v>
      </c>
      <c r="F7" s="2990"/>
      <c r="G7" s="1102" t="s">
        <v>1445</v>
      </c>
      <c r="H7" s="1103"/>
      <c r="I7" s="1714">
        <v>4</v>
      </c>
      <c r="J7" s="2990"/>
      <c r="K7" s="2990"/>
      <c r="L7" s="2990"/>
      <c r="M7" s="2990"/>
      <c r="N7" s="2990"/>
      <c r="O7" s="2990"/>
      <c r="P7" s="2990"/>
    </row>
    <row r="8" spans="1:16" ht="14.4">
      <c r="A8" s="110" t="s">
        <v>209</v>
      </c>
      <c r="B8" s="115" t="s">
        <v>210</v>
      </c>
      <c r="C8" s="111" t="s">
        <v>211</v>
      </c>
      <c r="D8" s="111">
        <f t="shared" ref="D8:D15" si="0">ROUND($D$3*E8/$E$3,2)</f>
        <v>19791.96</v>
      </c>
      <c r="E8" s="116">
        <f>SUMIF('数据-基础表'!BB10:BK10,"地上",'数据-基础表'!BB5:BK5)</f>
        <v>60651.07</v>
      </c>
      <c r="F8" s="2990"/>
      <c r="G8" s="2991"/>
      <c r="H8" s="2991"/>
      <c r="I8" s="2990"/>
      <c r="J8" s="2990"/>
      <c r="K8" s="2990"/>
      <c r="L8" s="2990"/>
      <c r="M8" s="2990"/>
      <c r="N8" s="2990"/>
      <c r="O8" s="2990"/>
      <c r="P8" s="2990"/>
    </row>
    <row r="9" spans="1:16" ht="14.4">
      <c r="A9" s="117"/>
      <c r="B9" s="118"/>
      <c r="C9" s="111" t="s">
        <v>212</v>
      </c>
      <c r="D9" s="111">
        <f t="shared" si="0"/>
        <v>0</v>
      </c>
      <c r="E9" s="119">
        <v>0</v>
      </c>
      <c r="F9" s="2990"/>
      <c r="G9" s="2991"/>
      <c r="H9" s="2991"/>
      <c r="I9" s="2990"/>
      <c r="J9" s="2990"/>
      <c r="K9" s="2990"/>
      <c r="L9" s="2990"/>
      <c r="M9" s="2990"/>
      <c r="N9" s="2990"/>
      <c r="O9" s="2990"/>
      <c r="P9" s="2990"/>
    </row>
    <row r="10" spans="1:16" ht="14.4">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ht="14.4">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ht="14.4">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ht="14.4">
      <c r="A13" s="117"/>
      <c r="B13" s="118"/>
      <c r="C13" s="2164" t="s">
        <v>2124</v>
      </c>
      <c r="D13" s="111">
        <f t="shared" si="0"/>
        <v>7206.89</v>
      </c>
      <c r="E13" s="116">
        <f>SUMPRODUCT(('数据-基础表'!BB10:BK10="地下")*('数据-基础表'!BB11:BK11="车库")*('数据-基础表'!BB5:BK5))</f>
        <v>22085</v>
      </c>
      <c r="F13" s="2990"/>
      <c r="G13" s="2991"/>
      <c r="H13" s="2991"/>
      <c r="I13" s="2990"/>
      <c r="J13" s="2990"/>
      <c r="K13" s="2990"/>
      <c r="L13" s="2990"/>
      <c r="M13" s="2990"/>
      <c r="N13" s="2990"/>
      <c r="O13" s="2990"/>
      <c r="P13" s="2990"/>
    </row>
    <row r="14" spans="1:16" ht="14.4">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 thickBot="1">
      <c r="A16" s="113"/>
      <c r="B16" s="118"/>
      <c r="C16" s="115" t="s">
        <v>215</v>
      </c>
      <c r="D16" s="115">
        <f>SUM(D8:D15)</f>
        <v>26998.85</v>
      </c>
      <c r="E16" s="120">
        <f>SUM(E8:E15)</f>
        <v>82736.070000000007</v>
      </c>
      <c r="F16" s="2990"/>
      <c r="G16" s="2991"/>
      <c r="H16" s="938" t="s">
        <v>219</v>
      </c>
      <c r="I16" s="939"/>
      <c r="J16" s="1851"/>
      <c r="K16" s="3565" t="s">
        <v>2284</v>
      </c>
      <c r="L16" s="3566"/>
      <c r="M16" s="3566"/>
      <c r="N16" s="3566"/>
      <c r="O16" s="3566"/>
      <c r="P16" s="3567"/>
    </row>
    <row r="17" spans="1:19" ht="14.4">
      <c r="A17" s="121" t="s">
        <v>216</v>
      </c>
      <c r="B17" s="122" t="s">
        <v>217</v>
      </c>
      <c r="C17" s="2131" t="s">
        <v>2103</v>
      </c>
      <c r="D17" s="108" t="s">
        <v>204</v>
      </c>
      <c r="E17" s="124" t="s">
        <v>205</v>
      </c>
      <c r="F17" s="125"/>
      <c r="G17" s="1274"/>
      <c r="H17" s="940" t="s">
        <v>218</v>
      </c>
      <c r="I17" s="941" t="s">
        <v>2102</v>
      </c>
      <c r="J17" s="1851"/>
      <c r="K17" s="3568" t="s">
        <v>2285</v>
      </c>
      <c r="L17" s="3569"/>
      <c r="M17" s="3570"/>
      <c r="N17" s="3568" t="s">
        <v>2286</v>
      </c>
      <c r="O17" s="3569"/>
      <c r="P17" s="3570"/>
      <c r="R17" s="2132" t="s">
        <v>2101</v>
      </c>
      <c r="S17" s="142"/>
    </row>
    <row r="18" spans="1:19" ht="14.4">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ht="14.4">
      <c r="A19" s="133"/>
      <c r="B19" s="115" t="s">
        <v>225</v>
      </c>
      <c r="C19" s="2658" t="s">
        <v>3152</v>
      </c>
      <c r="D19" s="111">
        <f t="shared" ref="D19:D26" si="1">ROUND($D$3*E19/$E$3,2)</f>
        <v>19791.96</v>
      </c>
      <c r="E19" s="134">
        <f t="shared" ref="E19:E26" si="2">SUM(F19:G19)</f>
        <v>60651.07</v>
      </c>
      <c r="F19" s="2992">
        <f>'数据-基础表'!I13</f>
        <v>60651.07</v>
      </c>
      <c r="G19" s="2993"/>
      <c r="H19" s="944">
        <f>ROUND($D$3*I19/$E$3,2)</f>
        <v>4230.78</v>
      </c>
      <c r="I19" s="116">
        <f>IF($I$17="自定义",P19,M19)</f>
        <v>12964.94</v>
      </c>
      <c r="J19" s="1851"/>
      <c r="K19" s="2373">
        <f t="shared" ref="K19:K26" si="3">ROUND(E$28*E19/E$27,2)</f>
        <v>8964.94</v>
      </c>
      <c r="L19" s="273">
        <f t="shared" ref="L19:L26" si="4">ROUND(IF(COUNTIF(C19,"*住宅*")&gt;0,E$29*E19/E$32,0),2)</f>
        <v>4000</v>
      </c>
      <c r="M19" s="2374">
        <f>K19+L19</f>
        <v>12964.94</v>
      </c>
      <c r="N19" s="2375"/>
      <c r="O19" s="2376"/>
      <c r="P19" s="2377">
        <f>N19+O19</f>
        <v>0</v>
      </c>
      <c r="R19" s="273">
        <f t="shared" ref="R19:S26" si="5">D19+H19</f>
        <v>24022.739999999998</v>
      </c>
      <c r="S19" s="2134">
        <f t="shared" si="5"/>
        <v>73616.009999999995</v>
      </c>
    </row>
    <row r="20" spans="1:19" ht="14.4">
      <c r="A20" s="137"/>
      <c r="B20" s="115" t="s">
        <v>226</v>
      </c>
      <c r="C20" s="2658" t="s">
        <v>3153</v>
      </c>
      <c r="D20" s="111">
        <f t="shared" si="1"/>
        <v>7206.89</v>
      </c>
      <c r="E20" s="134">
        <f t="shared" si="2"/>
        <v>22085</v>
      </c>
      <c r="F20" s="2992"/>
      <c r="G20" s="2993">
        <f>'数据-基础表'!K13</f>
        <v>22085</v>
      </c>
      <c r="H20" s="944">
        <f t="shared" ref="H20:H26" si="6">ROUND($D$3*I20/$E$3,2)</f>
        <v>1065.26</v>
      </c>
      <c r="I20" s="116">
        <f t="shared" ref="I20:I26" si="7">IF($I$17="自定义",P20,M20)</f>
        <v>3264.42</v>
      </c>
      <c r="J20" s="1851"/>
      <c r="K20" s="2373">
        <f t="shared" si="3"/>
        <v>3264.42</v>
      </c>
      <c r="L20" s="273">
        <f t="shared" si="4"/>
        <v>0</v>
      </c>
      <c r="M20" s="2374">
        <f t="shared" ref="M20:M26" si="8">K20+L20</f>
        <v>3264.42</v>
      </c>
      <c r="N20" s="2375"/>
      <c r="O20" s="2376"/>
      <c r="P20" s="2377">
        <f t="shared" ref="P20:P26" si="9">N20+O20</f>
        <v>0</v>
      </c>
      <c r="R20" s="273">
        <f t="shared" si="5"/>
        <v>8272.15</v>
      </c>
      <c r="S20" s="2134">
        <f t="shared" si="5"/>
        <v>25349.42</v>
      </c>
    </row>
    <row r="21" spans="1:19" ht="14.4">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ht="14.4">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ht="14.4">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ht="14.4">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ht="14.4">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ht="14.4">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 thickBot="1">
      <c r="A27" s="137"/>
      <c r="B27" s="111"/>
      <c r="C27" s="127" t="s">
        <v>215</v>
      </c>
      <c r="D27" s="134">
        <f>SUM(D19:D26)</f>
        <v>26998.85</v>
      </c>
      <c r="E27" s="141">
        <f>IF(SUM(E19:E26)='数据-基础表'!BA5,SUM(E19:E26),IF(F27="地上面积有误","面积有误","地下面积有误"))</f>
        <v>82736.070000000007</v>
      </c>
      <c r="F27" s="134">
        <f>IF(SUM(F19:F26)=E8,SUM(F19:F26),"地上面积有误")</f>
        <v>60651.07</v>
      </c>
      <c r="G27" s="112">
        <f>SUM(G19:G26)</f>
        <v>22085</v>
      </c>
      <c r="H27" s="945">
        <f>SUM(H19:H26)</f>
        <v>5296.04</v>
      </c>
      <c r="I27" s="946">
        <f>SUM(I19:I26)</f>
        <v>16229.36</v>
      </c>
      <c r="J27" s="1851"/>
      <c r="K27" s="2382">
        <f>SUM(K19:K26)</f>
        <v>12229.36</v>
      </c>
      <c r="L27" s="2383">
        <f>SUM(L19:L26)</f>
        <v>4000</v>
      </c>
      <c r="M27" s="2384">
        <f>SUM(M19:M26)</f>
        <v>16229.36</v>
      </c>
      <c r="N27" s="2382">
        <f t="shared" ref="N27:O27" si="10">SUM(N19:N26)</f>
        <v>0</v>
      </c>
      <c r="O27" s="2383">
        <f t="shared" si="10"/>
        <v>0</v>
      </c>
      <c r="P27" s="2385">
        <f>SUM(P19:P26)</f>
        <v>0</v>
      </c>
      <c r="R27" s="2138">
        <f>IF(SUM(R19:R26)=$D$3,SUM(R19:R26),SUM(R19:R26)&amp;"误差"&amp;ROUND(SUM(R19:R26)-$D$3,2))</f>
        <v>32294.89</v>
      </c>
      <c r="S27" s="273">
        <f>IF(SUM(S19:S26)=$E$3,SUM(S19:S26),SUM(S19:S26)&amp;"误差"&amp;ROUND(SUM(S19:S26)-E3,2))</f>
        <v>98965.43</v>
      </c>
    </row>
    <row r="28" spans="1:19" ht="14.4">
      <c r="A28" s="137"/>
      <c r="B28" s="115" t="s">
        <v>227</v>
      </c>
      <c r="C28" s="135" t="s">
        <v>228</v>
      </c>
      <c r="D28" s="111">
        <f>ROUND($D$3*E28/$E$3,2)</f>
        <v>3990.75</v>
      </c>
      <c r="E28" s="134">
        <f>SUM(F28:G28)</f>
        <v>12229.36</v>
      </c>
      <c r="F28" s="142">
        <f>'数据-基础表'!BQ5+'数据-基础表'!BS5</f>
        <v>0</v>
      </c>
      <c r="G28" s="143">
        <f>'数据-基础表'!BR5+'数据-基础表'!BT5</f>
        <v>12229.36</v>
      </c>
      <c r="H28" s="2990"/>
      <c r="I28" s="2990"/>
      <c r="J28" s="2990"/>
      <c r="K28" s="2990"/>
      <c r="L28" s="2990"/>
      <c r="M28" s="2990"/>
      <c r="N28" s="2990"/>
      <c r="O28" s="2990"/>
      <c r="P28" s="2990"/>
    </row>
    <row r="29" spans="1:19" ht="14.4">
      <c r="A29" s="137"/>
      <c r="B29" s="115" t="s">
        <v>227</v>
      </c>
      <c r="C29" s="2146" t="s">
        <v>2110</v>
      </c>
      <c r="D29" s="111">
        <f>ROUND($D$3*E29/$E$3,2)</f>
        <v>1305.3</v>
      </c>
      <c r="E29" s="134">
        <f>SUM(F29:G29)</f>
        <v>4000</v>
      </c>
      <c r="F29" s="142">
        <f>'数据-基础表'!BM5+'数据-基础表'!BO5</f>
        <v>4000</v>
      </c>
      <c r="G29" s="144">
        <f>'数据-基础表'!BN5+'数据-基础表'!BP5</f>
        <v>0</v>
      </c>
      <c r="H29" s="2990"/>
      <c r="I29" s="2990"/>
      <c r="J29" s="2990"/>
      <c r="K29" s="2990"/>
      <c r="L29" s="2990"/>
      <c r="M29" s="2990"/>
      <c r="N29" s="2990"/>
      <c r="O29" s="2990"/>
      <c r="P29" s="2990"/>
    </row>
    <row r="30" spans="1:19" ht="14.4">
      <c r="A30" s="137"/>
      <c r="B30" s="111"/>
      <c r="C30" s="145" t="s">
        <v>215</v>
      </c>
      <c r="D30" s="134">
        <f>SUM(D28:D29)</f>
        <v>5296.05</v>
      </c>
      <c r="E30" s="134">
        <f>SUM(E28:E29)</f>
        <v>16229.36</v>
      </c>
      <c r="F30" s="134">
        <f>SUM(F28:F29)</f>
        <v>4000</v>
      </c>
      <c r="G30" s="112">
        <f>SUM(G28:G29)</f>
        <v>12229.36</v>
      </c>
      <c r="H30" s="2990"/>
      <c r="I30" s="2990"/>
      <c r="J30" s="2990"/>
      <c r="K30" s="2990"/>
      <c r="L30" s="2990"/>
      <c r="M30" s="2990"/>
      <c r="N30" s="2990"/>
      <c r="O30" s="2990"/>
      <c r="P30" s="2990"/>
    </row>
    <row r="31" spans="1:19" ht="32.25" customHeight="1" thickBot="1">
      <c r="A31" s="1276"/>
      <c r="B31" s="1277" t="s">
        <v>229</v>
      </c>
      <c r="C31" s="2163" t="s">
        <v>2112</v>
      </c>
      <c r="D31" s="1278">
        <f>D27+D30</f>
        <v>32294.899999999998</v>
      </c>
      <c r="E31" s="1278">
        <f>E27+E30</f>
        <v>98965.430000000008</v>
      </c>
      <c r="F31" s="1279">
        <f>F27+F30</f>
        <v>64651.07</v>
      </c>
      <c r="G31" s="1280">
        <f>G27+G30</f>
        <v>34314.36</v>
      </c>
      <c r="H31" s="2990"/>
      <c r="I31" s="2990"/>
      <c r="J31" s="2990"/>
      <c r="K31" s="2990"/>
      <c r="L31" s="2990"/>
      <c r="M31" s="2990"/>
      <c r="N31" s="2990"/>
      <c r="O31" s="2990"/>
      <c r="P31" s="2990"/>
    </row>
    <row r="32" spans="1:19" ht="14.4">
      <c r="A32" s="1851"/>
      <c r="B32" s="2175" t="s">
        <v>2111</v>
      </c>
      <c r="C32" s="2410"/>
      <c r="D32" s="1147"/>
      <c r="E32" s="1147">
        <f>SUMIF(C19:C26,"*住宅*",E19:E26)</f>
        <v>60651.07</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B33" sqref="B33:B34"/>
    </sheetView>
  </sheetViews>
  <sheetFormatPr defaultColWidth="13.77734375" defaultRowHeight="13.2"/>
  <cols>
    <col min="1" max="1" width="20.88671875" style="1162" customWidth="1"/>
    <col min="2" max="3" width="12" style="1149" customWidth="1"/>
    <col min="4" max="4" width="9.109375" style="1163" customWidth="1"/>
    <col min="5" max="5" width="15" style="1149" bestFit="1" customWidth="1"/>
    <col min="6" max="10" width="8.88671875" style="1149" customWidth="1"/>
    <col min="11" max="12" width="12.33203125" style="1164" customWidth="1"/>
    <col min="13" max="13" width="8.6640625" style="1149" customWidth="1"/>
    <col min="14" max="14" width="9.77734375" style="1149" customWidth="1"/>
    <col min="15" max="16" width="9.6640625" style="1149" customWidth="1"/>
    <col min="17" max="17" width="10.88671875" style="1149" customWidth="1"/>
    <col min="18" max="19" width="12.44140625" style="1149" customWidth="1"/>
    <col min="20" max="20" width="12.109375" style="1149" customWidth="1"/>
    <col min="21" max="21" width="7.44140625" style="1149" customWidth="1"/>
    <col min="22" max="22" width="6.33203125" style="1149" customWidth="1"/>
    <col min="23" max="24" width="6.77734375" style="1149" customWidth="1"/>
    <col min="25" max="25" width="8.109375" style="1149" customWidth="1"/>
    <col min="26" max="30" width="6.77734375" style="1149" customWidth="1"/>
    <col min="31" max="31" width="6.44140625" style="1149" customWidth="1"/>
    <col min="32" max="34" width="7.21875" style="1149" customWidth="1"/>
    <col min="35" max="39" width="8" style="1149" customWidth="1"/>
    <col min="40" max="41" width="13.77734375" style="1861"/>
    <col min="42" max="42" width="13.77734375" style="1861" customWidth="1"/>
    <col min="43" max="83" width="13.77734375" style="1861"/>
    <col min="84" max="16384" width="13.77734375" style="1149"/>
  </cols>
  <sheetData>
    <row r="1" spans="1:83" ht="18"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 thickBot="1">
      <c r="A2" s="147" t="s">
        <v>235</v>
      </c>
      <c r="B2" s="2171">
        <f>项目基本情况!D3</f>
        <v>44756</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4.4"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7.6">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3160</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4">
      <c r="A6" s="2135" t="str">
        <f>'数据-汇总表'!C19</f>
        <v>住宅</v>
      </c>
      <c r="B6" s="2170" t="str">
        <f>IF(A6=0,"","经营性")</f>
        <v>经营性</v>
      </c>
      <c r="C6" s="171" t="s">
        <v>902</v>
      </c>
      <c r="D6" s="2141">
        <f>SUMIF(项目基本情况!D$15:I$15,C6,项目基本情况!D$18:I$18)</f>
        <v>70</v>
      </c>
      <c r="E6" s="2142">
        <f>IF(B6="","",SUMIF(项目基本情况!D$15:I$15,C6,项目基本情况!D$17:I$17))</f>
        <v>69896</v>
      </c>
      <c r="F6" s="172">
        <f>SUMIF(项目基本情况!D$15:I$15,C6,项目基本情况!D$19:I$19)</f>
        <v>68.87</v>
      </c>
      <c r="G6" s="173">
        <f>IF(ISERROR(ROUND(POWER(1+H6,D6-F6)*(POWER(1+H6,F6)-1)/(POWER(1+H6,D6)-1),3)),0,ROUND(POWER(1+H6,D6-F6)*(POWER(1+H6,F6)-1)/(POWER(1+H6,D6)-1),3))</f>
        <v>0.998</v>
      </c>
      <c r="H6" s="2659">
        <v>0.05</v>
      </c>
      <c r="I6" s="2659">
        <v>5.5E-2</v>
      </c>
      <c r="J6" s="174">
        <v>7.0000000000000007E-2</v>
      </c>
      <c r="K6" s="177">
        <f>SUMIF('数据-汇总表'!C$19:C$33,'数据-取费表'!A6,'数据-汇总表'!E$19:E$33)</f>
        <v>60651.07</v>
      </c>
      <c r="L6" s="2660">
        <v>5000</v>
      </c>
      <c r="M6" s="175">
        <f t="shared" ref="M6:M14" si="0">ROUND(K6*L6/10000,0)</f>
        <v>30326</v>
      </c>
      <c r="N6" s="2661">
        <v>0</v>
      </c>
      <c r="O6" s="175">
        <f>IF($N$5="成新度","——",ROUND(M6*N6,0))</f>
        <v>0</v>
      </c>
      <c r="P6" s="176">
        <f>IF($N$5="成新度","——",M6-O6)</f>
        <v>30326</v>
      </c>
      <c r="Q6" s="2662">
        <v>0.2</v>
      </c>
      <c r="R6" s="177">
        <f>SUMIF('数据-汇总表'!C$19:C$33,A6,'数据-汇总表'!R$19:R$33)</f>
        <v>24022.739999999998</v>
      </c>
      <c r="S6" s="132">
        <f>IF('数据-汇总表'!$I$17="按面积比例",SUMIF('数据-汇总表'!C$19:C$33,A6,'数据-汇总表'!K$19:K$33),SUMIF('数据-汇总表'!C$19:C$33,A6,'数据-汇总表'!N$19:N$33))</f>
        <v>8964.94</v>
      </c>
      <c r="T6" s="2067">
        <f>IF($T$4="按面积比例",IF(ISERROR(ROUND($M$14*S6/S$16,0)),"0",ROUND($M$14*S6/S$16,0)),"需自行计算录入")</f>
        <v>2690</v>
      </c>
      <c r="U6" s="178">
        <v>2</v>
      </c>
      <c r="V6" s="179">
        <v>2.5000000000000001E-2</v>
      </c>
      <c r="W6" s="179">
        <v>0.1</v>
      </c>
      <c r="X6" s="2154"/>
      <c r="Y6" s="180">
        <v>1</v>
      </c>
      <c r="Z6" s="181"/>
      <c r="AA6" s="174"/>
      <c r="AB6" s="174"/>
      <c r="AC6" s="2157"/>
      <c r="AD6" s="182"/>
      <c r="AE6" s="942">
        <f ca="1">IF(AN6="",0,SUMIF(INDIRECT("'"&amp;AN6&amp;"'"&amp;"!E:E"),$AE$5,INDIRECT("'"&amp;AN6&amp;"'"&amp;"!F:F")))</f>
        <v>66.87</v>
      </c>
      <c r="AF6" s="139"/>
      <c r="AG6" s="1159">
        <f>IF(AF6="",0,AE6-AF6)</f>
        <v>0</v>
      </c>
      <c r="AH6" s="139"/>
      <c r="AI6" s="185">
        <v>365</v>
      </c>
      <c r="AJ6" s="186"/>
      <c r="AK6" s="187">
        <v>0.01</v>
      </c>
      <c r="AL6" s="188">
        <v>1E-3</v>
      </c>
      <c r="AM6" s="2671">
        <v>0.02</v>
      </c>
      <c r="AN6" s="2200" t="s">
        <v>3159</v>
      </c>
      <c r="AO6" s="3000"/>
      <c r="AP6" s="1150">
        <f>ROUND(1-1/(1+H6)^F6,3)</f>
        <v>0.96499999999999997</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4">
      <c r="A7" s="2135" t="str">
        <f>'数据-汇总表'!C20</f>
        <v>地下车库</v>
      </c>
      <c r="B7" s="2170" t="str">
        <f t="shared" ref="B7:B13" si="1">IF(A7=0,"","经营性")</f>
        <v>经营性</v>
      </c>
      <c r="C7" s="171" t="s">
        <v>3151</v>
      </c>
      <c r="D7" s="2141">
        <f>SUMIF(项目基本情况!D$15:I$15,C7,项目基本情况!D$18:I$18)</f>
        <v>50</v>
      </c>
      <c r="E7" s="2142">
        <f>IF(B7="","",SUMIF(项目基本情况!D$15:I$15,C7,项目基本情况!D$17:I$17))</f>
        <v>62591</v>
      </c>
      <c r="F7" s="172">
        <f>SUMIF(项目基本情况!D$15:I$15,C7,项目基本情况!D$19:I$19)</f>
        <v>48.86</v>
      </c>
      <c r="G7" s="173">
        <f t="shared" ref="G7:G11" si="2">IF(ISERROR(ROUND(POWER(1+H7,D7-F7)*(POWER(1+H7,F7)-1)/(POWER(1+H7,D7)-1),3)),0,ROUND(POWER(1+H7,D7-F7)*(POWER(1+H7,F7)-1)/(POWER(1+H7,D7)-1),3))</f>
        <v>0.99399999999999999</v>
      </c>
      <c r="H7" s="2659">
        <v>4.4999999999999998E-2</v>
      </c>
      <c r="I7" s="2659">
        <v>0.05</v>
      </c>
      <c r="J7" s="174">
        <v>6.5000000000000002E-2</v>
      </c>
      <c r="K7" s="177">
        <f>SUMIF('数据-汇总表'!C$19:C$33,'数据-取费表'!A7,'数据-汇总表'!E$19:E$33)</f>
        <v>22085</v>
      </c>
      <c r="L7" s="2660">
        <v>3000</v>
      </c>
      <c r="M7" s="175">
        <f t="shared" si="0"/>
        <v>6626</v>
      </c>
      <c r="N7" s="2661">
        <v>0</v>
      </c>
      <c r="O7" s="175">
        <f t="shared" ref="O7:O14" si="3">IF($N$5="成新度","——",ROUND(M7*N7,0))</f>
        <v>0</v>
      </c>
      <c r="P7" s="176">
        <f t="shared" ref="P7:P14" si="4">IF($N$5="成新度","——",M7-O7)</f>
        <v>6626</v>
      </c>
      <c r="Q7" s="2662">
        <v>0.05</v>
      </c>
      <c r="R7" s="177">
        <f>SUMIF('数据-汇总表'!C$19:C$33,A7,'数据-汇总表'!R$19:R$33)</f>
        <v>8272.15</v>
      </c>
      <c r="S7" s="132">
        <f>IF('数据-汇总表'!$I$17="按面积比例",SUMIF('数据-汇总表'!C$19:C$33,A7,'数据-汇总表'!K$19:K$33),SUMIF('数据-汇总表'!C$19:C$33,A7,'数据-汇总表'!N$19:N$33))</f>
        <v>3264.42</v>
      </c>
      <c r="T7" s="2067">
        <f t="shared" ref="T7:T13" si="5">IF($T$4="按面积比例",IF(ISERROR(ROUND($M$14*S7/S$16,0)),"0",ROUND($M$14*S7/S$16,0)),"需自行计算录入")</f>
        <v>979</v>
      </c>
      <c r="U7" s="178">
        <v>700</v>
      </c>
      <c r="V7" s="179">
        <v>2.5000000000000001E-2</v>
      </c>
      <c r="W7" s="179">
        <v>0.1</v>
      </c>
      <c r="X7" s="2154"/>
      <c r="Y7" s="180">
        <v>1</v>
      </c>
      <c r="Z7" s="181"/>
      <c r="AA7" s="174"/>
      <c r="AB7" s="174"/>
      <c r="AC7" s="2157"/>
      <c r="AD7" s="182"/>
      <c r="AE7" s="942">
        <f t="shared" ref="AE7:AE13" ca="1" si="6">IF(AN7="",0,SUMIF(INDIRECT("'"&amp;AN7&amp;"'"&amp;"!E:E"),$AE$5,INDIRECT("'"&amp;AN7&amp;"'"&amp;"!F:F")))</f>
        <v>46.86</v>
      </c>
      <c r="AF7" s="139"/>
      <c r="AG7" s="1159">
        <f t="shared" ref="AG7:AG13" si="7">IF(AF7="",0,AE7-AF7)</f>
        <v>0</v>
      </c>
      <c r="AH7" s="139">
        <f>面积清单!F11</f>
        <v>631</v>
      </c>
      <c r="AI7" s="185">
        <v>12</v>
      </c>
      <c r="AJ7" s="186"/>
      <c r="AK7" s="187">
        <v>0.01</v>
      </c>
      <c r="AL7" s="188">
        <v>1E-3</v>
      </c>
      <c r="AM7" s="2198">
        <v>0.02</v>
      </c>
      <c r="AN7" s="2200" t="s">
        <v>3162</v>
      </c>
      <c r="AO7" s="3000"/>
      <c r="AP7" s="1150">
        <f t="shared" ref="AP7:AP13" si="8">ROUND(1-1/(1+H7)^F7,3)</f>
        <v>0.88400000000000001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4">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4">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4">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4">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4">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4">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3.8">
      <c r="A14" s="2136" t="s">
        <v>2104</v>
      </c>
      <c r="B14" s="2139" t="s">
        <v>1479</v>
      </c>
      <c r="C14" s="2140" t="s">
        <v>2104</v>
      </c>
      <c r="D14" s="2141"/>
      <c r="E14" s="2142"/>
      <c r="F14" s="172"/>
      <c r="G14" s="173"/>
      <c r="H14" s="2143"/>
      <c r="I14" s="2143"/>
      <c r="J14" s="2143"/>
      <c r="K14" s="177">
        <f>SUMIF('数据-汇总表'!C$19:C$33,'数据-取费表'!A14,'数据-汇总表'!E$19:E$33)</f>
        <v>12229.36</v>
      </c>
      <c r="L14" s="3823">
        <f>L7</f>
        <v>3000</v>
      </c>
      <c r="M14" s="175">
        <f t="shared" si="0"/>
        <v>3669</v>
      </c>
      <c r="N14" s="192"/>
      <c r="O14" s="175">
        <f t="shared" si="3"/>
        <v>0</v>
      </c>
      <c r="P14" s="176">
        <f t="shared" si="4"/>
        <v>3669</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8.8">
      <c r="A15" s="2145" t="s">
        <v>2106</v>
      </c>
      <c r="B15" s="2139" t="s">
        <v>1479</v>
      </c>
      <c r="C15" s="2140" t="s">
        <v>2105</v>
      </c>
      <c r="D15" s="2141"/>
      <c r="E15" s="2142"/>
      <c r="F15" s="172"/>
      <c r="G15" s="173"/>
      <c r="H15" s="2143"/>
      <c r="I15" s="2143"/>
      <c r="J15" s="2143"/>
      <c r="K15" s="177">
        <f>SUMIF('数据-汇总表'!C$19:C$33,'数据-取费表'!A15,'数据-汇总表'!E$19:E$33)</f>
        <v>4000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 thickBot="1">
      <c r="A16" s="196" t="s">
        <v>262</v>
      </c>
      <c r="B16" s="197"/>
      <c r="C16" s="198"/>
      <c r="D16" s="199"/>
      <c r="E16" s="197"/>
      <c r="F16" s="197"/>
      <c r="G16" s="200">
        <f>ROUND(SUMPRODUCT(G6:G13,K6:K13)/SUMPRODUCT((G6:G13&gt;0)*(K6:K13)),3)</f>
        <v>0.997</v>
      </c>
      <c r="H16" s="201">
        <f>ROUND(SUMPRODUCT(H6:H13,K6:K13)/SUMPRODUCT((H6:H13&gt;0)*(K6:K13)),3)</f>
        <v>4.9000000000000002E-2</v>
      </c>
      <c r="I16" s="202"/>
      <c r="J16" s="202"/>
      <c r="K16" s="203">
        <f>SUM(K6:K15)</f>
        <v>98965.430000000008</v>
      </c>
      <c r="L16" s="204">
        <f>ROUND(M16*10000/SUM(K6:K14),0)</f>
        <v>4277</v>
      </c>
      <c r="M16" s="204">
        <f>SUM(M6:M14)</f>
        <v>40621</v>
      </c>
      <c r="N16" s="205">
        <f>ROUND(SUMPRODUCT(M6:M14,N6:N14)/M16,3)</f>
        <v>0</v>
      </c>
      <c r="O16" s="204">
        <f>SUM(O6:O14)</f>
        <v>0</v>
      </c>
      <c r="P16" s="204">
        <f>SUM(P6:P14)</f>
        <v>40621</v>
      </c>
      <c r="Q16" s="206">
        <f>ROUND(SUMPRODUCT(Q6:Q13,K6:K13)/SUMPRODUCT((Q6:Q13&gt;0)*(K6:K13)),2)</f>
        <v>0.16</v>
      </c>
      <c r="R16" s="2144">
        <f>SUM(R6:R13)</f>
        <v>32294.89</v>
      </c>
      <c r="S16" s="207">
        <f>SUM(S6:S13)</f>
        <v>12229.36</v>
      </c>
      <c r="T16" s="208">
        <f>IF(SUMIF(T6:T13,"&lt;9E307")=M14,SUMIF(T6:T13,"&lt;9E307"),"有误，请检查")</f>
        <v>3669</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0.94299999999999995</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8"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4">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4">
      <c r="A20" s="217" t="s">
        <v>265</v>
      </c>
      <c r="B20" s="218">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4">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4">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4">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4.4"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8.8">
      <c r="A27" s="224" t="s">
        <v>2127</v>
      </c>
      <c r="B27" s="225">
        <v>160</v>
      </c>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8.8">
      <c r="A28" s="226" t="s">
        <v>2128</v>
      </c>
      <c r="B28" s="227">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9.4"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8.8">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8.8">
      <c r="A31" s="226" t="s">
        <v>274</v>
      </c>
      <c r="B31" s="228">
        <f>B30-B32</f>
        <v>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9.4" thickBot="1">
      <c r="A32" s="235" t="s">
        <v>275</v>
      </c>
      <c r="B32" s="1284">
        <v>120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4">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4">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4">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4">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4">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4">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9.4" thickBot="1">
      <c r="A40" s="3187" t="s">
        <v>3154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4">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4">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4">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4">
      <c r="A44" s="237" t="s">
        <v>285</v>
      </c>
      <c r="B44" s="240">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4">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4">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4">
      <c r="A48" s="243" t="s">
        <v>289</v>
      </c>
      <c r="B48" s="244">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4">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4">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8.8">
      <c r="A53" s="226" t="s">
        <v>294</v>
      </c>
      <c r="B53" s="249" t="s">
        <v>1388</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4">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4">
      <c r="A55" s="2692" t="s">
        <v>2608</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4">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4">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4">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4">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4">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4">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4">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031" customWidth="1"/>
    <col min="2" max="2" width="23.44140625" style="3066" customWidth="1"/>
    <col min="3" max="3" width="32.21875" style="3068" customWidth="1"/>
    <col min="4" max="4" width="2.6640625" style="3068" customWidth="1"/>
    <col min="5" max="5" width="5.88671875" style="3068" customWidth="1"/>
    <col min="6" max="6" width="23.6640625" style="3066" customWidth="1"/>
    <col min="7" max="7" width="33.33203125" style="3067" customWidth="1"/>
    <col min="8" max="8" width="11.88671875" style="3066" customWidth="1"/>
    <col min="9" max="9" width="16.77734375" style="3067" customWidth="1"/>
    <col min="10" max="10" width="2.6640625" style="3068" customWidth="1"/>
    <col min="11" max="11" width="11.88671875" style="3066" customWidth="1"/>
    <col min="12" max="12" width="16.77734375" style="3067" customWidth="1"/>
    <col min="13" max="13" width="2.6640625" style="3068" customWidth="1"/>
    <col min="14" max="14" width="11.88671875" style="3066" customWidth="1"/>
    <col min="15" max="15" width="16.77734375" style="3067" customWidth="1"/>
    <col min="16" max="16" width="2.6640625" style="3068" customWidth="1"/>
    <col min="17" max="17" width="11.88671875" style="3066" customWidth="1"/>
    <col min="18" max="18" width="16.77734375" style="3069" customWidth="1"/>
    <col min="19" max="16384" width="9" style="3031"/>
  </cols>
  <sheetData>
    <row r="1" spans="1:18" s="3025" customFormat="1" ht="18" thickBot="1">
      <c r="A1" s="3580" t="s">
        <v>1463</v>
      </c>
      <c r="B1" s="3581"/>
      <c r="C1" s="3581"/>
      <c r="D1" s="3581"/>
      <c r="E1" s="3581"/>
      <c r="F1" s="3581"/>
      <c r="G1" s="3581"/>
      <c r="H1" s="3020"/>
      <c r="I1" s="3021"/>
      <c r="J1" s="3022"/>
      <c r="K1" s="3020"/>
      <c r="L1" s="3021"/>
      <c r="M1" s="3022"/>
      <c r="N1" s="3020"/>
      <c r="O1" s="3021"/>
      <c r="P1" s="3022"/>
      <c r="Q1" s="3023"/>
      <c r="R1" s="3024"/>
    </row>
    <row r="2" spans="1:18" ht="15" thickBot="1">
      <c r="A2" s="3026"/>
      <c r="B2" s="3027"/>
      <c r="C2" s="3028" t="s">
        <v>1464</v>
      </c>
      <c r="D2" s="3029"/>
      <c r="E2" s="3026"/>
      <c r="F2" s="3030"/>
      <c r="G2" s="3028" t="s">
        <v>1465</v>
      </c>
      <c r="H2" s="3031"/>
      <c r="I2" s="3031"/>
      <c r="J2" s="3031"/>
      <c r="K2" s="3031"/>
      <c r="L2" s="3031"/>
      <c r="M2" s="3031"/>
      <c r="N2" s="3031"/>
      <c r="O2" s="3031"/>
      <c r="P2" s="3031"/>
      <c r="Q2" s="3031"/>
      <c r="R2" s="3031"/>
    </row>
    <row r="3" spans="1:18" ht="43.2">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3.2">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3.2">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3.2">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9.4"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8.8">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7.399999999999999">
      <c r="A12" s="3056"/>
      <c r="B12" s="3044"/>
      <c r="C12" s="3035"/>
      <c r="D12" s="3058"/>
      <c r="E12" s="3035"/>
      <c r="F12" s="3044"/>
      <c r="G12" s="3057"/>
      <c r="H12" s="3059"/>
      <c r="I12" s="3060"/>
      <c r="J12" s="3059"/>
      <c r="K12" s="3059"/>
      <c r="L12" s="3061"/>
      <c r="M12" s="3059"/>
      <c r="N12" s="3062"/>
      <c r="O12" s="3063"/>
      <c r="P12" s="3064"/>
      <c r="Q12" s="3062"/>
      <c r="R12" s="3024"/>
    </row>
    <row r="13" spans="1:18" ht="18" thickBot="1">
      <c r="A13" s="3065" t="s">
        <v>1472</v>
      </c>
      <c r="B13" s="3058"/>
      <c r="C13" s="3058"/>
      <c r="D13" s="3029"/>
      <c r="E13" s="3058"/>
      <c r="F13" s="3058"/>
      <c r="G13" s="3058"/>
    </row>
    <row r="14" spans="1:18" ht="15" thickBot="1">
      <c r="A14" s="3070"/>
      <c r="B14" s="3070"/>
      <c r="C14" s="3071" t="s">
        <v>1464</v>
      </c>
      <c r="D14" s="3035"/>
      <c r="E14" s="3072"/>
      <c r="F14" s="3072"/>
      <c r="G14" s="3028" t="s">
        <v>1465</v>
      </c>
    </row>
    <row r="15" spans="1:18" ht="43.2">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3.2">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3.2">
      <c r="A17" s="3078"/>
      <c r="B17" s="3079" t="s">
        <v>1469</v>
      </c>
      <c r="C17" s="3080" t="str">
        <f>C5</f>
        <v>估价对象位于XX商圈，周边办公楼项目较多，入驻率高，办公集聚程度较好</v>
      </c>
      <c r="D17" s="3044"/>
      <c r="E17" s="3081"/>
      <c r="F17" s="3082" t="s">
        <v>1474</v>
      </c>
      <c r="G17" s="3084"/>
    </row>
    <row r="18" spans="1:7" ht="43.2">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8.8">
      <c r="A19" s="3078"/>
      <c r="B19" s="3082" t="s">
        <v>1459</v>
      </c>
      <c r="C19" s="3084"/>
      <c r="D19" s="3035"/>
      <c r="E19" s="3081"/>
      <c r="F19" s="3039" t="s">
        <v>2264</v>
      </c>
      <c r="G19" s="3083" t="str">
        <f>G5</f>
        <v>估价对象所在区域公共配套设施齐备情况</v>
      </c>
    </row>
    <row r="20" spans="1:7" ht="28.8">
      <c r="A20" s="3078"/>
      <c r="B20" s="3082" t="s">
        <v>1460</v>
      </c>
      <c r="C20" s="3080" t="str">
        <f>C9</f>
        <v>区域自然环境：；人文环境；综合评价环境状况一般</v>
      </c>
      <c r="D20" s="3044"/>
      <c r="E20" s="3081"/>
      <c r="F20" s="3039" t="s">
        <v>2265</v>
      </c>
      <c r="G20" s="3083" t="str">
        <f>G6</f>
        <v>估价对象所在区域基础设施水平</v>
      </c>
    </row>
    <row r="21" spans="1:7" ht="28.8">
      <c r="A21" s="3078"/>
      <c r="B21" s="3039" t="s">
        <v>2264</v>
      </c>
      <c r="C21" s="3083" t="str">
        <f>C7</f>
        <v>估价对象所在区域公共配套设施齐备情况</v>
      </c>
      <c r="D21" s="3035"/>
      <c r="E21" s="3081"/>
      <c r="F21" s="3082" t="s">
        <v>1461</v>
      </c>
      <c r="G21" s="3085"/>
    </row>
    <row r="22" spans="1:7">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094" customWidth="1"/>
    <col min="2" max="16384" width="14.6640625" style="3094"/>
  </cols>
  <sheetData>
    <row r="1" spans="1:10" ht="15.6">
      <c r="A1" s="3093" t="s">
        <v>2557</v>
      </c>
      <c r="B1" s="3093">
        <f>SUM(B14:B23)</f>
        <v>98965.430000000008</v>
      </c>
      <c r="C1" s="3102"/>
      <c r="D1" s="3102"/>
      <c r="E1" s="3102"/>
      <c r="F1" s="3102"/>
      <c r="G1" s="3103"/>
      <c r="H1" s="3103"/>
      <c r="I1" s="3103"/>
      <c r="J1" s="3103"/>
    </row>
    <row r="2" spans="1:10" ht="15.6">
      <c r="A2" s="3093" t="s">
        <v>2558</v>
      </c>
      <c r="B2" s="3093">
        <f>SUM(C14:C23)</f>
        <v>32294.89</v>
      </c>
      <c r="C2" s="3102"/>
      <c r="D2" s="3102"/>
      <c r="E2" s="3102"/>
      <c r="F2" s="3102"/>
      <c r="G2" s="3103"/>
      <c r="H2" s="3103"/>
      <c r="I2" s="3103"/>
      <c r="J2" s="3103"/>
    </row>
    <row r="3" spans="1:10" ht="15.6">
      <c r="A3" s="3093" t="s">
        <v>2559</v>
      </c>
      <c r="B3" s="3095">
        <f>项目基本情况!D3</f>
        <v>44756</v>
      </c>
      <c r="C3" s="3102"/>
      <c r="D3" s="3102"/>
      <c r="E3" s="3102"/>
      <c r="F3" s="3102"/>
      <c r="G3" s="3103"/>
      <c r="H3" s="3103"/>
      <c r="I3" s="3103"/>
      <c r="J3" s="3103"/>
    </row>
    <row r="4" spans="1:10" ht="31.2">
      <c r="A4" s="3093" t="s">
        <v>2560</v>
      </c>
      <c r="B4" s="3093" t="s">
        <v>2561</v>
      </c>
      <c r="C4" s="3093" t="s">
        <v>2562</v>
      </c>
      <c r="D4" s="3093" t="s">
        <v>2563</v>
      </c>
      <c r="E4" s="3102"/>
      <c r="F4" s="3102"/>
      <c r="G4" s="3103"/>
      <c r="H4" s="3103"/>
      <c r="I4" s="3103"/>
      <c r="J4" s="3103"/>
    </row>
    <row r="5" spans="1:10" ht="15.6">
      <c r="A5" s="3093" t="s">
        <v>2564</v>
      </c>
      <c r="B5" s="3093">
        <f ca="1">SUM(D14:D23)</f>
        <v>143270</v>
      </c>
      <c r="C5" s="3093">
        <f ca="1">ROUND(B5*10000/$B$1,0)</f>
        <v>14477</v>
      </c>
      <c r="D5" s="3093">
        <f ca="1">ROUND(B5*10000/$B$2,0)</f>
        <v>44363</v>
      </c>
      <c r="E5" s="3102"/>
      <c r="F5" s="3102"/>
      <c r="G5" s="3103"/>
      <c r="H5" s="3103"/>
      <c r="I5" s="3103"/>
      <c r="J5" s="3103"/>
    </row>
    <row r="6" spans="1:10" ht="15.6">
      <c r="A6" s="3093" t="s">
        <v>2565</v>
      </c>
      <c r="B6" s="3093">
        <f ca="1">SUM(G14:G23)</f>
        <v>141811</v>
      </c>
      <c r="C6" s="3093">
        <f t="shared" ref="C6:C8" ca="1" si="0">ROUND(B6*10000/$B$1,0)</f>
        <v>14329</v>
      </c>
      <c r="D6" s="3093">
        <f t="shared" ref="D6:D8" ca="1" si="1">ROUND(B6*10000/$B$2,0)</f>
        <v>43911</v>
      </c>
      <c r="E6" s="3102"/>
      <c r="F6" s="3102"/>
      <c r="G6" s="3103"/>
      <c r="H6" s="3103"/>
      <c r="I6" s="3103"/>
      <c r="J6" s="3103"/>
    </row>
    <row r="7" spans="1:10" ht="15.6">
      <c r="A7" s="3093" t="s">
        <v>2566</v>
      </c>
      <c r="B7" s="3093">
        <f>SUM(H14:H23)</f>
        <v>0</v>
      </c>
      <c r="C7" s="3093">
        <f t="shared" si="0"/>
        <v>0</v>
      </c>
      <c r="D7" s="3093">
        <f t="shared" si="1"/>
        <v>0</v>
      </c>
      <c r="E7" s="3102"/>
      <c r="F7" s="3102"/>
      <c r="G7" s="3103"/>
      <c r="H7" s="3103"/>
      <c r="I7" s="3103"/>
      <c r="J7" s="3103"/>
    </row>
    <row r="8" spans="1:10" ht="15.6">
      <c r="A8" s="3093" t="s">
        <v>2567</v>
      </c>
      <c r="B8" s="3093">
        <f>SUM(I14:I23)</f>
        <v>0</v>
      </c>
      <c r="C8" s="3093">
        <f t="shared" si="0"/>
        <v>0</v>
      </c>
      <c r="D8" s="3093">
        <f t="shared" si="1"/>
        <v>0</v>
      </c>
      <c r="E8" s="3102"/>
      <c r="F8" s="3102"/>
      <c r="G8" s="3103"/>
      <c r="H8" s="3103"/>
      <c r="I8" s="3103"/>
      <c r="J8" s="3103"/>
    </row>
    <row r="9" spans="1:10" ht="15.6">
      <c r="A9" s="3093" t="s">
        <v>2568</v>
      </c>
      <c r="B9" s="3101"/>
      <c r="C9" s="3102"/>
      <c r="D9" s="3102"/>
      <c r="E9" s="3102"/>
      <c r="F9" s="3102"/>
      <c r="G9" s="3103"/>
      <c r="H9" s="3103"/>
      <c r="I9" s="3103"/>
      <c r="J9" s="3103"/>
    </row>
    <row r="10" spans="1:10" ht="15.6">
      <c r="A10" s="3093" t="s">
        <v>2569</v>
      </c>
      <c r="B10" s="3101"/>
      <c r="C10" s="3102"/>
      <c r="D10" s="3102"/>
      <c r="E10" s="3102"/>
      <c r="F10" s="3102"/>
      <c r="G10" s="3103"/>
      <c r="H10" s="3103"/>
      <c r="I10" s="3103"/>
      <c r="J10" s="3103"/>
    </row>
    <row r="11" spans="1:10" ht="15.6">
      <c r="A11" s="3093" t="s">
        <v>2586</v>
      </c>
      <c r="B11" s="3101"/>
      <c r="C11" s="3102"/>
      <c r="D11" s="3102"/>
      <c r="E11" s="3102"/>
      <c r="F11" s="3102"/>
      <c r="G11" s="3103"/>
      <c r="H11" s="3103"/>
      <c r="I11" s="3103"/>
      <c r="J11" s="3103"/>
    </row>
    <row r="12" spans="1:10" ht="15.6">
      <c r="A12" s="3102"/>
      <c r="B12" s="3102"/>
      <c r="C12" s="3102"/>
      <c r="D12" s="3102"/>
      <c r="E12" s="3102"/>
      <c r="F12" s="3102"/>
      <c r="G12" s="3103"/>
      <c r="H12" s="3103"/>
      <c r="I12" s="3103"/>
      <c r="J12" s="3103"/>
    </row>
    <row r="13" spans="1:10" ht="31.2">
      <c r="A13" s="3096" t="s">
        <v>2585</v>
      </c>
      <c r="B13" s="3097" t="s">
        <v>2557</v>
      </c>
      <c r="C13" s="3097" t="s">
        <v>2558</v>
      </c>
      <c r="D13" s="3097" t="s">
        <v>2570</v>
      </c>
      <c r="E13" s="3093" t="s">
        <v>2584</v>
      </c>
      <c r="F13" s="3093" t="s">
        <v>2563</v>
      </c>
      <c r="G13" s="3097" t="s">
        <v>2571</v>
      </c>
      <c r="H13" s="3097" t="s">
        <v>2572</v>
      </c>
      <c r="I13" s="3097" t="s">
        <v>2573</v>
      </c>
      <c r="J13" s="3103"/>
    </row>
    <row r="14" spans="1:10" ht="15.6">
      <c r="A14" s="3098" t="s">
        <v>2583</v>
      </c>
      <c r="B14" s="3099">
        <f>结果表!L38</f>
        <v>98965.430000000008</v>
      </c>
      <c r="C14" s="3099">
        <f>结果表!K38</f>
        <v>32294.89</v>
      </c>
      <c r="D14" s="3099">
        <f ca="1">结果表!C42</f>
        <v>143270</v>
      </c>
      <c r="E14" s="3099">
        <f ca="1">ROUND(D14*10000/B14,0)</f>
        <v>14477</v>
      </c>
      <c r="F14" s="3099">
        <f ca="1">ROUND(D14*10000/C14,0)</f>
        <v>44363</v>
      </c>
      <c r="G14" s="3099">
        <f ca="1">结果表!C44</f>
        <v>141811</v>
      </c>
      <c r="H14" s="3099" t="str">
        <f>结果表!C45</f>
        <v>——</v>
      </c>
      <c r="I14" s="3099" t="str">
        <f>结果表!C46</f>
        <v>——</v>
      </c>
      <c r="J14" s="3103"/>
    </row>
    <row r="15" spans="1:10" ht="15.6">
      <c r="A15" s="3098" t="s">
        <v>2574</v>
      </c>
      <c r="B15" s="3100"/>
      <c r="C15" s="3100"/>
      <c r="D15" s="3100"/>
      <c r="E15" s="3099" t="e">
        <f t="shared" ref="E15:E23" si="2">ROUND(D15*10000/B15,0)</f>
        <v>#DIV/0!</v>
      </c>
      <c r="F15" s="3099" t="e">
        <f t="shared" ref="F15:F23" si="3">ROUND(D15*10000/C15,0)</f>
        <v>#DIV/0!</v>
      </c>
      <c r="G15" s="2675"/>
      <c r="H15" s="2675"/>
      <c r="I15" s="3100"/>
      <c r="J15" s="3103"/>
    </row>
    <row r="16" spans="1:10" ht="15.6">
      <c r="A16" s="3098" t="s">
        <v>2575</v>
      </c>
      <c r="B16" s="3100"/>
      <c r="C16" s="3100"/>
      <c r="D16" s="3100"/>
      <c r="E16" s="3099" t="e">
        <f t="shared" si="2"/>
        <v>#DIV/0!</v>
      </c>
      <c r="F16" s="3099" t="e">
        <f t="shared" si="3"/>
        <v>#DIV/0!</v>
      </c>
      <c r="G16" s="2675"/>
      <c r="H16" s="2675"/>
      <c r="I16" s="3100"/>
      <c r="J16" s="3103"/>
    </row>
    <row r="17" spans="1:10" ht="15.6">
      <c r="A17" s="3098" t="s">
        <v>2576</v>
      </c>
      <c r="B17" s="3100"/>
      <c r="C17" s="3100"/>
      <c r="D17" s="3100"/>
      <c r="E17" s="3099" t="e">
        <f t="shared" si="2"/>
        <v>#DIV/0!</v>
      </c>
      <c r="F17" s="3099" t="e">
        <f t="shared" si="3"/>
        <v>#DIV/0!</v>
      </c>
      <c r="G17" s="2675"/>
      <c r="H17" s="2675"/>
      <c r="I17" s="3100"/>
      <c r="J17" s="3103"/>
    </row>
    <row r="18" spans="1:10" ht="15.6">
      <c r="A18" s="3098" t="s">
        <v>2577</v>
      </c>
      <c r="B18" s="3100"/>
      <c r="C18" s="3100"/>
      <c r="D18" s="3100"/>
      <c r="E18" s="3099" t="e">
        <f t="shared" si="2"/>
        <v>#DIV/0!</v>
      </c>
      <c r="F18" s="3099" t="e">
        <f t="shared" si="3"/>
        <v>#DIV/0!</v>
      </c>
      <c r="G18" s="3100"/>
      <c r="H18" s="3100"/>
      <c r="I18" s="3100"/>
      <c r="J18" s="3103"/>
    </row>
    <row r="19" spans="1:10" ht="15.6">
      <c r="A19" s="3098" t="s">
        <v>2578</v>
      </c>
      <c r="B19" s="3100"/>
      <c r="C19" s="3100"/>
      <c r="D19" s="3100"/>
      <c r="E19" s="3099" t="e">
        <f t="shared" si="2"/>
        <v>#DIV/0!</v>
      </c>
      <c r="F19" s="3099" t="e">
        <f t="shared" si="3"/>
        <v>#DIV/0!</v>
      </c>
      <c r="G19" s="3100"/>
      <c r="H19" s="3100"/>
      <c r="I19" s="3100"/>
      <c r="J19" s="3103"/>
    </row>
    <row r="20" spans="1:10" ht="15.6">
      <c r="A20" s="3098" t="s">
        <v>2579</v>
      </c>
      <c r="B20" s="3100"/>
      <c r="C20" s="3100"/>
      <c r="D20" s="3100"/>
      <c r="E20" s="3099" t="e">
        <f t="shared" si="2"/>
        <v>#DIV/0!</v>
      </c>
      <c r="F20" s="3099" t="e">
        <f t="shared" si="3"/>
        <v>#DIV/0!</v>
      </c>
      <c r="G20" s="3100"/>
      <c r="H20" s="3100"/>
      <c r="I20" s="3100"/>
      <c r="J20" s="3103"/>
    </row>
    <row r="21" spans="1:10" ht="15.6">
      <c r="A21" s="3098" t="s">
        <v>2580</v>
      </c>
      <c r="B21" s="3100"/>
      <c r="C21" s="3100"/>
      <c r="D21" s="3100"/>
      <c r="E21" s="3099" t="e">
        <f t="shared" si="2"/>
        <v>#DIV/0!</v>
      </c>
      <c r="F21" s="3099" t="e">
        <f t="shared" si="3"/>
        <v>#DIV/0!</v>
      </c>
      <c r="G21" s="3100"/>
      <c r="H21" s="3100"/>
      <c r="I21" s="3100"/>
      <c r="J21" s="3103"/>
    </row>
    <row r="22" spans="1:10" ht="15.6">
      <c r="A22" s="3098" t="s">
        <v>2581</v>
      </c>
      <c r="B22" s="3100"/>
      <c r="C22" s="3100"/>
      <c r="D22" s="3100"/>
      <c r="E22" s="3099" t="e">
        <f t="shared" si="2"/>
        <v>#DIV/0!</v>
      </c>
      <c r="F22" s="3099" t="e">
        <f t="shared" si="3"/>
        <v>#DIV/0!</v>
      </c>
      <c r="G22" s="3100"/>
      <c r="H22" s="3100"/>
      <c r="I22" s="3100"/>
      <c r="J22" s="3103"/>
    </row>
    <row r="23" spans="1:10" ht="15.6">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I39" sqref="I39"/>
    </sheetView>
  </sheetViews>
  <sheetFormatPr defaultColWidth="12.6640625" defaultRowHeight="21.75" customHeight="1"/>
  <cols>
    <col min="1" max="2" width="12.77734375" style="1167" bestFit="1" customWidth="1"/>
    <col min="3" max="4" width="12.6640625" style="1167" customWidth="1"/>
    <col min="5" max="9" width="12.77734375" style="1167"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26" t="str">
        <f>项目基本情况!K2</f>
        <v>北京市出让国有建设用地使用权</v>
      </c>
      <c r="B2" s="3627"/>
      <c r="C2" s="3628"/>
      <c r="D2" s="3628"/>
      <c r="E2" s="3628"/>
      <c r="F2" s="3628"/>
      <c r="G2" s="3627"/>
      <c r="H2" s="3627"/>
      <c r="I2" s="3629"/>
      <c r="J2" s="1866"/>
      <c r="K2" s="1865"/>
      <c r="L2" s="1865"/>
      <c r="M2" s="1865"/>
      <c r="N2" s="1865"/>
      <c r="O2" s="1865"/>
      <c r="P2" s="1865"/>
      <c r="Q2" s="1865"/>
      <c r="R2" s="1865"/>
      <c r="S2" s="1865"/>
      <c r="T2" s="1865"/>
      <c r="U2" s="1865"/>
      <c r="V2" s="1865"/>
    </row>
    <row r="3" spans="1:22" ht="13.8">
      <c r="A3" s="3637" t="s">
        <v>298</v>
      </c>
      <c r="B3" s="3638"/>
      <c r="C3" s="3638"/>
      <c r="D3" s="3638"/>
      <c r="E3" s="3638"/>
      <c r="F3" s="3638"/>
      <c r="G3" s="3638"/>
      <c r="H3" s="3638"/>
      <c r="I3" s="3638"/>
      <c r="J3" s="1866"/>
      <c r="K3" s="1865"/>
      <c r="L3" s="1865"/>
      <c r="M3" s="1865"/>
      <c r="N3" s="1865"/>
      <c r="O3" s="1865"/>
      <c r="P3" s="1865"/>
      <c r="Q3" s="1865"/>
      <c r="R3" s="1865"/>
      <c r="S3" s="1865"/>
      <c r="T3" s="1865"/>
      <c r="U3" s="1865"/>
      <c r="V3" s="1865"/>
    </row>
    <row r="4" spans="1:22" ht="14.4">
      <c r="A4" s="256" t="s">
        <v>299</v>
      </c>
      <c r="B4" s="257" t="s">
        <v>300</v>
      </c>
      <c r="C4" s="258" t="s">
        <v>3303</v>
      </c>
      <c r="D4" s="258" t="s">
        <v>3308</v>
      </c>
      <c r="E4" s="3601" t="s">
        <v>301</v>
      </c>
      <c r="F4" s="3643"/>
      <c r="G4" s="3643"/>
      <c r="H4" s="3643"/>
      <c r="I4" s="3602"/>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3.8">
      <c r="A5" s="3630" t="s">
        <v>302</v>
      </c>
      <c r="B5" s="3631">
        <v>25</v>
      </c>
      <c r="C5" s="3639"/>
      <c r="D5" s="3642"/>
      <c r="E5" s="259" t="s">
        <v>303</v>
      </c>
      <c r="F5" s="260"/>
      <c r="G5" s="260"/>
      <c r="H5" s="260"/>
      <c r="I5" s="261"/>
      <c r="J5" s="1866"/>
      <c r="K5" s="1865"/>
      <c r="L5" s="1865"/>
      <c r="M5" s="1865"/>
      <c r="N5" s="1865"/>
      <c r="O5" s="1865"/>
      <c r="P5" s="1865"/>
      <c r="Q5" s="1865"/>
      <c r="R5" s="1865"/>
      <c r="S5" s="1865"/>
      <c r="T5" s="1865"/>
      <c r="U5" s="1865"/>
      <c r="V5" s="1865"/>
    </row>
    <row r="6" spans="1:22" ht="13.8">
      <c r="A6" s="3630"/>
      <c r="B6" s="3631"/>
      <c r="C6" s="3640"/>
      <c r="D6" s="3642"/>
      <c r="E6" s="259" t="s">
        <v>304</v>
      </c>
      <c r="F6" s="260"/>
      <c r="G6" s="260"/>
      <c r="H6" s="260"/>
      <c r="I6" s="261"/>
      <c r="J6" s="1866"/>
      <c r="K6" s="1865"/>
      <c r="L6" s="1865"/>
      <c r="M6" s="1865"/>
      <c r="N6" s="1865"/>
      <c r="O6" s="1865"/>
      <c r="P6" s="1865"/>
      <c r="Q6" s="1865"/>
      <c r="R6" s="1865"/>
      <c r="S6" s="1865"/>
      <c r="T6" s="1865"/>
      <c r="U6" s="1865"/>
      <c r="V6" s="1865"/>
    </row>
    <row r="7" spans="1:22" ht="13.8">
      <c r="A7" s="3630"/>
      <c r="B7" s="3631"/>
      <c r="C7" s="3641"/>
      <c r="D7" s="3642"/>
      <c r="E7" s="259" t="s">
        <v>305</v>
      </c>
      <c r="F7" s="260"/>
      <c r="G7" s="260"/>
      <c r="H7" s="260"/>
      <c r="I7" s="261"/>
      <c r="J7" s="1866"/>
      <c r="K7" s="1865"/>
      <c r="L7" s="1865"/>
      <c r="M7" s="1865"/>
      <c r="N7" s="1865"/>
      <c r="O7" s="1865"/>
      <c r="P7" s="1865"/>
      <c r="Q7" s="1865"/>
      <c r="R7" s="1865"/>
      <c r="S7" s="1865"/>
      <c r="T7" s="1865"/>
      <c r="U7" s="1865"/>
      <c r="V7" s="1865"/>
    </row>
    <row r="8" spans="1:22" ht="13.8">
      <c r="A8" s="3630" t="s">
        <v>306</v>
      </c>
      <c r="B8" s="3631">
        <v>15</v>
      </c>
      <c r="C8" s="3639"/>
      <c r="D8" s="3642"/>
      <c r="E8" s="259" t="s">
        <v>307</v>
      </c>
      <c r="F8" s="260"/>
      <c r="G8" s="260"/>
      <c r="H8" s="260"/>
      <c r="I8" s="261"/>
      <c r="J8" s="1866"/>
      <c r="K8" s="1865"/>
      <c r="L8" s="1865"/>
      <c r="M8" s="1865"/>
      <c r="N8" s="1865"/>
      <c r="O8" s="1865"/>
      <c r="P8" s="1865"/>
      <c r="Q8" s="1865"/>
      <c r="R8" s="1865"/>
      <c r="S8" s="1865"/>
      <c r="T8" s="1865"/>
      <c r="U8" s="1865"/>
      <c r="V8" s="1865"/>
    </row>
    <row r="9" spans="1:22" ht="13.8">
      <c r="A9" s="3630"/>
      <c r="B9" s="3631"/>
      <c r="C9" s="3641"/>
      <c r="D9" s="3642"/>
      <c r="E9" s="259" t="s">
        <v>308</v>
      </c>
      <c r="F9" s="260"/>
      <c r="G9" s="260"/>
      <c r="H9" s="260"/>
      <c r="I9" s="261"/>
      <c r="J9" s="1866"/>
      <c r="K9" s="1865"/>
      <c r="L9" s="1865"/>
      <c r="M9" s="1865"/>
      <c r="N9" s="1865"/>
      <c r="O9" s="1865"/>
      <c r="P9" s="1865"/>
      <c r="Q9" s="1865"/>
      <c r="R9" s="1865"/>
      <c r="S9" s="1865"/>
      <c r="T9" s="1865"/>
      <c r="U9" s="1865"/>
      <c r="V9" s="1865"/>
    </row>
    <row r="10" spans="1:22" ht="13.8">
      <c r="A10" s="3630" t="s">
        <v>309</v>
      </c>
      <c r="B10" s="3631">
        <v>15</v>
      </c>
      <c r="C10" s="3639"/>
      <c r="D10" s="3642"/>
      <c r="E10" s="259" t="s">
        <v>310</v>
      </c>
      <c r="F10" s="260"/>
      <c r="G10" s="260"/>
      <c r="H10" s="260"/>
      <c r="I10" s="261"/>
      <c r="J10" s="1866"/>
      <c r="K10" s="1865"/>
      <c r="L10" s="1865"/>
      <c r="M10" s="1865"/>
      <c r="N10" s="1865"/>
      <c r="O10" s="1865"/>
      <c r="P10" s="1865"/>
      <c r="Q10" s="1865"/>
      <c r="R10" s="1865"/>
      <c r="S10" s="1865"/>
      <c r="T10" s="1865"/>
      <c r="U10" s="1865"/>
      <c r="V10" s="1865"/>
    </row>
    <row r="11" spans="1:22" ht="13.8">
      <c r="A11" s="3630"/>
      <c r="B11" s="3631"/>
      <c r="C11" s="3641"/>
      <c r="D11" s="3642"/>
      <c r="E11" s="259" t="s">
        <v>311</v>
      </c>
      <c r="F11" s="260"/>
      <c r="G11" s="260"/>
      <c r="H11" s="260"/>
      <c r="I11" s="261"/>
      <c r="J11" s="1866"/>
      <c r="K11" s="1865"/>
      <c r="L11" s="1865"/>
      <c r="M11" s="1865"/>
      <c r="N11" s="1865"/>
      <c r="O11" s="1865"/>
      <c r="P11" s="1865"/>
      <c r="Q11" s="1865"/>
      <c r="R11" s="1865"/>
      <c r="S11" s="1865"/>
      <c r="T11" s="1865"/>
      <c r="U11" s="1865"/>
      <c r="V11" s="1865"/>
    </row>
    <row r="12" spans="1:22" ht="13.8">
      <c r="A12" s="3630" t="s">
        <v>312</v>
      </c>
      <c r="B12" s="3631">
        <v>15</v>
      </c>
      <c r="C12" s="3639"/>
      <c r="D12" s="3642"/>
      <c r="E12" s="259" t="s">
        <v>313</v>
      </c>
      <c r="F12" s="260"/>
      <c r="G12" s="260"/>
      <c r="H12" s="260"/>
      <c r="I12" s="261"/>
      <c r="J12" s="1866"/>
      <c r="K12" s="1865"/>
      <c r="L12" s="1865"/>
      <c r="M12" s="1865"/>
      <c r="N12" s="1865"/>
      <c r="O12" s="1865"/>
      <c r="P12" s="1865"/>
      <c r="Q12" s="1865"/>
      <c r="R12" s="1865"/>
      <c r="S12" s="1865"/>
      <c r="T12" s="1865"/>
      <c r="U12" s="1865"/>
      <c r="V12" s="1865"/>
    </row>
    <row r="13" spans="1:22" ht="13.8">
      <c r="A13" s="3630"/>
      <c r="B13" s="3631"/>
      <c r="C13" s="3641"/>
      <c r="D13" s="3642"/>
      <c r="E13" s="259" t="s">
        <v>314</v>
      </c>
      <c r="F13" s="260"/>
      <c r="G13" s="260"/>
      <c r="H13" s="260"/>
      <c r="I13" s="261"/>
      <c r="J13" s="1866"/>
      <c r="K13" s="1865"/>
      <c r="L13" s="1865"/>
      <c r="M13" s="1865"/>
      <c r="N13" s="1865"/>
      <c r="O13" s="1865"/>
      <c r="P13" s="1865"/>
      <c r="Q13" s="1865"/>
      <c r="R13" s="1865"/>
      <c r="S13" s="1865"/>
      <c r="T13" s="1865"/>
      <c r="U13" s="1865"/>
      <c r="V13" s="1865"/>
    </row>
    <row r="14" spans="1:22" ht="13.8">
      <c r="A14" s="3630" t="s">
        <v>315</v>
      </c>
      <c r="B14" s="3631">
        <v>30</v>
      </c>
      <c r="C14" s="3639">
        <v>5</v>
      </c>
      <c r="D14" s="3642">
        <v>5</v>
      </c>
      <c r="E14" s="259" t="s">
        <v>316</v>
      </c>
      <c r="F14" s="260"/>
      <c r="G14" s="260"/>
      <c r="H14" s="260"/>
      <c r="I14" s="261"/>
      <c r="J14" s="1866"/>
      <c r="K14" s="1865"/>
      <c r="L14" s="1865"/>
      <c r="M14" s="1865"/>
      <c r="N14" s="1865"/>
      <c r="O14" s="1865"/>
      <c r="P14" s="1865"/>
      <c r="Q14" s="1865"/>
      <c r="R14" s="1865"/>
      <c r="S14" s="1865"/>
      <c r="T14" s="1865"/>
      <c r="U14" s="1865"/>
      <c r="V14" s="1865"/>
    </row>
    <row r="15" spans="1:22" ht="13.8">
      <c r="A15" s="3630"/>
      <c r="B15" s="3631"/>
      <c r="C15" s="3640"/>
      <c r="D15" s="3642"/>
      <c r="E15" s="259" t="s">
        <v>317</v>
      </c>
      <c r="F15" s="260"/>
      <c r="G15" s="260"/>
      <c r="H15" s="260"/>
      <c r="I15" s="261"/>
      <c r="J15" s="1866"/>
      <c r="K15" s="1865"/>
      <c r="L15" s="1865"/>
      <c r="M15" s="1865"/>
      <c r="N15" s="1865"/>
      <c r="O15" s="1865"/>
      <c r="P15" s="1865"/>
      <c r="Q15" s="1865"/>
      <c r="R15" s="1865"/>
      <c r="S15" s="1865"/>
      <c r="T15" s="1865"/>
      <c r="U15" s="1865"/>
      <c r="V15" s="1865"/>
    </row>
    <row r="16" spans="1:22" ht="13.8">
      <c r="A16" s="3630"/>
      <c r="B16" s="3631"/>
      <c r="C16" s="3641"/>
      <c r="D16" s="3642"/>
      <c r="E16" s="259" t="s">
        <v>318</v>
      </c>
      <c r="F16" s="260"/>
      <c r="G16" s="260"/>
      <c r="H16" s="260"/>
      <c r="I16" s="261"/>
      <c r="J16" s="1866"/>
      <c r="K16" s="1865"/>
      <c r="L16" s="1865"/>
      <c r="M16" s="1865"/>
      <c r="N16" s="1865"/>
      <c r="O16" s="1865"/>
      <c r="P16" s="1865"/>
      <c r="Q16" s="1865"/>
      <c r="R16" s="1865"/>
      <c r="S16" s="1865"/>
      <c r="T16" s="1865"/>
      <c r="U16" s="1865"/>
      <c r="V16" s="1865"/>
    </row>
    <row r="17" spans="1:26" ht="14.4">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 customHeight="1" thickBot="1">
      <c r="A18" s="264" t="s">
        <v>320</v>
      </c>
      <c r="B18" s="105"/>
      <c r="C18" s="265">
        <f>ROUND(C17/SUM(C17:D17),2)</f>
        <v>0.5</v>
      </c>
      <c r="D18" s="265">
        <f>1-C18</f>
        <v>0.5</v>
      </c>
      <c r="E18" s="3644" t="s">
        <v>2695</v>
      </c>
      <c r="F18" s="3645"/>
      <c r="G18" s="3645"/>
      <c r="H18" s="3645"/>
      <c r="I18" s="3645"/>
      <c r="J18" s="1865"/>
      <c r="K18" s="1865"/>
      <c r="L18" s="1865"/>
      <c r="M18" s="1865"/>
      <c r="N18" s="1865"/>
      <c r="O18" s="1865"/>
      <c r="P18" s="1865"/>
      <c r="Q18" s="1865"/>
      <c r="R18" s="1865"/>
      <c r="S18" s="1865"/>
      <c r="T18" s="1865"/>
      <c r="U18" s="1865"/>
      <c r="V18" s="1865"/>
    </row>
    <row r="19" spans="1:26" ht="14.4">
      <c r="A19" s="266" t="s">
        <v>321</v>
      </c>
      <c r="B19" s="267" t="s">
        <v>322</v>
      </c>
      <c r="C19" s="268">
        <f ca="1">SUMIF(INDIRECT("'"&amp;C4&amp;"'"&amp;"!A:A"),结果表!B19,INDIRECT("'"&amp;C4&amp;"'"&amp;"!B:B"))</f>
        <v>133447</v>
      </c>
      <c r="D19" s="269">
        <f ca="1">SUMIF(INDIRECT("'"&amp;D4&amp;"'"&amp;"!A:A"),结果表!B19,INDIRECT("'"&amp;D4&amp;"'"&amp;"!B:B"))</f>
        <v>153092</v>
      </c>
      <c r="E19" s="266" t="s">
        <v>323</v>
      </c>
      <c r="F19" s="267" t="s">
        <v>322</v>
      </c>
      <c r="G19" s="270">
        <f ca="1">ROUND(C19*$C$18+D19*$D$18,0)</f>
        <v>143270</v>
      </c>
      <c r="H19" s="271" t="s">
        <v>324</v>
      </c>
      <c r="I19" s="309"/>
      <c r="J19" s="1865"/>
      <c r="K19" s="1865"/>
      <c r="L19" s="1865"/>
      <c r="M19" s="1865"/>
      <c r="N19" s="1865"/>
      <c r="O19" s="1865"/>
      <c r="P19" s="1865"/>
      <c r="Q19" s="1865"/>
      <c r="R19" s="1865"/>
      <c r="S19" s="1865"/>
      <c r="T19" s="1865"/>
      <c r="U19" s="1865"/>
      <c r="V19" s="1865"/>
    </row>
    <row r="20" spans="1:26" ht="14.4">
      <c r="A20" s="272"/>
      <c r="B20" s="273" t="s">
        <v>325</v>
      </c>
      <c r="C20" s="274">
        <f ca="1">SUMIF(INDIRECT("'"&amp;C4&amp;"'"&amp;"!A:A"),结果表!B20,INDIRECT("'"&amp;C4&amp;"'"&amp;"!B:B"))</f>
        <v>13484</v>
      </c>
      <c r="D20" s="275">
        <f ca="1">SUMIF(INDIRECT("'"&amp;D4&amp;"'"&amp;"!A:A"),结果表!B20,INDIRECT("'"&amp;D4&amp;"'"&amp;"!B:B"))</f>
        <v>15469</v>
      </c>
      <c r="E20" s="272"/>
      <c r="F20" s="273" t="s">
        <v>325</v>
      </c>
      <c r="G20" s="276">
        <f ca="1">ROUND(C20*$C$18+D20*$D$18,0)</f>
        <v>14477</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41321</v>
      </c>
      <c r="D21" s="149">
        <f ca="1">SUMIF(INDIRECT("'"&amp;D4&amp;"'"&amp;"!A:A"),结果表!B21,INDIRECT("'"&amp;D4&amp;"'"&amp;"!B:B"))</f>
        <v>47404</v>
      </c>
      <c r="E21" s="272"/>
      <c r="F21" s="278" t="s">
        <v>327</v>
      </c>
      <c r="G21" s="280">
        <f ca="1">ROUND(C21*$C$18+D21*$D$18,0)</f>
        <v>44363</v>
      </c>
      <c r="H21" s="1168" t="s">
        <v>326</v>
      </c>
      <c r="I21" s="309"/>
      <c r="J21" s="1865"/>
      <c r="K21" s="1865"/>
      <c r="L21" s="1865"/>
      <c r="M21" s="1865"/>
      <c r="N21" s="1865"/>
      <c r="O21" s="1865"/>
      <c r="P21" s="1865"/>
      <c r="Q21" s="1865"/>
      <c r="R21" s="1865"/>
      <c r="S21" s="1865"/>
      <c r="T21" s="1865"/>
      <c r="U21" s="1865"/>
      <c r="V21" s="1865"/>
    </row>
    <row r="22" spans="1:26" ht="15" thickBot="1">
      <c r="A22" s="126" t="s">
        <v>328</v>
      </c>
      <c r="B22" s="1169"/>
      <c r="C22" s="1170"/>
      <c r="D22" s="281">
        <f ca="1">IF(C19&lt;D19,D19/C19-1,C19/D19-1)</f>
        <v>0.14721200176849236</v>
      </c>
      <c r="E22" s="282"/>
      <c r="F22" s="283"/>
      <c r="G22" s="284">
        <f ca="1">ROUND(G19/('数据-汇总表'!D3/666.67),0)</f>
        <v>2958</v>
      </c>
      <c r="H22" s="285" t="s">
        <v>329</v>
      </c>
      <c r="I22" s="309"/>
      <c r="J22" s="1865"/>
      <c r="K22" s="1865"/>
      <c r="L22" s="1865"/>
      <c r="M22" s="1865"/>
      <c r="N22" s="1865"/>
      <c r="O22" s="1865"/>
      <c r="P22" s="1865"/>
      <c r="Q22" s="1865"/>
      <c r="R22" s="1865"/>
      <c r="S22" s="1865"/>
      <c r="T22" s="1865"/>
      <c r="U22" s="1865"/>
      <c r="V22" s="1865"/>
    </row>
    <row r="23" spans="1:26" ht="13.8"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03"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7.399999999999999">
      <c r="A25" s="3650"/>
      <c r="B25" s="1238" t="s">
        <v>331</v>
      </c>
      <c r="C25" s="288">
        <f>IF(B30=0,0,C30)</f>
        <v>0</v>
      </c>
      <c r="D25" s="289"/>
      <c r="E25" s="309"/>
      <c r="F25" s="309"/>
      <c r="G25" s="309"/>
      <c r="H25" s="309"/>
      <c r="I25" s="309"/>
      <c r="J25" s="1865"/>
      <c r="K25" s="1172" t="str">
        <f ca="1">项目基本情况!B16&amp;"国有建设用地使用权价格："&amp;O38&amp;"万元"</f>
        <v>出让国有建设用地使用权价格：143270万元</v>
      </c>
      <c r="L25" s="1173"/>
      <c r="M25" s="1173"/>
      <c r="N25" s="1173"/>
      <c r="O25" s="1174"/>
      <c r="P25" s="1865"/>
      <c r="Q25" s="1865"/>
      <c r="R25" s="1865"/>
      <c r="S25" s="1865"/>
      <c r="T25" s="1865"/>
      <c r="U25" s="1865"/>
      <c r="V25" s="1865"/>
    </row>
    <row r="26" spans="1:26" s="1171" customFormat="1" ht="17.399999999999999">
      <c r="A26" s="291" t="s">
        <v>332</v>
      </c>
      <c r="B26" s="292" t="s">
        <v>333</v>
      </c>
      <c r="C26" s="292" t="s">
        <v>334</v>
      </c>
      <c r="D26" s="293" t="s">
        <v>335</v>
      </c>
      <c r="E26" s="309"/>
      <c r="F26" s="309"/>
      <c r="G26" s="309"/>
      <c r="H26" s="309"/>
      <c r="I26" s="309"/>
      <c r="J26" s="1865"/>
      <c r="K26" s="1175" t="str">
        <f ca="1">"大写金额：人民币"&amp;NUMBERSTRING(INT(O38*10000),2)&amp;"元整"</f>
        <v>大写金额：人民币壹拾肆亿叁仟贰佰柒拾万元整</v>
      </c>
      <c r="L26" s="1169"/>
      <c r="M26" s="1169"/>
      <c r="N26" s="1169"/>
      <c r="O26" s="1168"/>
      <c r="P26" s="1865"/>
      <c r="Q26" s="1865"/>
      <c r="R26" s="1865"/>
      <c r="S26" s="1865"/>
      <c r="T26" s="1865"/>
      <c r="U26" s="1865"/>
      <c r="V26" s="1865"/>
      <c r="W26" s="290"/>
      <c r="X26" s="290"/>
      <c r="Y26" s="290"/>
      <c r="Z26" s="290"/>
    </row>
    <row r="27" spans="1:26" ht="17.399999999999999">
      <c r="A27" s="291"/>
      <c r="B27" s="292"/>
      <c r="C27" s="292"/>
      <c r="D27" s="293"/>
      <c r="E27" s="309"/>
      <c r="F27" s="309"/>
      <c r="G27" s="309"/>
      <c r="H27" s="309"/>
      <c r="I27" s="309"/>
      <c r="J27" s="1865"/>
      <c r="K27" s="1175" t="str">
        <f ca="1">"单位面积地价："&amp;M38&amp;"元/平方米"</f>
        <v>单位面积地价：44363元/平方米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楼面地价：14477元/平方米</v>
      </c>
      <c r="L28" s="1169"/>
      <c r="M28" s="1169"/>
      <c r="N28" s="1169"/>
      <c r="O28" s="1168"/>
      <c r="P28" s="1865"/>
      <c r="V28" s="1865"/>
    </row>
    <row r="29" spans="1:26" ht="17.399999999999999">
      <c r="A29" s="291"/>
      <c r="B29" s="292"/>
      <c r="C29" s="292"/>
      <c r="D29" s="293"/>
      <c r="E29" s="309"/>
      <c r="F29" s="309"/>
      <c r="G29" s="309"/>
      <c r="H29" s="309"/>
      <c r="I29" s="309"/>
      <c r="J29" s="1865"/>
      <c r="K29" s="1175" t="str">
        <f ca="1">IF(OR(项目基本情况!E8="抵押价格",项目基本情况!E8="已注销及未注销"),"抵押价格："&amp;O39&amp;"万元","——")</f>
        <v>抵押价格：141811万元</v>
      </c>
      <c r="L29" s="1169"/>
      <c r="M29" s="1169"/>
      <c r="N29" s="1169"/>
      <c r="O29" s="1168"/>
      <c r="P29" s="1865"/>
      <c r="V29" s="1865"/>
    </row>
    <row r="30" spans="1:26" ht="18" thickBot="1">
      <c r="A30" s="2718" t="s">
        <v>336</v>
      </c>
      <c r="B30" s="307"/>
      <c r="C30" s="307"/>
      <c r="D30" s="308"/>
      <c r="E30" s="2911" t="s">
        <v>2696</v>
      </c>
      <c r="F30" s="309"/>
      <c r="G30" s="309"/>
      <c r="H30" s="309"/>
      <c r="I30" s="309"/>
      <c r="J30" s="1865"/>
      <c r="K30" s="1175" t="str">
        <f ca="1">IF(K29="——","——","大写金额：人民币"&amp;NUMBERSTRING(INT(O39*10000),2)&amp;"元整")</f>
        <v>大写金额：人民币壹拾肆亿壹仟捌佰壹拾壹万元整</v>
      </c>
      <c r="L30" s="1169"/>
      <c r="M30" s="1169"/>
      <c r="N30" s="1169"/>
      <c r="O30" s="1168"/>
      <c r="P30" s="1865"/>
      <c r="V30" s="1865"/>
    </row>
    <row r="31" spans="1:26" ht="24" customHeight="1" thickBot="1">
      <c r="A31" s="3646" t="s">
        <v>2697</v>
      </c>
      <c r="B31" s="3646"/>
      <c r="C31" s="3646"/>
      <c r="D31" s="3646"/>
      <c r="E31" s="3646"/>
      <c r="F31" s="3646"/>
      <c r="G31" s="3646"/>
      <c r="H31" s="3646"/>
      <c r="I31" s="3646"/>
      <c r="J31" s="1865"/>
      <c r="K31" s="2276" t="str">
        <f>IF(项目基本情况!E8="抵押价格","——","抵押担保权已注销时的抵押价格："&amp;O40&amp;"万元")</f>
        <v>——</v>
      </c>
      <c r="L31" s="2272"/>
      <c r="M31" s="2272"/>
      <c r="N31" s="2272"/>
      <c r="O31" s="2273"/>
      <c r="P31" s="1865"/>
      <c r="V31" s="1865"/>
    </row>
    <row r="32" spans="1:26" ht="18.600000000000001" thickTop="1" thickBot="1">
      <c r="A32" s="272" t="s">
        <v>337</v>
      </c>
      <c r="B32" s="2912" t="s">
        <v>1488</v>
      </c>
      <c r="C32" s="264">
        <f ca="1">G19-C24</f>
        <v>143270</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 thickBot="1">
      <c r="A33" s="296" t="s">
        <v>340</v>
      </c>
      <c r="B33" s="1288" t="s">
        <v>1490</v>
      </c>
      <c r="C33" s="262">
        <f ca="1">ROUND(C32*10000/'数据-汇总表'!E3,0)</f>
        <v>14477</v>
      </c>
      <c r="D33" s="1289" t="s">
        <v>1491</v>
      </c>
      <c r="E33" s="3603"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 thickBot="1">
      <c r="A34" s="298"/>
      <c r="B34" s="1290" t="s">
        <v>1492</v>
      </c>
      <c r="C34" s="262">
        <f ca="1">ROUND(C32*10000/'数据-汇总表'!D3,0)</f>
        <v>44363</v>
      </c>
      <c r="D34" s="1291" t="s">
        <v>1491</v>
      </c>
      <c r="E34" s="3604"/>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 thickBot="1">
      <c r="A35" s="282"/>
      <c r="B35" s="1292"/>
      <c r="C35" s="1293">
        <f ca="1">ROUND(C32/('数据-汇总表'!D3/666.67),0)</f>
        <v>2958</v>
      </c>
      <c r="D35" s="1294" t="s">
        <v>1493</v>
      </c>
      <c r="E35" s="3605"/>
      <c r="F35" s="299" t="s">
        <v>342</v>
      </c>
      <c r="G35" s="952">
        <f>E37</f>
        <v>1459</v>
      </c>
      <c r="H35" s="951" t="s">
        <v>343</v>
      </c>
      <c r="I35" s="309"/>
      <c r="J35" s="1865"/>
      <c r="K35" s="3609" t="s">
        <v>350</v>
      </c>
      <c r="L35" s="3609" t="s">
        <v>351</v>
      </c>
      <c r="M35" s="1181" t="s">
        <v>352</v>
      </c>
      <c r="N35" s="3609" t="s">
        <v>353</v>
      </c>
      <c r="O35" s="3609" t="s">
        <v>354</v>
      </c>
      <c r="P35" s="1865"/>
      <c r="V35" s="1865"/>
    </row>
    <row r="36" spans="1:26" ht="16.5" customHeight="1">
      <c r="A36" s="301" t="s">
        <v>344</v>
      </c>
      <c r="B36" s="302" t="s">
        <v>333</v>
      </c>
      <c r="C36" s="303" t="s">
        <v>345</v>
      </c>
      <c r="D36" s="303" t="s">
        <v>346</v>
      </c>
      <c r="E36" s="304" t="s">
        <v>347</v>
      </c>
      <c r="F36" s="309"/>
      <c r="G36" s="309"/>
      <c r="H36" s="309"/>
      <c r="I36" s="309"/>
      <c r="J36" s="1867"/>
      <c r="K36" s="3610"/>
      <c r="L36" s="3610"/>
      <c r="M36" s="1183" t="s">
        <v>355</v>
      </c>
      <c r="N36" s="3610"/>
      <c r="O36" s="3610"/>
      <c r="P36" s="1865"/>
      <c r="V36" s="1865"/>
    </row>
    <row r="37" spans="1:26" ht="16.5" customHeight="1" thickBot="1">
      <c r="A37" s="1177" t="s">
        <v>348</v>
      </c>
      <c r="B37" s="305">
        <f>结果表新!C24</f>
        <v>22085</v>
      </c>
      <c r="C37" s="292">
        <f>结果表新!D24</f>
        <v>641</v>
      </c>
      <c r="D37" s="3479">
        <v>3.0499999999999999E-2</v>
      </c>
      <c r="E37" s="293">
        <f>ROUND(B37*C37*(1+D37)/10000,0)</f>
        <v>1459</v>
      </c>
      <c r="F37" s="309"/>
      <c r="G37" s="309"/>
      <c r="H37" s="309"/>
      <c r="I37" s="309"/>
      <c r="J37" s="1867"/>
      <c r="K37" s="3611"/>
      <c r="L37" s="3611"/>
      <c r="M37" s="1184"/>
      <c r="N37" s="3611"/>
      <c r="O37" s="3611"/>
      <c r="P37" s="1865"/>
      <c r="V37" s="1865"/>
    </row>
    <row r="38" spans="1:26" ht="16.5" customHeight="1" thickBot="1">
      <c r="A38" s="1177" t="s">
        <v>349</v>
      </c>
      <c r="B38" s="305"/>
      <c r="C38" s="292"/>
      <c r="D38" s="292"/>
      <c r="E38" s="293"/>
      <c r="F38" s="309"/>
      <c r="G38" s="309"/>
      <c r="H38" s="309"/>
      <c r="I38" s="309"/>
      <c r="J38" s="1867"/>
      <c r="K38" s="1185">
        <f>'数据-汇总表'!D3</f>
        <v>32294.89</v>
      </c>
      <c r="L38" s="1186">
        <f>'数据-汇总表'!E3</f>
        <v>98965.430000000008</v>
      </c>
      <c r="M38" s="1186">
        <f ca="1">C34</f>
        <v>44363</v>
      </c>
      <c r="N38" s="1186">
        <f ca="1">C33</f>
        <v>14477</v>
      </c>
      <c r="O38" s="1187">
        <f ca="1">C32</f>
        <v>143270</v>
      </c>
      <c r="P38" s="1865"/>
      <c r="V38" s="1865"/>
    </row>
    <row r="39" spans="1:26" ht="16.5" customHeight="1" thickBot="1">
      <c r="A39" s="1182"/>
      <c r="B39" s="306"/>
      <c r="C39" s="307"/>
      <c r="D39" s="307"/>
      <c r="E39" s="308"/>
      <c r="F39" s="309"/>
      <c r="G39" s="309"/>
      <c r="H39" s="309"/>
      <c r="I39" s="309"/>
      <c r="J39" s="1867"/>
      <c r="K39" s="3622" t="str">
        <f>MID(A44,3,LEN(A44)-2)</f>
        <v>抵押价格</v>
      </c>
      <c r="L39" s="3623"/>
      <c r="M39" s="3623"/>
      <c r="N39" s="3624"/>
      <c r="O39" s="1296">
        <f ca="1">C44</f>
        <v>141811</v>
      </c>
      <c r="P39" s="1865"/>
      <c r="V39" s="1865"/>
    </row>
    <row r="40" spans="1:26" ht="18" thickBot="1">
      <c r="A40" s="104" t="s">
        <v>852</v>
      </c>
      <c r="B40" s="309"/>
      <c r="C40" s="309"/>
      <c r="D40" s="309"/>
      <c r="E40" s="309"/>
      <c r="F40" s="309"/>
      <c r="G40" s="309"/>
      <c r="H40" s="309"/>
      <c r="I40" s="309"/>
      <c r="J40" s="1867"/>
      <c r="K40" s="3622" t="str">
        <f t="shared" ref="K40:K41" si="0">MID(A45,3,LEN(A45)-2)</f>
        <v/>
      </c>
      <c r="L40" s="3623"/>
      <c r="M40" s="3623"/>
      <c r="N40" s="3624"/>
      <c r="O40" s="1296" t="str">
        <f>C45</f>
        <v>——</v>
      </c>
      <c r="P40" s="1865"/>
      <c r="V40" s="1865"/>
    </row>
    <row r="41" spans="1:26" ht="16.2" thickBot="1">
      <c r="A41" s="310" t="s">
        <v>356</v>
      </c>
      <c r="B41" s="311"/>
      <c r="C41" s="312" t="s">
        <v>357</v>
      </c>
      <c r="D41" s="313" t="s">
        <v>358</v>
      </c>
      <c r="E41" s="313" t="s">
        <v>359</v>
      </c>
      <c r="F41" s="314" t="s">
        <v>360</v>
      </c>
      <c r="G41" s="309"/>
      <c r="H41" s="309"/>
      <c r="I41" s="309"/>
      <c r="J41" s="1867"/>
      <c r="K41" s="3622" t="str">
        <f t="shared" si="0"/>
        <v/>
      </c>
      <c r="L41" s="3623"/>
      <c r="M41" s="3623"/>
      <c r="N41" s="3624"/>
      <c r="O41" s="1296" t="str">
        <f>C46</f>
        <v>——</v>
      </c>
      <c r="P41" s="1865"/>
      <c r="V41" s="1865"/>
    </row>
    <row r="42" spans="1:26" ht="31.2">
      <c r="A42" s="3651" t="s">
        <v>1859</v>
      </c>
      <c r="B42" s="3652"/>
      <c r="C42" s="262">
        <f ca="1">C32</f>
        <v>143270</v>
      </c>
      <c r="D42" s="315">
        <f ca="1">C33</f>
        <v>14477</v>
      </c>
      <c r="E42" s="315">
        <f ca="1">C34</f>
        <v>44363</v>
      </c>
      <c r="F42" s="316">
        <f ca="1">C35</f>
        <v>2958</v>
      </c>
      <c r="G42" s="309"/>
      <c r="H42" s="309"/>
      <c r="I42" s="317"/>
      <c r="J42" s="1867"/>
      <c r="K42" s="1188" t="s">
        <v>361</v>
      </c>
      <c r="L42" s="1884" t="s">
        <v>362</v>
      </c>
      <c r="M42" s="1189" t="s">
        <v>363</v>
      </c>
      <c r="N42" s="1885" t="s">
        <v>364</v>
      </c>
      <c r="O42" s="1886" t="s">
        <v>365</v>
      </c>
      <c r="P42" s="1865"/>
      <c r="V42" s="1865"/>
    </row>
    <row r="43" spans="1:26" ht="30">
      <c r="A43" s="3661" t="s">
        <v>2447</v>
      </c>
      <c r="B43" s="3662"/>
      <c r="C43" s="262">
        <f>IF(H33="正常操作",G33+G34+G35,G34+G35)</f>
        <v>1459</v>
      </c>
      <c r="D43" s="315" t="s">
        <v>43</v>
      </c>
      <c r="E43" s="315" t="s">
        <v>44</v>
      </c>
      <c r="F43" s="316" t="s">
        <v>44</v>
      </c>
      <c r="G43" s="2505" t="s">
        <v>931</v>
      </c>
      <c r="H43" s="309"/>
      <c r="I43" s="317"/>
      <c r="J43" s="1867"/>
      <c r="K43" s="1190" t="str">
        <f>C4</f>
        <v>比较法-住宅、综合</v>
      </c>
      <c r="L43" s="1191">
        <f ca="1">IF(L42="估价结果/万元",C19,C20)</f>
        <v>133447</v>
      </c>
      <c r="M43" s="1192">
        <f>C18</f>
        <v>0.5</v>
      </c>
      <c r="N43" s="1193">
        <f ca="1">IF(N42="测算结果/万元",G19,G20)</f>
        <v>143270</v>
      </c>
      <c r="O43" s="1194">
        <f ca="1">IF(O42="最终结果/万元",C32,C33)</f>
        <v>143270</v>
      </c>
      <c r="P43" s="1865"/>
      <c r="V43" s="1865"/>
    </row>
    <row r="44" spans="1:26" ht="30.6" thickBot="1">
      <c r="A44" s="3651" t="str">
        <f>IF(OR(项目基本情况!E8="抵押价格",项目基本情况!E8="已注销及未注销"),"3.抵押价格","——")</f>
        <v>3.抵押价格</v>
      </c>
      <c r="B44" s="3652"/>
      <c r="C44" s="262">
        <f ca="1">IF(A44="——","——",C42-C43)</f>
        <v>141811</v>
      </c>
      <c r="D44" s="315">
        <f ca="1">ROUND(C44*10000/'数据-汇总表'!E3,0)</f>
        <v>14329</v>
      </c>
      <c r="E44" s="315">
        <f ca="1">ROUND(C44*10000/'数据-汇总表'!D3,0)</f>
        <v>43911</v>
      </c>
      <c r="F44" s="316">
        <f ca="1">ROUND(C44/('数据-汇总表'!D3/666.67),0)</f>
        <v>2927</v>
      </c>
      <c r="G44" s="309"/>
      <c r="H44" s="309"/>
      <c r="I44" s="317"/>
      <c r="J44" s="1867"/>
      <c r="K44" s="1195" t="str">
        <f>D4</f>
        <v>剩余法-待开发</v>
      </c>
      <c r="L44" s="1196">
        <f ca="1">IF(L42="估价结果/万元",D19,D20)</f>
        <v>153092</v>
      </c>
      <c r="M44" s="1197">
        <f>D18</f>
        <v>0.5</v>
      </c>
      <c r="N44" s="1198"/>
      <c r="O44" s="1199"/>
      <c r="P44" s="1865"/>
      <c r="V44" s="1865"/>
    </row>
    <row r="45" spans="1:26" ht="13.8">
      <c r="A45" s="3656" t="str">
        <f>IF(项目基本情况!E8="已注销及未注销","4.抵押担保权已注销时的抵押价格",IF(项目基本情况!E8="已注销","3.抵押担保权已注销时的抵押价格","——"))</f>
        <v>——</v>
      </c>
      <c r="B45" s="3657"/>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4.4" thickBot="1">
      <c r="A46" s="3653" t="str">
        <f>IF(项目基本情况!E9="抵押净值",IF(A45="——","4.抵押净值","5.抵押净值"),"——")</f>
        <v>——</v>
      </c>
      <c r="B46" s="3654"/>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6">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本次评估估价师知悉的法定优先受偿款为人民币1459万元整。</v>
      </c>
      <c r="L47" s="1865"/>
      <c r="M47" s="1865"/>
      <c r="N47" s="1865"/>
      <c r="O47" s="1865"/>
      <c r="P47" s="1865"/>
      <c r="Q47" s="1865"/>
      <c r="R47" s="1865"/>
      <c r="S47" s="1865"/>
      <c r="T47" s="1865"/>
      <c r="U47" s="1865"/>
      <c r="V47" s="1865"/>
    </row>
    <row r="48" spans="1:26" ht="13.2">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3.2">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3.2">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3.2">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3.2">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3.2">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3.2">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3.2">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3.2">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3.2">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3.2">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3.2">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3.2">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3.2">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7.399999999999999">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14" t="s">
        <v>374</v>
      </c>
      <c r="B63" s="3615"/>
      <c r="C63" s="3616"/>
      <c r="D63" s="339">
        <f ca="1">ROUND(C42*F63,0)</f>
        <v>143270</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58" t="s">
        <v>378</v>
      </c>
      <c r="B64" s="3659"/>
      <c r="C64" s="3659"/>
      <c r="D64" s="3659"/>
      <c r="E64" s="3659"/>
      <c r="F64" s="3659"/>
      <c r="G64" s="3660"/>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6.4">
      <c r="A66" s="3655" t="s">
        <v>386</v>
      </c>
      <c r="B66" s="3621"/>
      <c r="C66" s="3621"/>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1"/>
      <c r="K66" s="1208">
        <v>1</v>
      </c>
      <c r="L66" s="3582" t="s">
        <v>385</v>
      </c>
      <c r="M66" s="3583"/>
      <c r="N66" s="2266"/>
      <c r="O66" s="2267"/>
      <c r="P66" s="2268"/>
      <c r="Q66" s="1865"/>
      <c r="R66" s="1865"/>
      <c r="S66" s="1865"/>
      <c r="T66" s="1865"/>
      <c r="U66" s="1865"/>
      <c r="V66" s="1865"/>
    </row>
    <row r="67" spans="1:22" ht="25.5" customHeight="1">
      <c r="A67" s="350" t="s">
        <v>389</v>
      </c>
      <c r="B67" s="3633" t="s">
        <v>390</v>
      </c>
      <c r="C67" s="3633"/>
      <c r="D67" s="351">
        <v>0</v>
      </c>
      <c r="E67" s="41" t="s">
        <v>391</v>
      </c>
      <c r="F67" s="62" t="s">
        <v>21</v>
      </c>
      <c r="G67" s="3617"/>
      <c r="H67" s="2914" t="s">
        <v>2698</v>
      </c>
      <c r="I67" s="2916"/>
      <c r="J67" s="1872"/>
      <c r="K67" s="1844">
        <v>2</v>
      </c>
      <c r="L67" s="3587" t="s">
        <v>388</v>
      </c>
      <c r="M67" s="3587"/>
      <c r="N67" s="1242">
        <f>'数据-取费表'!B2</f>
        <v>44756</v>
      </c>
      <c r="O67" s="1242"/>
      <c r="P67" s="1242"/>
      <c r="Q67" s="1865"/>
      <c r="R67" s="1865"/>
      <c r="S67" s="1865"/>
      <c r="T67" s="1865"/>
      <c r="U67" s="1865"/>
      <c r="V67" s="1865"/>
    </row>
    <row r="68" spans="1:22" ht="25.5" customHeight="1">
      <c r="A68" s="352"/>
      <c r="B68" s="3633" t="s">
        <v>393</v>
      </c>
      <c r="C68" s="3633"/>
      <c r="D68" s="353"/>
      <c r="E68" s="77"/>
      <c r="F68" s="354"/>
      <c r="G68" s="3618"/>
      <c r="H68" s="2915" t="s">
        <v>2699</v>
      </c>
      <c r="I68" s="2916"/>
      <c r="J68" s="1872"/>
      <c r="K68" s="1844">
        <v>3</v>
      </c>
      <c r="L68" s="3587" t="s">
        <v>392</v>
      </c>
      <c r="M68" s="3587"/>
      <c r="N68" s="1210">
        <f ca="1">C42</f>
        <v>143270</v>
      </c>
      <c r="O68" s="1210"/>
      <c r="P68" s="1210"/>
      <c r="Q68" s="1865"/>
      <c r="R68" s="1865"/>
      <c r="S68" s="1865"/>
      <c r="T68" s="1865"/>
      <c r="U68" s="1865"/>
      <c r="V68" s="1865"/>
    </row>
    <row r="69" spans="1:22" ht="23.4" customHeight="1">
      <c r="A69" s="355"/>
      <c r="B69" s="3633" t="s">
        <v>394</v>
      </c>
      <c r="C69" s="3633"/>
      <c r="D69" s="356"/>
      <c r="E69" s="73"/>
      <c r="F69" s="354"/>
      <c r="G69" s="3619"/>
      <c r="H69" s="2915" t="s">
        <v>2700</v>
      </c>
      <c r="I69" s="2916"/>
      <c r="J69" s="1872"/>
      <c r="K69" s="1211">
        <v>4</v>
      </c>
      <c r="L69" s="3588" t="s">
        <v>2596</v>
      </c>
      <c r="M69" s="3589"/>
      <c r="N69" s="1212">
        <f ca="1">C44</f>
        <v>141811</v>
      </c>
      <c r="O69" s="1212"/>
      <c r="P69" s="1212"/>
      <c r="Q69" s="1865"/>
      <c r="R69" s="1865"/>
      <c r="S69" s="1865"/>
      <c r="T69" s="1865"/>
      <c r="U69" s="1865"/>
      <c r="V69" s="1865"/>
    </row>
    <row r="70" spans="1:22" ht="24" customHeight="1">
      <c r="A70" s="357" t="s">
        <v>395</v>
      </c>
      <c r="B70" s="3633" t="s">
        <v>396</v>
      </c>
      <c r="C70" s="3633"/>
      <c r="D70" s="356">
        <f ca="1">ROUND(D63*'数据-取费表'!B41/(1+'数据-取费表'!C42),0)</f>
        <v>7505</v>
      </c>
      <c r="E70" s="17" t="s">
        <v>397</v>
      </c>
      <c r="F70" s="358">
        <f>'数据-取费表'!B41</f>
        <v>5.5000000000000007E-2</v>
      </c>
      <c r="G70" s="359"/>
      <c r="H70" s="309"/>
      <c r="I70" s="1209"/>
      <c r="J70" s="1872"/>
      <c r="K70" s="2683"/>
      <c r="L70" s="2684"/>
      <c r="M70" s="2684"/>
      <c r="N70" s="2685" t="s">
        <v>2600</v>
      </c>
      <c r="O70" s="2684"/>
      <c r="P70" s="2686"/>
      <c r="Q70" s="1865"/>
      <c r="R70" s="1865"/>
      <c r="S70" s="1865"/>
      <c r="T70" s="1865"/>
      <c r="U70" s="1865"/>
      <c r="V70" s="1865"/>
    </row>
    <row r="71" spans="1:22" ht="12" customHeight="1">
      <c r="A71" s="357" t="s">
        <v>403</v>
      </c>
      <c r="B71" s="3632" t="s">
        <v>2728</v>
      </c>
      <c r="C71" s="3649"/>
      <c r="D71" s="356">
        <f ca="1">ROUND(D63*'数据-取费表'!B41/(1+'数据-取费表'!C42),0)</f>
        <v>7505</v>
      </c>
      <c r="E71" s="17" t="s">
        <v>397</v>
      </c>
      <c r="F71" s="358">
        <f>'数据-取费表'!B41</f>
        <v>5.5000000000000007E-2</v>
      </c>
      <c r="G71" s="359"/>
      <c r="H71" s="309"/>
      <c r="I71" s="1209"/>
      <c r="J71" s="1872"/>
      <c r="K71" s="2682" t="s">
        <v>398</v>
      </c>
      <c r="L71" s="3590" t="s">
        <v>399</v>
      </c>
      <c r="M71" s="3590"/>
      <c r="N71" s="2682" t="s">
        <v>400</v>
      </c>
      <c r="O71" s="2682" t="s">
        <v>401</v>
      </c>
      <c r="P71" s="2682" t="s">
        <v>402</v>
      </c>
      <c r="Q71" s="1865"/>
      <c r="R71" s="1865"/>
      <c r="S71" s="1865"/>
      <c r="T71" s="1865"/>
      <c r="U71" s="1865"/>
      <c r="V71" s="1865"/>
    </row>
    <row r="72" spans="1:22" ht="12" customHeight="1">
      <c r="A72" s="357" t="s">
        <v>405</v>
      </c>
      <c r="B72" s="3632" t="s">
        <v>2729</v>
      </c>
      <c r="C72" s="3649"/>
      <c r="D72" s="356">
        <f ca="1">C86</f>
        <v>7505</v>
      </c>
      <c r="E72" s="73" t="s">
        <v>406</v>
      </c>
      <c r="F72" s="358">
        <f>'数据-取费表'!B41</f>
        <v>5.5000000000000007E-2</v>
      </c>
      <c r="G72" s="359"/>
      <c r="H72" s="1215"/>
      <c r="I72" s="1209"/>
      <c r="J72" s="1872"/>
      <c r="K72" s="1844">
        <v>1</v>
      </c>
      <c r="L72" s="3586" t="s">
        <v>404</v>
      </c>
      <c r="M72" s="3586"/>
      <c r="N72" s="1213" t="b">
        <f>D66</f>
        <v>0</v>
      </c>
      <c r="O72" s="1728" t="str">
        <f>E66</f>
        <v>销售额×税（费）率</v>
      </c>
      <c r="P72" s="1214">
        <f>F66</f>
        <v>5.5000000000000007E-2</v>
      </c>
      <c r="Q72" s="1865"/>
      <c r="R72" s="1865"/>
      <c r="S72" s="1865"/>
      <c r="T72" s="1865"/>
      <c r="U72" s="1865"/>
      <c r="V72" s="1865"/>
    </row>
    <row r="73" spans="1:22" ht="24" customHeight="1">
      <c r="A73" s="3620" t="s">
        <v>408</v>
      </c>
      <c r="B73" s="3621"/>
      <c r="C73" s="3621"/>
      <c r="D73" s="360">
        <f ca="1">IF(H73="个人住宅",0,ROUND(D63*I73,0))</f>
        <v>72</v>
      </c>
      <c r="E73" s="17" t="s">
        <v>409</v>
      </c>
      <c r="F73" s="358" t="str">
        <f>IF(H73="正常",I73,"免征")</f>
        <v>免征</v>
      </c>
      <c r="G73" s="359"/>
      <c r="H73" s="189"/>
      <c r="I73" s="358">
        <f>'数据-取费表'!B49</f>
        <v>5.0000000000000001E-4</v>
      </c>
      <c r="J73" s="1872"/>
      <c r="K73" s="1844">
        <v>2</v>
      </c>
      <c r="L73" s="3586" t="s">
        <v>407</v>
      </c>
      <c r="M73" s="3586"/>
      <c r="N73" s="1213">
        <f t="shared" ref="N73:P74" ca="1" si="1">D73</f>
        <v>72</v>
      </c>
      <c r="O73" s="1728" t="str">
        <f t="shared" si="1"/>
        <v>销售额×税（费）率</v>
      </c>
      <c r="P73" s="1214" t="str">
        <f t="shared" si="1"/>
        <v>免征</v>
      </c>
      <c r="Q73" s="1865"/>
      <c r="R73" s="1865"/>
      <c r="S73" s="1865"/>
      <c r="T73" s="1865"/>
      <c r="U73" s="1865"/>
      <c r="V73" s="1865"/>
    </row>
    <row r="74" spans="1:22" ht="25.2">
      <c r="A74" s="3620" t="s">
        <v>411</v>
      </c>
      <c r="B74" s="3621"/>
      <c r="C74" s="3621"/>
      <c r="D74" s="360">
        <f ca="1">IF(H74="个人住宅",D75,D76)</f>
        <v>81221</v>
      </c>
      <c r="E74" s="17" t="s">
        <v>412</v>
      </c>
      <c r="F74" s="358" t="str">
        <f>IF(H74="正常",F76,"免征")</f>
        <v>免征</v>
      </c>
      <c r="G74" s="953" t="s">
        <v>413</v>
      </c>
      <c r="H74" s="361"/>
      <c r="I74" s="42"/>
      <c r="J74" s="1872"/>
      <c r="K74" s="1844">
        <v>3</v>
      </c>
      <c r="L74" s="3586" t="s">
        <v>410</v>
      </c>
      <c r="M74" s="3586"/>
      <c r="N74" s="1213">
        <f t="shared" ca="1" si="1"/>
        <v>81221</v>
      </c>
      <c r="O74" s="1728" t="str">
        <f t="shared" si="1"/>
        <v>增值额×税（费）率</v>
      </c>
      <c r="P74" s="1216" t="str">
        <f t="shared" si="1"/>
        <v>免征</v>
      </c>
      <c r="Q74" s="1865"/>
      <c r="R74" s="1865"/>
      <c r="S74" s="1865"/>
      <c r="T74" s="1865"/>
      <c r="U74" s="1865"/>
      <c r="V74" s="1865"/>
    </row>
    <row r="75" spans="1:22" ht="13.2">
      <c r="A75" s="357" t="s">
        <v>414</v>
      </c>
      <c r="B75" s="3601" t="s">
        <v>415</v>
      </c>
      <c r="C75" s="3602"/>
      <c r="D75" s="362">
        <v>0</v>
      </c>
      <c r="E75" s="41" t="s">
        <v>416</v>
      </c>
      <c r="F75" s="363"/>
      <c r="G75" s="359"/>
      <c r="H75" s="42"/>
      <c r="I75" s="42"/>
      <c r="J75" s="1872"/>
      <c r="K75" s="2676">
        <f>IF(H77="非个人房产","",4)</f>
        <v>4</v>
      </c>
      <c r="L75" s="3586" t="str">
        <f>IF(H77="非个人房产","——","个人所得税")</f>
        <v>个人所得税</v>
      </c>
      <c r="M75" s="3586"/>
      <c r="N75" s="1217">
        <f>D77</f>
        <v>0</v>
      </c>
      <c r="O75" s="1741" t="str">
        <f>E77</f>
        <v>差额计税</v>
      </c>
      <c r="P75" s="1218">
        <f>F77</f>
        <v>0.01</v>
      </c>
      <c r="Q75" s="1865"/>
      <c r="R75" s="1865"/>
      <c r="S75" s="1865"/>
      <c r="T75" s="1865"/>
      <c r="U75" s="1865"/>
      <c r="V75" s="1865"/>
    </row>
    <row r="76" spans="1:22" ht="25.2">
      <c r="A76" s="357" t="s">
        <v>395</v>
      </c>
      <c r="B76" s="3601" t="s">
        <v>418</v>
      </c>
      <c r="C76" s="3643"/>
      <c r="D76" s="360">
        <f ca="1">IF(H76="转让取得",C99,C115)</f>
        <v>81221</v>
      </c>
      <c r="E76" s="17" t="s">
        <v>419</v>
      </c>
      <c r="F76" s="53" t="s">
        <v>21</v>
      </c>
      <c r="G76" s="359"/>
      <c r="H76" s="361"/>
      <c r="I76" s="42"/>
      <c r="J76" s="1872"/>
      <c r="K76" s="2676" t="str">
        <f>IF(项目基本情况!K6="上海银行",IF(K75="",4,K75+1),"")</f>
        <v/>
      </c>
      <c r="L76" s="3597" t="str">
        <f>IF(项目基本情况!K6="上海银行","其他处置费用","")</f>
        <v/>
      </c>
      <c r="M76" s="3598"/>
      <c r="N76" s="1213" t="str">
        <f>IF(项目基本情况!K6="上海银行",N89,"")</f>
        <v/>
      </c>
      <c r="O76" s="3599" t="str">
        <f>IF(项目基本情况!K6="上海银行","包含处置中涉及的律师、诉讼、拍卖、评估等费用","")</f>
        <v/>
      </c>
      <c r="P76" s="3600"/>
      <c r="Q76" s="1865"/>
      <c r="R76" s="1865"/>
      <c r="S76" s="1865"/>
      <c r="T76" s="1865"/>
      <c r="U76" s="1865"/>
      <c r="V76" s="1865"/>
    </row>
    <row r="77" spans="1:22" ht="24.6" thickBot="1">
      <c r="A77" s="3612" t="s">
        <v>421</v>
      </c>
      <c r="B77" s="3613"/>
      <c r="C77" s="3613"/>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608">
        <f>IF(AND(K75="",K76=""),4,IF(项目基本情况!K6="上海银行",K76+1,K75+1))</f>
        <v>5</v>
      </c>
      <c r="L77" s="3586" t="s">
        <v>2597</v>
      </c>
      <c r="M77" s="2681" t="s">
        <v>417</v>
      </c>
      <c r="N77" s="1219"/>
      <c r="O77" s="1220">
        <f ca="1">SUMIF(N72:N76,"&lt;9e307")</f>
        <v>81293</v>
      </c>
      <c r="P77" s="1221"/>
      <c r="Q77" s="2679">
        <f ca="1">O77/N69</f>
        <v>0.57324890170720189</v>
      </c>
      <c r="R77" s="1865"/>
      <c r="S77" s="1865"/>
      <c r="T77" s="1865"/>
      <c r="U77" s="1865"/>
      <c r="V77" s="1865"/>
    </row>
    <row r="78" spans="1:22" ht="12" customHeight="1">
      <c r="A78" s="1222"/>
      <c r="B78" s="309"/>
      <c r="C78" s="309"/>
      <c r="D78" s="309"/>
      <c r="E78" s="42"/>
      <c r="F78" s="42"/>
      <c r="G78" s="42"/>
      <c r="H78" s="973"/>
      <c r="I78" s="309"/>
      <c r="J78" s="1872"/>
      <c r="K78" s="3608"/>
      <c r="L78" s="3586"/>
      <c r="M78" s="2681" t="s">
        <v>420</v>
      </c>
      <c r="N78" s="1219"/>
      <c r="O78" s="1220" t="str">
        <f ca="1">NUMBERSTRING(INT(O77*10000),2)&amp;"元整"</f>
        <v>捌亿壹仟贰佰玖拾叁万元整</v>
      </c>
      <c r="P78" s="1221"/>
      <c r="Q78" s="1865"/>
      <c r="R78" s="1865"/>
      <c r="S78" s="1865"/>
      <c r="T78" s="1865"/>
      <c r="U78" s="1865"/>
      <c r="V78" s="1865"/>
    </row>
    <row r="79" spans="1:22" ht="13.8" thickBot="1">
      <c r="A79" s="3663" t="s">
        <v>422</v>
      </c>
      <c r="B79" s="3663"/>
      <c r="C79" s="3663"/>
      <c r="D79" s="3663"/>
      <c r="E79" s="3663"/>
      <c r="F79" s="42"/>
      <c r="G79" s="42"/>
      <c r="H79" s="973"/>
      <c r="I79" s="309"/>
      <c r="J79" s="1872"/>
      <c r="K79" s="3584">
        <f>K77+1</f>
        <v>6</v>
      </c>
      <c r="L79" s="3586" t="s">
        <v>2598</v>
      </c>
      <c r="M79" s="2681" t="s">
        <v>417</v>
      </c>
      <c r="N79" s="1219"/>
      <c r="O79" s="1220">
        <f ca="1">N69-O77</f>
        <v>60518</v>
      </c>
      <c r="P79" s="1221"/>
      <c r="Q79" s="1865"/>
      <c r="R79" s="1865"/>
      <c r="S79" s="1865"/>
      <c r="T79" s="1865"/>
      <c r="U79" s="1865"/>
      <c r="V79" s="1865"/>
    </row>
    <row r="80" spans="1:22" ht="26.4">
      <c r="A80" s="3594" t="s">
        <v>423</v>
      </c>
      <c r="B80" s="3595"/>
      <c r="C80" s="964"/>
      <c r="D80" s="964" t="s">
        <v>424</v>
      </c>
      <c r="E80" s="364" t="s">
        <v>425</v>
      </c>
      <c r="F80" s="42"/>
      <c r="G80" s="42"/>
      <c r="H80" s="973"/>
      <c r="I80" s="309"/>
      <c r="J80" s="1865"/>
      <c r="K80" s="3585"/>
      <c r="L80" s="3586"/>
      <c r="M80" s="2681" t="s">
        <v>420</v>
      </c>
      <c r="N80" s="1219"/>
      <c r="O80" s="1220" t="str">
        <f ca="1">NUMBERSTRING(INT(O79*10000),2)&amp;"元整"</f>
        <v>陆亿零伍佰壹拾捌万元整</v>
      </c>
      <c r="P80" s="1221"/>
      <c r="Q80" s="1865"/>
      <c r="R80" s="1865"/>
      <c r="S80" s="1865"/>
      <c r="T80" s="1865"/>
      <c r="U80" s="1865"/>
      <c r="V80" s="1865"/>
    </row>
    <row r="81" spans="1:26" ht="13.8" thickBot="1">
      <c r="A81" s="375" t="s">
        <v>1623</v>
      </c>
      <c r="B81" s="365" t="s">
        <v>426</v>
      </c>
      <c r="C81" s="366">
        <f ca="1">ROUND((C82+C83)/(1+'数据-取费表'!C42),0)</f>
        <v>136448</v>
      </c>
      <c r="D81" s="367"/>
      <c r="E81" s="368"/>
      <c r="F81" s="42"/>
      <c r="G81" s="42"/>
      <c r="H81" s="973"/>
      <c r="I81" s="309"/>
      <c r="J81" s="1865"/>
      <c r="K81" s="2676">
        <f>K79+1</f>
        <v>7</v>
      </c>
      <c r="L81" s="3606" t="s">
        <v>2599</v>
      </c>
      <c r="M81" s="3607"/>
      <c r="N81" s="1223"/>
      <c r="O81" s="1224">
        <f ca="1">ROUND(O79*10000/'数据-汇总表'!E3,0)</f>
        <v>6115</v>
      </c>
      <c r="P81" s="1225"/>
      <c r="Q81" s="1865"/>
      <c r="R81" s="1865"/>
      <c r="S81" s="1865"/>
      <c r="T81" s="1865"/>
      <c r="U81" s="1865"/>
      <c r="V81" s="1865"/>
    </row>
    <row r="82" spans="1:26" ht="13.8" thickTop="1">
      <c r="A82" s="369" t="s">
        <v>1624</v>
      </c>
      <c r="B82" s="370" t="s">
        <v>427</v>
      </c>
      <c r="C82" s="371">
        <f ca="1">D63</f>
        <v>143270</v>
      </c>
      <c r="D82" s="372" t="s">
        <v>19</v>
      </c>
      <c r="E82" s="373"/>
      <c r="F82" s="42"/>
      <c r="G82" s="42"/>
      <c r="H82" s="973"/>
      <c r="I82" s="309"/>
      <c r="J82" s="1865"/>
      <c r="K82" s="1865"/>
      <c r="L82" s="1865"/>
      <c r="M82" s="1865"/>
      <c r="N82" s="1865"/>
      <c r="O82" s="1865"/>
      <c r="P82" s="1865"/>
      <c r="Q82" s="1865"/>
      <c r="R82" s="1865"/>
      <c r="S82" s="1865"/>
      <c r="T82" s="1865"/>
      <c r="U82" s="1865"/>
      <c r="V82" s="1865"/>
    </row>
    <row r="83" spans="1:26" ht="13.2">
      <c r="A83" s="369" t="s">
        <v>1625</v>
      </c>
      <c r="B83" s="370" t="s">
        <v>428</v>
      </c>
      <c r="C83" s="374"/>
      <c r="D83" s="372"/>
      <c r="E83" s="373"/>
      <c r="F83" s="42"/>
      <c r="G83" s="42"/>
      <c r="H83" s="973"/>
      <c r="I83" s="309"/>
      <c r="J83" s="1865"/>
      <c r="K83" s="3596" t="s">
        <v>2587</v>
      </c>
      <c r="L83" s="2687" t="s">
        <v>2588</v>
      </c>
      <c r="M83" s="2677">
        <f ca="1">IF(N69&gt;10000,N69*0.5%,IF(AND(N69&gt;1000,N69&lt;=10000),N69*1%,IF(AND(N69&gt;100,N69&lt;=1000),N69*3%,IF(AND(N69&gt;10,N69&lt;=100),N69*5%,N69*8%))))</f>
        <v>709.05500000000006</v>
      </c>
      <c r="N83" s="53">
        <f ca="1">ROUND(M83,1)</f>
        <v>709.1</v>
      </c>
      <c r="O83" s="2680"/>
      <c r="P83" s="1865"/>
      <c r="Q83" s="1865"/>
      <c r="R83" s="1865"/>
      <c r="S83" s="1865"/>
      <c r="T83" s="1865"/>
      <c r="U83" s="1865"/>
      <c r="V83" s="1865"/>
    </row>
    <row r="84" spans="1:26" ht="25.2">
      <c r="A84" s="375" t="s">
        <v>1626</v>
      </c>
      <c r="B84" s="376" t="s">
        <v>429</v>
      </c>
      <c r="C84" s="377"/>
      <c r="D84" s="378" t="s">
        <v>19</v>
      </c>
      <c r="E84" s="2705" t="s">
        <v>2642</v>
      </c>
      <c r="F84" s="42"/>
      <c r="G84" s="42"/>
      <c r="H84" s="973"/>
      <c r="I84" s="309"/>
      <c r="J84" s="1865"/>
      <c r="K84" s="3596"/>
      <c r="L84" s="2687" t="s">
        <v>2589</v>
      </c>
      <c r="M84" s="2677">
        <f ca="1">IF(N69&gt;2000,N69*0.5%,IF(AND(N69&gt;1000,N69&lt;=2000),N69*0.6%,IF(AND(N69&gt;500,N69&lt;=1000),N69*0.7%,IF(AND(N69&gt;200,N69&lt;=500),N69*0.8%,IF(AND(N69&gt;100,N69&lt;=200),N69*0.9%,IF(AND(N69&gt;50,N69&lt;=100),N69*1%,IF(AND(N69&gt;20,N69&lt;=50),N69*1.5%,IF(AND(N69&gt;10,N69&lt;=20),N69*2%,IF(AND(N69&gt;1,N69&lt;=10),N69*2.5%)))))))))</f>
        <v>709.05500000000006</v>
      </c>
      <c r="N84" s="53">
        <f t="shared" ref="N84:N85" ca="1" si="2">ROUND(M84,1)</f>
        <v>709.1</v>
      </c>
      <c r="O84" s="1865" t="s">
        <v>2590</v>
      </c>
      <c r="P84" s="1865"/>
      <c r="Q84" s="1865"/>
      <c r="R84" s="1865"/>
      <c r="S84" s="1865"/>
      <c r="T84" s="1865"/>
      <c r="U84" s="1865"/>
      <c r="V84" s="1865"/>
    </row>
    <row r="85" spans="1:26" ht="13.2">
      <c r="A85" s="375" t="s">
        <v>1627</v>
      </c>
      <c r="B85" s="376" t="s">
        <v>430</v>
      </c>
      <c r="C85" s="379">
        <f ca="1">C81-C84</f>
        <v>136448</v>
      </c>
      <c r="D85" s="372" t="s">
        <v>19</v>
      </c>
      <c r="E85" s="373"/>
      <c r="F85" s="42"/>
      <c r="G85" s="42"/>
      <c r="H85" s="973"/>
      <c r="I85" s="309"/>
      <c r="J85" s="1865"/>
      <c r="K85" s="3596"/>
      <c r="L85" s="2687" t="s">
        <v>2591</v>
      </c>
      <c r="M85" s="2677">
        <f ca="1">IF(N69&gt;1000,N69*0.1%,IF(AND(N69&gt;500,N69&lt;=1000),N69*0.5%,IF(AND(N69&gt;50,N69&lt;=500),N69*1%,IF(AND(N69&gt;1,N69&lt;=50),N69*1.5%))))</f>
        <v>141.81100000000001</v>
      </c>
      <c r="N85" s="53">
        <f t="shared" ca="1" si="2"/>
        <v>141.80000000000001</v>
      </c>
      <c r="O85" s="1865" t="s">
        <v>2590</v>
      </c>
      <c r="P85" s="1865"/>
      <c r="Q85" s="1865"/>
      <c r="R85" s="1865"/>
      <c r="S85" s="1865"/>
      <c r="T85" s="1865"/>
      <c r="U85" s="1865"/>
      <c r="V85" s="1865"/>
    </row>
    <row r="86" spans="1:26" ht="13.8" thickBot="1">
      <c r="A86" s="380" t="s">
        <v>1628</v>
      </c>
      <c r="B86" s="381" t="s">
        <v>431</v>
      </c>
      <c r="C86" s="382">
        <f ca="1">IF(C85&lt;=0,0,ROUND(C85*D86,0))</f>
        <v>7505</v>
      </c>
      <c r="D86" s="383">
        <f>'数据-取费表'!B41</f>
        <v>5.5000000000000007E-2</v>
      </c>
      <c r="E86" s="384"/>
      <c r="F86" s="42"/>
      <c r="G86" s="42"/>
      <c r="H86" s="973"/>
      <c r="I86" s="309"/>
      <c r="J86" s="1865"/>
      <c r="K86" s="3596"/>
      <c r="L86" s="2687" t="s">
        <v>2592</v>
      </c>
      <c r="M86" s="2677">
        <f ca="1">N69*0.5%</f>
        <v>709.05500000000006</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596"/>
      <c r="L87" s="2687" t="s">
        <v>2594</v>
      </c>
      <c r="M87" s="2677">
        <f ca="1">IF(N69&gt;=10000,(8.25+(N69-10000)*0.01%),IF(AND(N69&gt;=8000,N69&lt;10000),(7.85+(N69-8000)*0.02%),IF(AND(N69&gt;=5000,N69&lt;8000),(6.65+(N69-5000)*0.04%),IF(AND(N69&gt;=2000,N69&lt;5000),(4.25+(PN69-2000)*0.08%),IF(AND(N69&gt;=1000,N69&lt;2000),(2.75+(N69-1000)*0.15%),IF(AND(N69&gt;=100,N69&lt;1000),(0.5+(N69-100)*0.25%),IF(AND(N69&gt;0,N69&lt;100),N69*0.5%)))))))</f>
        <v>21.431100000000001</v>
      </c>
      <c r="N87" s="53">
        <f ca="1">ROUND(M87*0.9,1)</f>
        <v>19.3</v>
      </c>
      <c r="O87" s="2680"/>
      <c r="P87" s="1865"/>
      <c r="Q87" s="1865"/>
      <c r="R87" s="1865"/>
      <c r="S87" s="1865"/>
      <c r="T87" s="1865"/>
      <c r="U87" s="1865"/>
      <c r="V87" s="1865"/>
      <c r="W87" s="290"/>
      <c r="X87" s="290"/>
      <c r="Y87" s="290"/>
      <c r="Z87" s="290"/>
    </row>
    <row r="88" spans="1:26" s="1231" customFormat="1" ht="14.4" thickBot="1">
      <c r="A88" s="3635" t="s">
        <v>432</v>
      </c>
      <c r="B88" s="3636"/>
      <c r="C88" s="3636"/>
      <c r="D88" s="3636"/>
      <c r="E88" s="3636"/>
      <c r="F88" s="3636"/>
      <c r="G88" s="3636"/>
      <c r="H88" s="3636"/>
      <c r="I88" s="1232"/>
      <c r="J88" s="1873"/>
      <c r="K88" s="3596"/>
      <c r="L88" s="2687" t="s">
        <v>2595</v>
      </c>
      <c r="M88" s="2677">
        <f ca="1">IF(N69&gt;10000,N69*0.5%,IF(AND(N69&gt;5000,N69&lt;=10000),N69*1%,IF(AND(N69&gt;1000,N69&lt;=5000),N69*2%,IF(AND(N69&gt;200,N69&lt;=1000),N69*3%,N69*5%))))</f>
        <v>709.05500000000006</v>
      </c>
      <c r="N88" s="53">
        <f ca="1">ROUND(M88,1)</f>
        <v>709.1</v>
      </c>
      <c r="O88" s="2680"/>
      <c r="P88" s="1870"/>
      <c r="Q88" s="1870"/>
      <c r="R88" s="1870"/>
      <c r="S88" s="1870"/>
      <c r="T88" s="1870"/>
      <c r="U88" s="1870"/>
      <c r="V88" s="1870"/>
      <c r="W88" s="1874"/>
      <c r="X88" s="1874"/>
      <c r="Y88" s="1874"/>
      <c r="Z88" s="1874"/>
    </row>
    <row r="89" spans="1:26" s="1231" customFormat="1" ht="13.8">
      <c r="A89" s="3594" t="s">
        <v>423</v>
      </c>
      <c r="B89" s="3595"/>
      <c r="C89" s="964"/>
      <c r="D89" s="964" t="s">
        <v>424</v>
      </c>
      <c r="E89" s="385" t="s">
        <v>433</v>
      </c>
      <c r="F89" s="386"/>
      <c r="G89" s="386"/>
      <c r="H89" s="387"/>
      <c r="I89" s="1233"/>
      <c r="J89" s="1875"/>
      <c r="K89" s="3596"/>
      <c r="L89" s="2687" t="s">
        <v>27</v>
      </c>
      <c r="M89" s="2678"/>
      <c r="N89" s="53">
        <f ca="1">ROUND(SUM(N83:N88),0)</f>
        <v>2289</v>
      </c>
      <c r="O89" s="2688">
        <f ca="1">N89/N69</f>
        <v>1.6141202022410109E-2</v>
      </c>
      <c r="P89" s="1870"/>
      <c r="Q89" s="1870"/>
      <c r="R89" s="1870"/>
      <c r="S89" s="1870"/>
      <c r="T89" s="1870"/>
      <c r="U89" s="1870"/>
      <c r="V89" s="1870"/>
      <c r="W89" s="1874"/>
      <c r="X89" s="1874"/>
      <c r="Y89" s="1874"/>
      <c r="Z89" s="1874"/>
    </row>
    <row r="90" spans="1:26" s="1231" customFormat="1" ht="13.8">
      <c r="A90" s="375" t="s">
        <v>1623</v>
      </c>
      <c r="B90" s="376" t="s">
        <v>434</v>
      </c>
      <c r="C90" s="379">
        <f ca="1">ROUND(D63/(1+'数据-取费表'!C42),0)</f>
        <v>136448</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3.8">
      <c r="A91" s="375" t="s">
        <v>1629</v>
      </c>
      <c r="B91" s="346" t="s">
        <v>435</v>
      </c>
      <c r="C91" s="379">
        <f ca="1">C92+C96</f>
        <v>682</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4">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632" t="s">
        <v>441</v>
      </c>
      <c r="F94" s="3633"/>
      <c r="G94" s="3633"/>
      <c r="H94" s="3634"/>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682</v>
      </c>
      <c r="D96" s="400">
        <f>'数据-取费表'!B43</f>
        <v>5.000000000000001E-3</v>
      </c>
      <c r="E96" s="3591" t="s">
        <v>2215</v>
      </c>
      <c r="F96" s="3592"/>
      <c r="G96" s="3592"/>
      <c r="H96" s="3593"/>
      <c r="I96" s="1234"/>
      <c r="J96" s="1876"/>
      <c r="K96" s="1870"/>
      <c r="L96" s="1870"/>
      <c r="M96" s="1870"/>
      <c r="N96" s="1870"/>
      <c r="O96" s="1870"/>
      <c r="P96" s="1870"/>
      <c r="Q96" s="1870"/>
      <c r="R96" s="1870"/>
      <c r="S96" s="1870"/>
      <c r="T96" s="1870"/>
      <c r="U96" s="1870"/>
      <c r="V96" s="1870"/>
      <c r="W96" s="1874"/>
      <c r="X96" s="1874"/>
      <c r="Y96" s="1874"/>
      <c r="Z96" s="1874"/>
    </row>
    <row r="97" spans="1:26" s="1231" customFormat="1" ht="13.8">
      <c r="A97" s="1501" t="s">
        <v>1635</v>
      </c>
      <c r="B97" s="376" t="s">
        <v>445</v>
      </c>
      <c r="C97" s="379">
        <f ca="1">C90-C91</f>
        <v>135766</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199.07038123167155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6" thickBot="1">
      <c r="A99" s="1502" t="s">
        <v>1637</v>
      </c>
      <c r="B99" s="381" t="s">
        <v>447</v>
      </c>
      <c r="C99" s="402">
        <f ca="1">ROUND(IF(C97&lt;=0,0,IF(C98&gt;=200%,C97*60%-C91*35%,IF(C98&gt;=100%,C97*50%-C91*15%,IF(C98&gt;=50%,C97*40%-C91*5%,IF(C98&lt;50%,C97*30%,0))))),0)</f>
        <v>81221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4.4" thickBot="1">
      <c r="A101" s="3635" t="s">
        <v>448</v>
      </c>
      <c r="B101" s="3636"/>
      <c r="C101" s="3636"/>
      <c r="D101" s="3636"/>
      <c r="E101" s="3636"/>
      <c r="F101" s="3636"/>
      <c r="G101" s="3636"/>
      <c r="H101" s="3636"/>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3.8">
      <c r="A102" s="3594" t="s">
        <v>423</v>
      </c>
      <c r="B102" s="3595"/>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3.8">
      <c r="A103" s="375" t="s">
        <v>1623</v>
      </c>
      <c r="B103" s="376" t="s">
        <v>434</v>
      </c>
      <c r="C103" s="379">
        <f ca="1">ROUND(D63/(1+'数据-取费表'!C42),0)</f>
        <v>136448</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3.8">
      <c r="A104" s="375" t="s">
        <v>1629</v>
      </c>
      <c r="B104" s="346" t="s">
        <v>435</v>
      </c>
      <c r="C104" s="379">
        <f ca="1">IF(H106="仅含出让金",C105+C108+C109+C110+C111+C112,C105+C109+C110+C111+C112)</f>
        <v>682</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3.8">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4">
      <c r="A106" s="389" t="s">
        <v>1631</v>
      </c>
      <c r="B106" s="370" t="s">
        <v>450</v>
      </c>
      <c r="C106" s="410"/>
      <c r="D106" s="400"/>
      <c r="E106" s="411" t="s">
        <v>451</v>
      </c>
      <c r="F106" s="956"/>
      <c r="G106" s="412" t="s">
        <v>452</v>
      </c>
      <c r="H106" s="413"/>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3.8">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4">
      <c r="A108" s="389" t="s">
        <v>1634</v>
      </c>
      <c r="B108" s="370" t="s">
        <v>454</v>
      </c>
      <c r="C108" s="410"/>
      <c r="D108" s="400"/>
      <c r="E108" s="411" t="str">
        <f>IF(H106="-","土地取得成本中已包含该笔费用"," ")</f>
        <v xml:space="preserve"> </v>
      </c>
      <c r="F108" s="956"/>
      <c r="G108" s="3647" t="s">
        <v>2693</v>
      </c>
      <c r="H108" s="3648"/>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25" t="s">
        <v>456</v>
      </c>
      <c r="F109" s="3592"/>
      <c r="G109" s="3592"/>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25" t="s">
        <v>458</v>
      </c>
      <c r="F110" s="3592"/>
      <c r="G110" s="3592"/>
      <c r="H110" s="3593"/>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682</v>
      </c>
      <c r="D111" s="400">
        <f>'数据-取费表'!B43</f>
        <v>5.000000000000001E-3</v>
      </c>
      <c r="E111" s="3591" t="s">
        <v>2215</v>
      </c>
      <c r="F111" s="3592"/>
      <c r="G111" s="3592"/>
      <c r="H111" s="3593"/>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25" t="s">
        <v>2234</v>
      </c>
      <c r="F112" s="3592"/>
      <c r="G112" s="3592"/>
      <c r="H112" s="3593"/>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3.8">
      <c r="A113" s="1501" t="s">
        <v>1635</v>
      </c>
      <c r="B113" s="376" t="s">
        <v>445</v>
      </c>
      <c r="C113" s="379">
        <f ca="1">ROUND(C103-C104,0)</f>
        <v>135766</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199.07038123167155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6" thickBot="1">
      <c r="A115" s="1502" t="s">
        <v>1637</v>
      </c>
      <c r="B115" s="381" t="s">
        <v>447</v>
      </c>
      <c r="C115" s="402">
        <f ca="1">ROUND(IF(C113&lt;=0,0,IF(C114&gt;=200%,C113*60%-C104*35%,IF(C114&gt;=100%,C113*50%-C104*15%,IF(C114&gt;=50%,C113*40%-C104*5%,IF(C114&lt;50%,C113*30%,0))))),0)</f>
        <v>81221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60" customWidth="1"/>
    <col min="2" max="2" width="25.77734375" style="1950" customWidth="1"/>
    <col min="3" max="3" width="11.44140625" style="1961" customWidth="1"/>
    <col min="4" max="4" width="12" style="1950" customWidth="1"/>
    <col min="5" max="5" width="9.44140625" style="1960" customWidth="1"/>
    <col min="6" max="6" width="10.109375" style="1950" customWidth="1"/>
    <col min="7" max="7" width="9.44140625" style="1950" customWidth="1"/>
    <col min="8" max="8" width="10" style="1950" customWidth="1"/>
    <col min="9" max="11" width="9.44140625" style="1950" customWidth="1"/>
    <col min="12" max="12" width="9" style="1951" customWidth="1"/>
    <col min="13" max="13" width="10.44140625" style="1951" bestFit="1" customWidth="1"/>
    <col min="14" max="26" width="9" style="1951" customWidth="1"/>
    <col min="27" max="254" width="9" style="1950" customWidth="1"/>
    <col min="255" max="16384" width="6.6640625" style="1950"/>
  </cols>
  <sheetData>
    <row r="1" spans="1:41" s="1878" customFormat="1" ht="21">
      <c r="A1" s="415"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4.4">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40621</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1219</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1516</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1979</v>
      </c>
      <c r="D16" s="444">
        <f ca="1">IF(B1="",'数据-汇总表'!E3,INDIRECT("'数据-取费表'!K"&amp;$K$1)+INDIRECT("'数据-取费表'!S"&amp;$K$1))</f>
        <v>98965.430000000008</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609</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45944</v>
      </c>
      <c r="D18" s="454"/>
      <c r="E18" s="455"/>
      <c r="F18" s="455"/>
      <c r="G18" s="1243"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919</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1968</v>
      </c>
      <c r="D20" s="455">
        <f ca="1">ROUND(((1+F20)^'数据-取费表'!B20)-1,4)</f>
        <v>8.5800000000000001E-2</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1">
        <f ca="1">ROUND((C18+C19)*F21,0)</f>
        <v>7498</v>
      </c>
      <c r="D21" s="3195"/>
      <c r="E21" s="455"/>
      <c r="F21" s="472">
        <f ca="1">IF(B1="",'数据-取费表'!Q16,INDIRECT("'数据-取费表'!q"&amp;$K$1))</f>
        <v>0.16</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64" t="s">
        <v>1665</v>
      </c>
      <c r="B24" s="3665"/>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64" t="s">
        <v>2738</v>
      </c>
      <c r="B25" s="3665"/>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64" t="s">
        <v>2739</v>
      </c>
      <c r="B26" s="3665"/>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66" t="s">
        <v>2737</v>
      </c>
      <c r="B27" s="3667"/>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60" zoomScaleNormal="95" workbookViewId="0">
      <selection activeCell="I40" sqref="I40"/>
    </sheetView>
  </sheetViews>
  <sheetFormatPr defaultColWidth="9" defaultRowHeight="13.8"/>
  <cols>
    <col min="1" max="1" width="15.6640625" style="1246" customWidth="1"/>
    <col min="2" max="2" width="15.77734375" style="1246" customWidth="1"/>
    <col min="3" max="3" width="15.21875" style="1246" customWidth="1"/>
    <col min="4" max="4" width="12.21875" style="1246" customWidth="1"/>
    <col min="5" max="5" width="16.109375" style="1246" customWidth="1"/>
    <col min="6" max="6" width="12.21875" style="1246" customWidth="1"/>
    <col min="7" max="7" width="15.6640625" style="1246" customWidth="1"/>
    <col min="8" max="8" width="12.21875" style="1246" customWidth="1"/>
    <col min="9" max="9" width="15.66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133447</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13484</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41321</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2755</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1">
      <c r="A6" s="489" t="s">
        <v>504</v>
      </c>
      <c r="B6" s="490"/>
      <c r="C6" s="3691" t="s">
        <v>505</v>
      </c>
      <c r="D6" s="3692"/>
      <c r="E6" s="3691" t="s">
        <v>506</v>
      </c>
      <c r="F6" s="3692"/>
      <c r="G6" s="3691" t="s">
        <v>507</v>
      </c>
      <c r="H6" s="3692"/>
      <c r="I6" s="3691" t="s">
        <v>508</v>
      </c>
      <c r="J6" s="3692"/>
      <c r="K6" s="491" t="s">
        <v>509</v>
      </c>
      <c r="L6" s="1969"/>
      <c r="M6" s="1968"/>
      <c r="N6" s="1968"/>
      <c r="O6" s="1970"/>
      <c r="P6" s="3693" t="s">
        <v>510</v>
      </c>
      <c r="Q6" s="3694"/>
      <c r="R6" s="3677" t="s">
        <v>506</v>
      </c>
      <c r="S6" s="3678"/>
      <c r="T6" s="3677" t="s">
        <v>507</v>
      </c>
      <c r="U6" s="3678"/>
      <c r="V6" s="3699" t="s">
        <v>508</v>
      </c>
      <c r="W6" s="3699"/>
      <c r="X6" s="1457"/>
      <c r="Y6" s="3677" t="s">
        <v>510</v>
      </c>
      <c r="Z6" s="3678"/>
      <c r="AA6" s="3672" t="s">
        <v>506</v>
      </c>
      <c r="AB6" s="3673" t="s">
        <v>507</v>
      </c>
      <c r="AC6" s="3672" t="s">
        <v>508</v>
      </c>
    </row>
    <row r="7" spans="1:30" ht="21">
      <c r="A7" s="492"/>
      <c r="B7" s="493"/>
      <c r="C7" s="3702" t="s">
        <v>2631</v>
      </c>
      <c r="D7" s="3703"/>
      <c r="E7" s="3702" t="str">
        <f>土地案例!$A$17</f>
        <v>北京市通州区台湖镇亦庄新城站前区YZ00-0401-0056、YZ00-0401-L0055-02地块R2二类居住用地、A334托幼用地</v>
      </c>
      <c r="F7" s="3703"/>
      <c r="G7" s="3702" t="str">
        <f>土地案例!$A$18</f>
        <v>北京市通州区马驹桥镇亦庄新城0500街区YZ00-0500-6007等地块R2二类居住用地、A334托幼用地</v>
      </c>
      <c r="H7" s="3703"/>
      <c r="I7" s="3702" t="str">
        <f>土地案例!$A$20</f>
        <v>北京市通州区马驹桥镇国家环保产业园区YZ00-0703-6004、6005、6006地块R2二类居住用地及A33基础教育用地</v>
      </c>
      <c r="J7" s="3703"/>
      <c r="K7" s="491"/>
      <c r="L7" s="1969"/>
      <c r="M7" s="1968"/>
      <c r="N7" s="1968"/>
      <c r="O7" s="1970"/>
      <c r="P7" s="3695"/>
      <c r="Q7" s="3696"/>
      <c r="R7" s="3679"/>
      <c r="S7" s="3680"/>
      <c r="T7" s="3679"/>
      <c r="U7" s="3680"/>
      <c r="V7" s="3699"/>
      <c r="W7" s="3699"/>
      <c r="X7" s="1457"/>
      <c r="Y7" s="3679"/>
      <c r="Z7" s="3680"/>
      <c r="AA7" s="3673"/>
      <c r="AB7" s="3673"/>
      <c r="AC7" s="3673"/>
    </row>
    <row r="8" spans="1:30" ht="21.6" thickBot="1">
      <c r="A8" s="492"/>
      <c r="B8" s="493"/>
      <c r="C8" s="3704" t="s">
        <v>2635</v>
      </c>
      <c r="D8" s="3705"/>
      <c r="E8" s="3704" t="s">
        <v>2635</v>
      </c>
      <c r="F8" s="3705"/>
      <c r="G8" s="3700" t="s">
        <v>2635</v>
      </c>
      <c r="H8" s="3701"/>
      <c r="I8" s="3700" t="s">
        <v>2635</v>
      </c>
      <c r="J8" s="3701"/>
      <c r="K8" s="491" t="s">
        <v>511</v>
      </c>
      <c r="L8" s="1969"/>
      <c r="M8" s="1968"/>
      <c r="N8" s="1968"/>
      <c r="O8" s="1970"/>
      <c r="P8" s="3697"/>
      <c r="Q8" s="3698"/>
      <c r="R8" s="3679"/>
      <c r="S8" s="3680"/>
      <c r="T8" s="3681"/>
      <c r="U8" s="3682"/>
      <c r="V8" s="3699"/>
      <c r="W8" s="3699"/>
      <c r="X8" s="1457"/>
      <c r="Y8" s="3681"/>
      <c r="Z8" s="3682"/>
      <c r="AA8" s="3674"/>
      <c r="AB8" s="3674"/>
      <c r="AC8" s="3674"/>
    </row>
    <row r="9" spans="1:30" s="1166" customFormat="1" ht="21.6" thickBot="1">
      <c r="A9" s="2551"/>
      <c r="B9" s="2558" t="s">
        <v>512</v>
      </c>
      <c r="C9" s="2550">
        <f>'数据-取费表'!B2</f>
        <v>44756</v>
      </c>
      <c r="D9" s="497">
        <v>100</v>
      </c>
      <c r="E9" s="498">
        <f>土地案例!$L$17</f>
        <v>43879.000497685185</v>
      </c>
      <c r="F9" s="499">
        <f>SUMIF(71:71,YEAR(E9)&amp;"-"&amp;INT((MONTH(E9)+2)/3),72:72)</f>
        <v>95</v>
      </c>
      <c r="G9" s="500">
        <f>土地案例!$L$18</f>
        <v>43872.000497685185</v>
      </c>
      <c r="H9" s="497">
        <f>SUMIF(71:71,YEAR(G9)&amp;"-"&amp;INT((MONTH(G9)+2)/3),72:72)</f>
        <v>95</v>
      </c>
      <c r="I9" s="500">
        <f>土地案例!$L$20</f>
        <v>43753.000497685185</v>
      </c>
      <c r="J9" s="497">
        <f>SUMIF(71:71,YEAR(I9)&amp;"-"&amp;INT((MONTH(I9)+2)/3),72:72)</f>
        <v>94.5</v>
      </c>
      <c r="K9" s="501"/>
      <c r="L9" s="1971"/>
      <c r="M9" s="1968"/>
      <c r="N9" s="1968"/>
      <c r="O9" s="1972"/>
      <c r="P9" s="3675" t="s">
        <v>513</v>
      </c>
      <c r="Q9" s="3684"/>
      <c r="R9" s="1458" t="s">
        <v>8</v>
      </c>
      <c r="S9" s="1459">
        <f t="shared" ref="S9:S17" si="0">F9</f>
        <v>95</v>
      </c>
      <c r="T9" s="1458" t="s">
        <v>8</v>
      </c>
      <c r="U9" s="1459">
        <f t="shared" ref="U9:U17" si="1">H9</f>
        <v>95</v>
      </c>
      <c r="V9" s="1458" t="s">
        <v>8</v>
      </c>
      <c r="W9" s="1459">
        <f t="shared" ref="W9:W17" si="2">J9</f>
        <v>94.5</v>
      </c>
      <c r="X9" s="1460"/>
      <c r="Y9" s="3675" t="s">
        <v>513</v>
      </c>
      <c r="Z9" s="3676"/>
      <c r="AA9" s="1461">
        <f>D9/F9</f>
        <v>1.0526315789473684</v>
      </c>
      <c r="AB9" s="1461">
        <f>D9/H9</f>
        <v>1.0526315789473684</v>
      </c>
      <c r="AC9" s="1461">
        <f>D9/J9</f>
        <v>1.0582010582010581</v>
      </c>
    </row>
    <row r="10" spans="1:30" s="1166" customFormat="1" ht="21.6" thickBot="1">
      <c r="A10" s="2552"/>
      <c r="B10" s="2559" t="s">
        <v>514</v>
      </c>
      <c r="C10" s="828" t="s">
        <v>515</v>
      </c>
      <c r="D10" s="497">
        <v>100</v>
      </c>
      <c r="E10" s="3458" t="s">
        <v>3280</v>
      </c>
      <c r="F10" s="499">
        <f>SUMIF(74:74,E10,75:75)-SUMIF(74:74,C10,75:75)+100</f>
        <v>100</v>
      </c>
      <c r="G10" s="3458" t="s">
        <v>3280</v>
      </c>
      <c r="H10" s="497">
        <f>SUMIF(74:74,G10,75:75)-SUMIF(74:74,C10,75:75)+100</f>
        <v>100</v>
      </c>
      <c r="I10" s="3458" t="s">
        <v>3280</v>
      </c>
      <c r="J10" s="497">
        <f>SUMIF(74:74,I10,75:75)-SUMIF(74:74,C10,75:75)+100</f>
        <v>100</v>
      </c>
      <c r="K10" s="501"/>
      <c r="L10" s="1971"/>
      <c r="M10" s="1968"/>
      <c r="N10" s="1968"/>
      <c r="O10" s="1972"/>
      <c r="P10" s="3675" t="s">
        <v>516</v>
      </c>
      <c r="Q10" s="3676"/>
      <c r="R10" s="1458" t="s">
        <v>8</v>
      </c>
      <c r="S10" s="1459">
        <f t="shared" si="0"/>
        <v>100</v>
      </c>
      <c r="T10" s="1458" t="s">
        <v>8</v>
      </c>
      <c r="U10" s="1459">
        <f t="shared" si="1"/>
        <v>100</v>
      </c>
      <c r="V10" s="1458" t="s">
        <v>8</v>
      </c>
      <c r="W10" s="1459">
        <f t="shared" si="2"/>
        <v>100</v>
      </c>
      <c r="X10" s="1460"/>
      <c r="Y10" s="3675" t="s">
        <v>516</v>
      </c>
      <c r="Z10" s="3676"/>
      <c r="AA10" s="1461">
        <f t="shared" ref="AA10:AA47" si="3">D10/F10</f>
        <v>1</v>
      </c>
      <c r="AB10" s="1461">
        <f t="shared" ref="AB10:AB47" si="4">D10/H10</f>
        <v>1</v>
      </c>
      <c r="AC10" s="1461">
        <f t="shared" ref="AC10:AC47" si="5">D10/J10</f>
        <v>1</v>
      </c>
    </row>
    <row r="11" spans="1:30" s="1166" customFormat="1" ht="21">
      <c r="A11" s="2553"/>
      <c r="B11" s="2560" t="s">
        <v>2473</v>
      </c>
      <c r="C11" s="2547"/>
      <c r="D11" s="252">
        <v>100</v>
      </c>
      <c r="E11" s="503"/>
      <c r="F11" s="252">
        <f>SUMIF(76:76,E11,77:77)-SUMIF(76:76,C11,77:77)+100</f>
        <v>100</v>
      </c>
      <c r="G11" s="503"/>
      <c r="H11" s="252">
        <f>SUMIF(76:76,G11,77:77)-SUMIF(76:76,C11,77:77)+100</f>
        <v>100</v>
      </c>
      <c r="I11" s="503"/>
      <c r="J11" s="252">
        <f>SUMIF(76:76,I11,77:77)-SUMIF(76:76,C11,77:77)+100</f>
        <v>100</v>
      </c>
      <c r="K11" s="501"/>
      <c r="L11" s="1971"/>
      <c r="M11" s="1968"/>
      <c r="N11" s="1968"/>
      <c r="O11" s="1973"/>
      <c r="P11" s="3683" t="s">
        <v>518</v>
      </c>
      <c r="Q11" s="1097" t="str">
        <f t="shared" ref="Q11:Q17" si="6">B11</f>
        <v>用途</v>
      </c>
      <c r="R11" s="1458" t="s">
        <v>8</v>
      </c>
      <c r="S11" s="1459">
        <f t="shared" si="0"/>
        <v>100</v>
      </c>
      <c r="T11" s="1458" t="s">
        <v>8</v>
      </c>
      <c r="U11" s="1459">
        <f t="shared" si="1"/>
        <v>100</v>
      </c>
      <c r="V11" s="1458" t="s">
        <v>8</v>
      </c>
      <c r="W11" s="1459">
        <f t="shared" si="2"/>
        <v>100</v>
      </c>
      <c r="X11" s="1460"/>
      <c r="Y11" s="3631" t="s">
        <v>519</v>
      </c>
      <c r="Z11" s="1096" t="str">
        <f t="shared" ref="Z11:Z17" si="7">Q11</f>
        <v>用途</v>
      </c>
      <c r="AA11" s="1461">
        <f t="shared" si="3"/>
        <v>1</v>
      </c>
      <c r="AB11" s="1461">
        <f t="shared" si="4"/>
        <v>1</v>
      </c>
      <c r="AC11" s="1461">
        <f t="shared" si="5"/>
        <v>1</v>
      </c>
    </row>
    <row r="12" spans="1:30" s="1247" customFormat="1" ht="28.8">
      <c r="A12" s="2554"/>
      <c r="B12" s="2559" t="s">
        <v>2474</v>
      </c>
      <c r="C12" s="881"/>
      <c r="D12" s="253">
        <v>100</v>
      </c>
      <c r="E12" s="506"/>
      <c r="F12" s="253">
        <f>ROUND(100/'数据-取费表'!G16,0)</f>
        <v>100</v>
      </c>
      <c r="G12" s="507"/>
      <c r="H12" s="253">
        <f>ROUND(100/'数据-取费表'!G16,0)</f>
        <v>100</v>
      </c>
      <c r="I12" s="507"/>
      <c r="J12" s="253">
        <f>ROUND(100/'数据-取费表'!G16,0)</f>
        <v>100</v>
      </c>
      <c r="K12" s="508"/>
      <c r="L12" s="1974"/>
      <c r="M12" s="1968"/>
      <c r="N12" s="1968"/>
      <c r="O12" s="1975"/>
      <c r="P12" s="3683"/>
      <c r="Q12" s="1097" t="str">
        <f t="shared" si="6"/>
        <v>土地使用年限（年）</v>
      </c>
      <c r="R12" s="1458" t="s">
        <v>8</v>
      </c>
      <c r="S12" s="1459">
        <f t="shared" si="0"/>
        <v>100</v>
      </c>
      <c r="T12" s="1458" t="s">
        <v>8</v>
      </c>
      <c r="U12" s="1459">
        <f t="shared" si="1"/>
        <v>100</v>
      </c>
      <c r="V12" s="1458" t="s">
        <v>8</v>
      </c>
      <c r="W12" s="1459">
        <f t="shared" si="2"/>
        <v>100</v>
      </c>
      <c r="X12" s="1460"/>
      <c r="Y12" s="3631"/>
      <c r="Z12" s="1096" t="str">
        <f t="shared" si="7"/>
        <v>土地使用年限（年）</v>
      </c>
      <c r="AA12" s="1461">
        <f t="shared" si="3"/>
        <v>1</v>
      </c>
      <c r="AB12" s="1461">
        <f t="shared" si="4"/>
        <v>1</v>
      </c>
      <c r="AC12" s="1461">
        <f t="shared" si="5"/>
        <v>1</v>
      </c>
    </row>
    <row r="13" spans="1:30" ht="21">
      <c r="A13" s="2555"/>
      <c r="B13" s="2559" t="s">
        <v>2475</v>
      </c>
      <c r="C13" s="511">
        <v>2</v>
      </c>
      <c r="D13" s="253">
        <v>100</v>
      </c>
      <c r="E13" s="510">
        <v>2</v>
      </c>
      <c r="F13" s="253">
        <f>LOOKUP(E13,81:81,82:82)-LOOKUP(C13,81:81,82:82)+100</f>
        <v>100</v>
      </c>
      <c r="G13" s="511">
        <v>2.4</v>
      </c>
      <c r="H13" s="253">
        <f>LOOKUP(G13,81:81,82:82)-LOOKUP(C13,81:81,82:82)+100</f>
        <v>100</v>
      </c>
      <c r="I13" s="510">
        <v>2.2000000000000002</v>
      </c>
      <c r="J13" s="253">
        <f>LOOKUP(I13,81:81,82:82)-LOOKUP(C13,81:81,82:82)+100</f>
        <v>100</v>
      </c>
      <c r="K13" s="512">
        <v>2</v>
      </c>
      <c r="L13" s="1976"/>
      <c r="M13" s="1968"/>
      <c r="N13" s="1968"/>
      <c r="O13" s="1977"/>
      <c r="P13" s="3683"/>
      <c r="Q13" s="1097" t="str">
        <f t="shared" si="6"/>
        <v>容积率</v>
      </c>
      <c r="R13" s="1458" t="s">
        <v>8</v>
      </c>
      <c r="S13" s="1459">
        <f t="shared" si="0"/>
        <v>100</v>
      </c>
      <c r="T13" s="1458" t="s">
        <v>8</v>
      </c>
      <c r="U13" s="1459">
        <f t="shared" si="1"/>
        <v>100</v>
      </c>
      <c r="V13" s="1458" t="s">
        <v>8</v>
      </c>
      <c r="W13" s="1459">
        <f t="shared" si="2"/>
        <v>100</v>
      </c>
      <c r="X13" s="1460"/>
      <c r="Y13" s="3631"/>
      <c r="Z13" s="1096" t="str">
        <f t="shared" si="7"/>
        <v>容积率</v>
      </c>
      <c r="AA13" s="1461">
        <f t="shared" si="3"/>
        <v>1</v>
      </c>
      <c r="AB13" s="1461">
        <f t="shared" si="4"/>
        <v>1</v>
      </c>
      <c r="AC13" s="1461">
        <f t="shared" si="5"/>
        <v>1</v>
      </c>
    </row>
    <row r="14" spans="1:30" s="1166" customFormat="1" ht="21">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83"/>
      <c r="Q14" s="1097" t="str">
        <f t="shared" si="6"/>
        <v>配建</v>
      </c>
      <c r="R14" s="1458" t="s">
        <v>8</v>
      </c>
      <c r="S14" s="1459">
        <f t="shared" si="0"/>
        <v>100</v>
      </c>
      <c r="T14" s="1458" t="s">
        <v>8</v>
      </c>
      <c r="U14" s="1459">
        <f t="shared" si="1"/>
        <v>100</v>
      </c>
      <c r="V14" s="1458" t="s">
        <v>8</v>
      </c>
      <c r="W14" s="1459">
        <f t="shared" si="2"/>
        <v>100</v>
      </c>
      <c r="X14" s="1460"/>
      <c r="Y14" s="3631"/>
      <c r="Z14" s="1096" t="str">
        <f t="shared" si="7"/>
        <v>配建</v>
      </c>
      <c r="AA14" s="1461">
        <f>D14/F14</f>
        <v>1</v>
      </c>
      <c r="AB14" s="1461">
        <f>D14/H14</f>
        <v>1</v>
      </c>
      <c r="AC14" s="1461">
        <f>D14/J14</f>
        <v>1</v>
      </c>
    </row>
    <row r="15" spans="1:30" ht="2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83"/>
      <c r="Q15" s="1097">
        <f t="shared" si="6"/>
        <v>111</v>
      </c>
      <c r="R15" s="1458" t="s">
        <v>8</v>
      </c>
      <c r="S15" s="1459">
        <f t="shared" si="0"/>
        <v>100</v>
      </c>
      <c r="T15" s="1458" t="s">
        <v>8</v>
      </c>
      <c r="U15" s="1459">
        <f t="shared" si="1"/>
        <v>100</v>
      </c>
      <c r="V15" s="1458" t="s">
        <v>8</v>
      </c>
      <c r="W15" s="1459">
        <f t="shared" si="2"/>
        <v>100</v>
      </c>
      <c r="X15" s="1460"/>
      <c r="Y15" s="3631"/>
      <c r="Z15" s="1096">
        <f t="shared" si="7"/>
        <v>111</v>
      </c>
      <c r="AA15" s="1461">
        <f>D15/F15</f>
        <v>1</v>
      </c>
      <c r="AB15" s="1461">
        <f>D15/H15</f>
        <v>1</v>
      </c>
      <c r="AC15" s="1461">
        <f>D15/J15</f>
        <v>1</v>
      </c>
    </row>
    <row r="16" spans="1:30" ht="21.6"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83"/>
      <c r="Q16" s="1097">
        <f t="shared" si="6"/>
        <v>111</v>
      </c>
      <c r="R16" s="1458" t="s">
        <v>8</v>
      </c>
      <c r="S16" s="1459">
        <f t="shared" si="0"/>
        <v>100</v>
      </c>
      <c r="T16" s="1458" t="s">
        <v>8</v>
      </c>
      <c r="U16" s="1459">
        <f t="shared" si="1"/>
        <v>100</v>
      </c>
      <c r="V16" s="1458" t="s">
        <v>8</v>
      </c>
      <c r="W16" s="1459">
        <f t="shared" si="2"/>
        <v>100</v>
      </c>
      <c r="X16" s="1460"/>
      <c r="Y16" s="3631"/>
      <c r="Z16" s="1096">
        <f t="shared" si="7"/>
        <v>111</v>
      </c>
      <c r="AA16" s="1461">
        <f>D16/F16</f>
        <v>1</v>
      </c>
      <c r="AB16" s="1461">
        <f>D16/H16</f>
        <v>1</v>
      </c>
      <c r="AC16" s="1461">
        <f>D16/J16</f>
        <v>1</v>
      </c>
    </row>
    <row r="17" spans="1:29" ht="96.6">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105</v>
      </c>
      <c r="G17" s="527"/>
      <c r="H17" s="526">
        <f>SUMIF(89:89,G18,90:90)-SUMIF(89:89,C18,90:90)+100</f>
        <v>100</v>
      </c>
      <c r="I17" s="529"/>
      <c r="J17" s="526">
        <f>SUMIF(89:89,I18,90:90)-SUMIF(89:89,C18,90:90)+100</f>
        <v>100</v>
      </c>
      <c r="K17" s="512">
        <v>5</v>
      </c>
      <c r="L17" s="1978"/>
      <c r="M17" s="1968"/>
      <c r="N17" s="1968"/>
      <c r="O17" s="1977"/>
      <c r="P17" s="3685" t="s">
        <v>523</v>
      </c>
      <c r="Q17" s="1462" t="str">
        <f t="shared" si="6"/>
        <v>居住社区成熟度</v>
      </c>
      <c r="R17" s="1463" t="s">
        <v>8</v>
      </c>
      <c r="S17" s="1464">
        <f t="shared" si="0"/>
        <v>105</v>
      </c>
      <c r="T17" s="1463" t="s">
        <v>8</v>
      </c>
      <c r="U17" s="1464">
        <f t="shared" si="1"/>
        <v>100</v>
      </c>
      <c r="V17" s="1463" t="s">
        <v>8</v>
      </c>
      <c r="W17" s="1464">
        <f t="shared" si="2"/>
        <v>100</v>
      </c>
      <c r="X17" s="1457"/>
      <c r="Y17" s="3685" t="s">
        <v>523</v>
      </c>
      <c r="Z17" s="1465" t="str">
        <f t="shared" si="7"/>
        <v>居住社区成熟度</v>
      </c>
      <c r="AA17" s="1466">
        <f t="shared" si="3"/>
        <v>0.95238095238095233</v>
      </c>
      <c r="AB17" s="1466">
        <f t="shared" si="4"/>
        <v>1</v>
      </c>
      <c r="AC17" s="1466">
        <f t="shared" si="5"/>
        <v>1</v>
      </c>
    </row>
    <row r="18" spans="1:29" ht="21">
      <c r="A18" s="509"/>
      <c r="B18" s="530"/>
      <c r="C18" s="531" t="s">
        <v>3281</v>
      </c>
      <c r="D18" s="534"/>
      <c r="E18" s="3459" t="s">
        <v>3284</v>
      </c>
      <c r="F18" s="532"/>
      <c r="G18" s="3460" t="s">
        <v>3283</v>
      </c>
      <c r="H18" s="536"/>
      <c r="I18" s="3459" t="s">
        <v>3282</v>
      </c>
      <c r="J18" s="532"/>
      <c r="K18" s="508"/>
      <c r="L18" s="1978"/>
      <c r="M18" s="1968"/>
      <c r="N18" s="1968"/>
      <c r="O18" s="1977"/>
      <c r="P18" s="3686"/>
      <c r="Q18" s="1462"/>
      <c r="R18" s="1463"/>
      <c r="S18" s="1464"/>
      <c r="T18" s="1463"/>
      <c r="U18" s="1464"/>
      <c r="V18" s="1463"/>
      <c r="W18" s="1464"/>
      <c r="X18" s="1457"/>
      <c r="Y18" s="3686"/>
      <c r="Z18" s="1465"/>
      <c r="AA18" s="1466">
        <v>1</v>
      </c>
      <c r="AB18" s="1466">
        <v>1</v>
      </c>
      <c r="AC18" s="1466">
        <v>1</v>
      </c>
    </row>
    <row r="19" spans="1:29" ht="69"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686"/>
      <c r="Q19" s="1462" t="str">
        <f>B19</f>
        <v>商业繁华度</v>
      </c>
      <c r="R19" s="1463" t="s">
        <v>8</v>
      </c>
      <c r="S19" s="1464">
        <f>F19</f>
        <v>100</v>
      </c>
      <c r="T19" s="1463" t="s">
        <v>8</v>
      </c>
      <c r="U19" s="1464">
        <f>H19</f>
        <v>100</v>
      </c>
      <c r="V19" s="1463" t="s">
        <v>8</v>
      </c>
      <c r="W19" s="1464">
        <f>J19</f>
        <v>100</v>
      </c>
      <c r="X19" s="1457"/>
      <c r="Y19" s="3686"/>
      <c r="Z19" s="1465" t="str">
        <f>Q19</f>
        <v>商业繁华度</v>
      </c>
      <c r="AA19" s="1466">
        <f t="shared" si="3"/>
        <v>1</v>
      </c>
      <c r="AB19" s="1466">
        <f t="shared" si="4"/>
        <v>1</v>
      </c>
      <c r="AC19" s="1466">
        <f t="shared" si="5"/>
        <v>1</v>
      </c>
    </row>
    <row r="20" spans="1:29" ht="21" hidden="1">
      <c r="A20" s="509"/>
      <c r="B20" s="543"/>
      <c r="C20" s="544"/>
      <c r="D20" s="540"/>
      <c r="E20" s="546"/>
      <c r="F20" s="536"/>
      <c r="G20" s="545"/>
      <c r="H20" s="532"/>
      <c r="I20" s="546"/>
      <c r="J20" s="532"/>
      <c r="K20" s="508"/>
      <c r="L20" s="1978"/>
      <c r="M20" s="1968"/>
      <c r="N20" s="1968"/>
      <c r="O20" s="1977"/>
      <c r="P20" s="3686"/>
      <c r="Q20" s="1462"/>
      <c r="R20" s="1463"/>
      <c r="S20" s="1464"/>
      <c r="T20" s="1463"/>
      <c r="U20" s="1464"/>
      <c r="V20" s="1463"/>
      <c r="W20" s="1464"/>
      <c r="X20" s="1457"/>
      <c r="Y20" s="3686"/>
      <c r="Z20" s="1465"/>
      <c r="AA20" s="1466">
        <v>1</v>
      </c>
      <c r="AB20" s="1466">
        <v>1</v>
      </c>
      <c r="AC20" s="1466">
        <v>1</v>
      </c>
    </row>
    <row r="21" spans="1:29" ht="69"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686"/>
      <c r="Q21" s="1462" t="str">
        <f>B21</f>
        <v>办公集聚程度</v>
      </c>
      <c r="R21" s="1463" t="s">
        <v>8</v>
      </c>
      <c r="S21" s="1464">
        <f>F21</f>
        <v>100</v>
      </c>
      <c r="T21" s="1463" t="s">
        <v>8</v>
      </c>
      <c r="U21" s="1464">
        <f>H21</f>
        <v>100</v>
      </c>
      <c r="V21" s="1463" t="s">
        <v>8</v>
      </c>
      <c r="W21" s="1464">
        <f>J21</f>
        <v>100</v>
      </c>
      <c r="X21" s="1457"/>
      <c r="Y21" s="3686"/>
      <c r="Z21" s="1465" t="str">
        <f>Q21</f>
        <v>办公集聚程度</v>
      </c>
      <c r="AA21" s="1466">
        <f t="shared" si="3"/>
        <v>1</v>
      </c>
      <c r="AB21" s="1466">
        <f t="shared" si="4"/>
        <v>1</v>
      </c>
      <c r="AC21" s="1466">
        <f t="shared" si="5"/>
        <v>1</v>
      </c>
    </row>
    <row r="22" spans="1:29" ht="21" hidden="1">
      <c r="A22" s="509"/>
      <c r="B22" s="543"/>
      <c r="C22" s="531"/>
      <c r="D22" s="534"/>
      <c r="E22" s="535"/>
      <c r="F22" s="532"/>
      <c r="G22" s="533"/>
      <c r="H22" s="532"/>
      <c r="I22" s="535"/>
      <c r="J22" s="532"/>
      <c r="K22" s="508"/>
      <c r="L22" s="1978"/>
      <c r="M22" s="1968"/>
      <c r="N22" s="1968"/>
      <c r="O22" s="1977"/>
      <c r="P22" s="3686"/>
      <c r="Q22" s="1462"/>
      <c r="R22" s="1463"/>
      <c r="S22" s="1464"/>
      <c r="T22" s="1463"/>
      <c r="U22" s="1464"/>
      <c r="V22" s="1463"/>
      <c r="W22" s="1464"/>
      <c r="X22" s="1457"/>
      <c r="Y22" s="3686"/>
      <c r="Z22" s="1465"/>
      <c r="AA22" s="1466">
        <v>1</v>
      </c>
      <c r="AB22" s="1466">
        <v>1</v>
      </c>
      <c r="AC22" s="1466">
        <v>1</v>
      </c>
    </row>
    <row r="23" spans="1:29" ht="82.8">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95</v>
      </c>
      <c r="I23" s="541"/>
      <c r="J23" s="536">
        <f>SUMIF(95:95,I24,96:96)-SUMIF(95:95,C24,96:96)+100</f>
        <v>95</v>
      </c>
      <c r="K23" s="512">
        <v>5</v>
      </c>
      <c r="L23" s="1978"/>
      <c r="M23" s="1968"/>
      <c r="N23" s="1968"/>
      <c r="O23" s="1977"/>
      <c r="P23" s="3686"/>
      <c r="Q23" s="1462" t="str">
        <f>B23</f>
        <v>交通便捷度</v>
      </c>
      <c r="R23" s="1463" t="s">
        <v>8</v>
      </c>
      <c r="S23" s="1464">
        <f>F23</f>
        <v>100</v>
      </c>
      <c r="T23" s="1463" t="s">
        <v>8</v>
      </c>
      <c r="U23" s="1464">
        <f>H23</f>
        <v>95</v>
      </c>
      <c r="V23" s="1463" t="s">
        <v>8</v>
      </c>
      <c r="W23" s="1464">
        <f>J23</f>
        <v>95</v>
      </c>
      <c r="X23" s="1457"/>
      <c r="Y23" s="3686"/>
      <c r="Z23" s="1465" t="str">
        <f>Q23</f>
        <v>交通便捷度</v>
      </c>
      <c r="AA23" s="1466">
        <f t="shared" si="3"/>
        <v>1</v>
      </c>
      <c r="AB23" s="1466">
        <f t="shared" si="4"/>
        <v>1.0526315789473684</v>
      </c>
      <c r="AC23" s="1466">
        <f t="shared" si="5"/>
        <v>1.0526315789473684</v>
      </c>
    </row>
    <row r="24" spans="1:29" ht="21">
      <c r="A24" s="509"/>
      <c r="B24" s="555"/>
      <c r="C24" s="3461" t="s">
        <v>3285</v>
      </c>
      <c r="D24" s="534"/>
      <c r="E24" s="3459" t="s">
        <v>3284</v>
      </c>
      <c r="F24" s="532"/>
      <c r="G24" s="3460" t="s">
        <v>3282</v>
      </c>
      <c r="H24" s="532"/>
      <c r="I24" s="3459" t="s">
        <v>3282</v>
      </c>
      <c r="J24" s="532"/>
      <c r="K24" s="508"/>
      <c r="L24" s="1978"/>
      <c r="M24" s="1968"/>
      <c r="N24" s="1968"/>
      <c r="O24" s="1977"/>
      <c r="P24" s="3686"/>
      <c r="Q24" s="1462"/>
      <c r="R24" s="1463"/>
      <c r="S24" s="1464"/>
      <c r="T24" s="1463"/>
      <c r="U24" s="1464"/>
      <c r="V24" s="1463"/>
      <c r="W24" s="1464"/>
      <c r="X24" s="1457"/>
      <c r="Y24" s="3686"/>
      <c r="Z24" s="1465"/>
      <c r="AA24" s="1466">
        <v>1</v>
      </c>
      <c r="AB24" s="1466">
        <v>1</v>
      </c>
      <c r="AC24" s="1466">
        <v>1</v>
      </c>
    </row>
    <row r="25" spans="1:29" ht="28.8">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5</v>
      </c>
      <c r="L25" s="1978"/>
      <c r="M25" s="1968"/>
      <c r="N25" s="1968"/>
      <c r="O25" s="1977"/>
      <c r="P25" s="3686"/>
      <c r="Q25" s="1462" t="str">
        <f t="shared" ref="Q25:Q39" si="8">B25</f>
        <v>区域土地利用方向</v>
      </c>
      <c r="R25" s="1463" t="s">
        <v>8</v>
      </c>
      <c r="S25" s="1464">
        <f>F25</f>
        <v>100</v>
      </c>
      <c r="T25" s="1463" t="s">
        <v>8</v>
      </c>
      <c r="U25" s="1464">
        <f>H25</f>
        <v>100</v>
      </c>
      <c r="V25" s="1463" t="s">
        <v>8</v>
      </c>
      <c r="W25" s="1464">
        <f>J25</f>
        <v>100</v>
      </c>
      <c r="X25" s="1457"/>
      <c r="Y25" s="3686"/>
      <c r="Z25" s="1465" t="str">
        <f>Q25</f>
        <v>区域土地利用方向</v>
      </c>
      <c r="AA25" s="1466">
        <f t="shared" si="3"/>
        <v>1</v>
      </c>
      <c r="AB25" s="1466">
        <f t="shared" si="4"/>
        <v>1</v>
      </c>
      <c r="AC25" s="1466">
        <f t="shared" si="5"/>
        <v>1</v>
      </c>
    </row>
    <row r="26" spans="1:29" ht="21">
      <c r="A26" s="492"/>
      <c r="B26" s="976"/>
      <c r="C26" s="3461" t="s">
        <v>3285</v>
      </c>
      <c r="D26" s="534"/>
      <c r="E26" s="3459" t="s">
        <v>3286</v>
      </c>
      <c r="F26" s="532"/>
      <c r="G26" s="3460" t="s">
        <v>3285</v>
      </c>
      <c r="H26" s="532"/>
      <c r="I26" s="3459" t="s">
        <v>3285</v>
      </c>
      <c r="J26" s="532"/>
      <c r="K26" s="508"/>
      <c r="L26" s="1978"/>
      <c r="M26" s="1968"/>
      <c r="N26" s="1968"/>
      <c r="O26" s="1977"/>
      <c r="P26" s="3686"/>
      <c r="Q26" s="1462"/>
      <c r="R26" s="1463"/>
      <c r="S26" s="1464"/>
      <c r="T26" s="1463"/>
      <c r="U26" s="1464"/>
      <c r="V26" s="1463"/>
      <c r="W26" s="1464"/>
      <c r="X26" s="1457"/>
      <c r="Y26" s="3686"/>
      <c r="Z26" s="1465"/>
      <c r="AA26" s="1466"/>
      <c r="AB26" s="1466"/>
      <c r="AC26" s="1466"/>
    </row>
    <row r="27" spans="1:29" ht="55.2">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5</v>
      </c>
      <c r="L27" s="1978"/>
      <c r="M27" s="1968"/>
      <c r="N27" s="1968"/>
      <c r="O27" s="1977"/>
      <c r="P27" s="3686"/>
      <c r="Q27" s="1462" t="str">
        <f t="shared" si="8"/>
        <v>自然及人文环境状况</v>
      </c>
      <c r="R27" s="1463" t="s">
        <v>8</v>
      </c>
      <c r="S27" s="1464">
        <f>F27</f>
        <v>100</v>
      </c>
      <c r="T27" s="1463" t="s">
        <v>8</v>
      </c>
      <c r="U27" s="1464">
        <f>H27</f>
        <v>100</v>
      </c>
      <c r="V27" s="1463" t="s">
        <v>8</v>
      </c>
      <c r="W27" s="1464">
        <f>J27</f>
        <v>100</v>
      </c>
      <c r="X27" s="1457"/>
      <c r="Y27" s="3686"/>
      <c r="Z27" s="1465" t="str">
        <f>Q27</f>
        <v>自然及人文环境状况</v>
      </c>
      <c r="AA27" s="1466">
        <f t="shared" si="3"/>
        <v>1</v>
      </c>
      <c r="AB27" s="1466">
        <f t="shared" si="4"/>
        <v>1</v>
      </c>
      <c r="AC27" s="1466">
        <f t="shared" si="5"/>
        <v>1</v>
      </c>
    </row>
    <row r="28" spans="1:29" ht="21">
      <c r="A28" s="492"/>
      <c r="B28" s="543"/>
      <c r="C28" s="3461" t="s">
        <v>3283</v>
      </c>
      <c r="D28" s="534"/>
      <c r="E28" s="3462" t="s">
        <v>3282</v>
      </c>
      <c r="F28" s="532"/>
      <c r="G28" s="3461" t="s">
        <v>3282</v>
      </c>
      <c r="H28" s="532"/>
      <c r="I28" s="3462" t="s">
        <v>3283</v>
      </c>
      <c r="J28" s="532"/>
      <c r="K28" s="508"/>
      <c r="L28" s="1978"/>
      <c r="M28" s="1968"/>
      <c r="N28" s="1968"/>
      <c r="O28" s="1977"/>
      <c r="P28" s="3686"/>
      <c r="Q28" s="1462"/>
      <c r="R28" s="1463"/>
      <c r="S28" s="1464"/>
      <c r="T28" s="1463"/>
      <c r="U28" s="1464"/>
      <c r="V28" s="1463"/>
      <c r="W28" s="1464"/>
      <c r="X28" s="1457"/>
      <c r="Y28" s="3686"/>
      <c r="Z28" s="1465"/>
      <c r="AA28" s="1466">
        <v>1</v>
      </c>
      <c r="AB28" s="1466">
        <v>1</v>
      </c>
      <c r="AC28" s="1466">
        <v>1</v>
      </c>
    </row>
    <row r="29" spans="1:29" s="1166" customFormat="1" ht="41.4">
      <c r="A29" s="554"/>
      <c r="B29" s="2357"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5</v>
      </c>
      <c r="L29" s="1971"/>
      <c r="M29" s="1968"/>
      <c r="N29" s="1968"/>
      <c r="O29" s="1973"/>
      <c r="P29" s="3686"/>
      <c r="Q29" s="1097" t="str">
        <f t="shared" si="8"/>
        <v>公共配套设施</v>
      </c>
      <c r="R29" s="1458" t="s">
        <v>8</v>
      </c>
      <c r="S29" s="1459">
        <f>F29</f>
        <v>100</v>
      </c>
      <c r="T29" s="1458" t="s">
        <v>8</v>
      </c>
      <c r="U29" s="1459">
        <f>H29</f>
        <v>100</v>
      </c>
      <c r="V29" s="1458" t="s">
        <v>8</v>
      </c>
      <c r="W29" s="1459">
        <f>J29</f>
        <v>100</v>
      </c>
      <c r="X29" s="1460"/>
      <c r="Y29" s="3686"/>
      <c r="Z29" s="1096" t="str">
        <f>Q29</f>
        <v>公共配套设施</v>
      </c>
      <c r="AA29" s="1466">
        <f>D29/F29</f>
        <v>1</v>
      </c>
      <c r="AB29" s="1466">
        <f>D29/H29</f>
        <v>1</v>
      </c>
      <c r="AC29" s="1466">
        <f>D29/J29</f>
        <v>1</v>
      </c>
    </row>
    <row r="30" spans="1:29" s="1166" customFormat="1" ht="21">
      <c r="A30" s="554"/>
      <c r="B30" s="543"/>
      <c r="C30" s="3463" t="s">
        <v>3285</v>
      </c>
      <c r="D30" s="534"/>
      <c r="E30" s="3462" t="s">
        <v>3285</v>
      </c>
      <c r="F30" s="532"/>
      <c r="G30" s="3461" t="s">
        <v>3285</v>
      </c>
      <c r="H30" s="532"/>
      <c r="I30" s="3462" t="s">
        <v>3286</v>
      </c>
      <c r="J30" s="532"/>
      <c r="K30" s="508"/>
      <c r="L30" s="1971"/>
      <c r="M30" s="1968"/>
      <c r="N30" s="1968"/>
      <c r="O30" s="1973"/>
      <c r="P30" s="3686"/>
      <c r="Q30" s="1097"/>
      <c r="R30" s="1458"/>
      <c r="S30" s="1459"/>
      <c r="T30" s="1458"/>
      <c r="U30" s="1459"/>
      <c r="V30" s="1458"/>
      <c r="W30" s="1459"/>
      <c r="X30" s="1460"/>
      <c r="Y30" s="3686"/>
      <c r="Z30" s="1096"/>
      <c r="AA30" s="1466">
        <v>1</v>
      </c>
      <c r="AB30" s="1466">
        <v>1</v>
      </c>
      <c r="AC30" s="1466">
        <v>1</v>
      </c>
    </row>
    <row r="31" spans="1:29" s="1166" customFormat="1" ht="27.6">
      <c r="A31" s="554"/>
      <c r="B31" s="2357"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1"/>
      <c r="M31" s="1968"/>
      <c r="N31" s="1968"/>
      <c r="O31" s="1973"/>
      <c r="P31" s="3686"/>
      <c r="Q31" s="2350" t="str">
        <f t="shared" ref="Q31" si="9">B31</f>
        <v>基础设施水平</v>
      </c>
      <c r="R31" s="1458" t="s">
        <v>8</v>
      </c>
      <c r="S31" s="1459">
        <f>F31</f>
        <v>100</v>
      </c>
      <c r="T31" s="1458" t="s">
        <v>8</v>
      </c>
      <c r="U31" s="1459">
        <f>H31</f>
        <v>100</v>
      </c>
      <c r="V31" s="1458" t="s">
        <v>8</v>
      </c>
      <c r="W31" s="1459">
        <f>J31</f>
        <v>100</v>
      </c>
      <c r="X31" s="1460"/>
      <c r="Y31" s="3686"/>
      <c r="Z31" s="2349" t="str">
        <f>Q31</f>
        <v>基础设施水平</v>
      </c>
      <c r="AA31" s="1466">
        <f>D31/F31</f>
        <v>1</v>
      </c>
      <c r="AB31" s="1466">
        <f>D31/H31</f>
        <v>1</v>
      </c>
      <c r="AC31" s="1466">
        <f>D31/J31</f>
        <v>1</v>
      </c>
    </row>
    <row r="32" spans="1:29" s="1166" customFormat="1" ht="21">
      <c r="A32" s="554"/>
      <c r="B32" s="543"/>
      <c r="C32" s="3463" t="s">
        <v>3287</v>
      </c>
      <c r="D32" s="534"/>
      <c r="E32" s="3464" t="s">
        <v>3287</v>
      </c>
      <c r="F32" s="532"/>
      <c r="G32" s="3463" t="s">
        <v>3287</v>
      </c>
      <c r="H32" s="532"/>
      <c r="I32" s="3463" t="s">
        <v>3288</v>
      </c>
      <c r="J32" s="532"/>
      <c r="K32" s="508"/>
      <c r="L32" s="1971"/>
      <c r="M32" s="1968"/>
      <c r="N32" s="1968"/>
      <c r="O32" s="1973"/>
      <c r="P32" s="3686"/>
      <c r="Q32" s="2350"/>
      <c r="R32" s="1458"/>
      <c r="S32" s="1459"/>
      <c r="T32" s="1458"/>
      <c r="U32" s="1459"/>
      <c r="V32" s="1458"/>
      <c r="W32" s="1459"/>
      <c r="X32" s="1460"/>
      <c r="Y32" s="3686"/>
      <c r="Z32" s="2349"/>
      <c r="AA32" s="1466">
        <v>1</v>
      </c>
      <c r="AB32" s="1466">
        <v>1</v>
      </c>
      <c r="AC32" s="1466">
        <v>1</v>
      </c>
    </row>
    <row r="33" spans="1:29" ht="2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86"/>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86"/>
      <c r="Z33" s="1465" t="str">
        <f t="shared" ref="Z33:Z47" si="13">Q33</f>
        <v>临街状况</v>
      </c>
      <c r="AA33" s="1466">
        <f t="shared" si="3"/>
        <v>1</v>
      </c>
      <c r="AB33" s="1466">
        <f t="shared" si="4"/>
        <v>1</v>
      </c>
      <c r="AC33" s="1466">
        <f t="shared" si="5"/>
        <v>1</v>
      </c>
    </row>
    <row r="34" spans="1:29" ht="28.8">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86"/>
      <c r="Q34" s="1462" t="str">
        <f t="shared" si="8"/>
        <v>毗邻道路的类型与等级</v>
      </c>
      <c r="R34" s="1463" t="s">
        <v>8</v>
      </c>
      <c r="S34" s="1464">
        <f t="shared" si="10"/>
        <v>100</v>
      </c>
      <c r="T34" s="1463" t="s">
        <v>8</v>
      </c>
      <c r="U34" s="1464">
        <f t="shared" si="11"/>
        <v>100</v>
      </c>
      <c r="V34" s="1463" t="s">
        <v>8</v>
      </c>
      <c r="W34" s="1464">
        <f t="shared" si="12"/>
        <v>100</v>
      </c>
      <c r="X34" s="1457"/>
      <c r="Y34" s="3686"/>
      <c r="Z34" s="1465" t="str">
        <f t="shared" si="13"/>
        <v>毗邻道路的类型与等级</v>
      </c>
      <c r="AA34" s="1466">
        <f t="shared" si="3"/>
        <v>1</v>
      </c>
      <c r="AB34" s="1466">
        <f t="shared" si="4"/>
        <v>1</v>
      </c>
      <c r="AC34" s="1466">
        <f t="shared" si="5"/>
        <v>1</v>
      </c>
    </row>
    <row r="35" spans="1:29" ht="21">
      <c r="A35" s="509"/>
      <c r="B35" s="543"/>
      <c r="C35" s="531"/>
      <c r="D35" s="534"/>
      <c r="E35" s="553"/>
      <c r="F35" s="532"/>
      <c r="G35" s="531"/>
      <c r="H35" s="532"/>
      <c r="I35" s="553"/>
      <c r="J35" s="532"/>
      <c r="K35" s="558"/>
      <c r="L35" s="1978"/>
      <c r="M35" s="1968"/>
      <c r="N35" s="1968"/>
      <c r="O35" s="1977"/>
      <c r="P35" s="3686"/>
      <c r="Q35" s="1462"/>
      <c r="R35" s="1463"/>
      <c r="S35" s="1464"/>
      <c r="T35" s="1463"/>
      <c r="U35" s="1464"/>
      <c r="V35" s="1463"/>
      <c r="W35" s="1464"/>
      <c r="X35" s="1457"/>
      <c r="Y35" s="3686"/>
      <c r="Z35" s="1465"/>
      <c r="AA35" s="1466">
        <v>1</v>
      </c>
      <c r="AB35" s="1466">
        <v>1</v>
      </c>
      <c r="AC35" s="1466">
        <v>1</v>
      </c>
    </row>
    <row r="36" spans="1:29" ht="2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86"/>
      <c r="Q36" s="1462" t="str">
        <f t="shared" si="8"/>
        <v>土地级别</v>
      </c>
      <c r="R36" s="1463" t="s">
        <v>8</v>
      </c>
      <c r="S36" s="1464">
        <f t="shared" si="10"/>
        <v>100</v>
      </c>
      <c r="T36" s="1463" t="s">
        <v>8</v>
      </c>
      <c r="U36" s="1464">
        <f t="shared" si="11"/>
        <v>100</v>
      </c>
      <c r="V36" s="1463" t="s">
        <v>8</v>
      </c>
      <c r="W36" s="1464">
        <f t="shared" si="12"/>
        <v>100</v>
      </c>
      <c r="X36" s="1457"/>
      <c r="Y36" s="3686"/>
      <c r="Z36" s="1465" t="str">
        <f t="shared" si="13"/>
        <v>土地级别</v>
      </c>
      <c r="AA36" s="1466">
        <f t="shared" si="3"/>
        <v>1</v>
      </c>
      <c r="AB36" s="1466">
        <f t="shared" si="4"/>
        <v>1</v>
      </c>
      <c r="AC36" s="1466">
        <f t="shared" si="5"/>
        <v>1</v>
      </c>
    </row>
    <row r="37" spans="1:29" ht="2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86"/>
      <c r="Q37" s="1462">
        <f t="shared" si="8"/>
        <v>111</v>
      </c>
      <c r="R37" s="1463" t="s">
        <v>8</v>
      </c>
      <c r="S37" s="1464">
        <f t="shared" si="10"/>
        <v>100</v>
      </c>
      <c r="T37" s="1463" t="s">
        <v>8</v>
      </c>
      <c r="U37" s="1464">
        <f t="shared" si="11"/>
        <v>100</v>
      </c>
      <c r="V37" s="1463" t="s">
        <v>8</v>
      </c>
      <c r="W37" s="1464">
        <f t="shared" si="12"/>
        <v>100</v>
      </c>
      <c r="X37" s="1457"/>
      <c r="Y37" s="3686"/>
      <c r="Z37" s="1465">
        <f t="shared" si="13"/>
        <v>111</v>
      </c>
      <c r="AA37" s="1466">
        <f t="shared" si="3"/>
        <v>1</v>
      </c>
      <c r="AB37" s="1466">
        <f t="shared" si="4"/>
        <v>1</v>
      </c>
      <c r="AC37" s="1466">
        <f t="shared" si="5"/>
        <v>1</v>
      </c>
    </row>
    <row r="38" spans="1:29" ht="2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87" t="s">
        <v>533</v>
      </c>
      <c r="Q38" s="1462">
        <f t="shared" si="8"/>
        <v>111</v>
      </c>
      <c r="R38" s="1463" t="s">
        <v>8</v>
      </c>
      <c r="S38" s="1464">
        <f t="shared" si="10"/>
        <v>100</v>
      </c>
      <c r="T38" s="1463" t="s">
        <v>8</v>
      </c>
      <c r="U38" s="1464">
        <f t="shared" si="11"/>
        <v>100</v>
      </c>
      <c r="V38" s="1463" t="s">
        <v>8</v>
      </c>
      <c r="W38" s="1464">
        <f t="shared" si="12"/>
        <v>100</v>
      </c>
      <c r="X38" s="1457"/>
      <c r="Y38" s="3688" t="s">
        <v>533</v>
      </c>
      <c r="Z38" s="1465">
        <f t="shared" si="13"/>
        <v>111</v>
      </c>
      <c r="AA38" s="1466">
        <f t="shared" si="3"/>
        <v>1</v>
      </c>
      <c r="AB38" s="1466">
        <f t="shared" si="4"/>
        <v>1</v>
      </c>
      <c r="AC38" s="1466">
        <f t="shared" si="5"/>
        <v>1</v>
      </c>
    </row>
    <row r="39" spans="1:29" s="1248" customFormat="1" ht="21.6"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88"/>
      <c r="Q39" s="1462">
        <f t="shared" si="8"/>
        <v>111</v>
      </c>
      <c r="R39" s="1467" t="s">
        <v>8</v>
      </c>
      <c r="S39" s="1468">
        <f t="shared" si="10"/>
        <v>100</v>
      </c>
      <c r="T39" s="1467" t="s">
        <v>8</v>
      </c>
      <c r="U39" s="1468">
        <f t="shared" si="11"/>
        <v>100</v>
      </c>
      <c r="V39" s="1467" t="s">
        <v>8</v>
      </c>
      <c r="W39" s="1468">
        <f t="shared" si="12"/>
        <v>100</v>
      </c>
      <c r="X39" s="1469"/>
      <c r="Y39" s="3688"/>
      <c r="Z39" s="1470">
        <f t="shared" si="13"/>
        <v>111</v>
      </c>
      <c r="AA39" s="1466">
        <f t="shared" si="3"/>
        <v>1</v>
      </c>
      <c r="AB39" s="1466">
        <f t="shared" si="4"/>
        <v>1</v>
      </c>
      <c r="AC39" s="1466">
        <f t="shared" si="5"/>
        <v>1</v>
      </c>
    </row>
    <row r="40" spans="1:29" ht="21">
      <c r="A40" s="2546" t="s">
        <v>2472</v>
      </c>
      <c r="B40" s="572" t="s">
        <v>535</v>
      </c>
      <c r="C40" s="573">
        <f>'数据-基础表'!A3</f>
        <v>32294.89</v>
      </c>
      <c r="D40" s="574">
        <v>100</v>
      </c>
      <c r="E40" s="573">
        <f>土地案例!E17</f>
        <v>27525.64</v>
      </c>
      <c r="F40" s="574">
        <f>LOOKUP(E40,118:118,119:119)-LOOKUP(C40,118:118,119:119)+100</f>
        <v>98</v>
      </c>
      <c r="G40" s="573">
        <f>土地案例!E18</f>
        <v>99023.27</v>
      </c>
      <c r="H40" s="574">
        <f>LOOKUP(G40,118:118,119:119)-LOOKUP(C40,118:118,119:119)+100</f>
        <v>104</v>
      </c>
      <c r="I40" s="575">
        <f>土地案例!E20</f>
        <v>73240.63</v>
      </c>
      <c r="J40" s="574">
        <f>LOOKUP(I40,118:118,119:119)-LOOKUP(C40,118:118,119:119)+100</f>
        <v>102</v>
      </c>
      <c r="K40" s="558"/>
      <c r="L40" s="1978"/>
      <c r="M40" s="1968"/>
      <c r="N40" s="1968"/>
      <c r="O40" s="1977"/>
      <c r="P40" s="3688"/>
      <c r="Q40" s="1462" t="str">
        <f>B40</f>
        <v>宗地面积</v>
      </c>
      <c r="R40" s="1463" t="s">
        <v>8</v>
      </c>
      <c r="S40" s="1464">
        <f t="shared" si="10"/>
        <v>98</v>
      </c>
      <c r="T40" s="1463" t="s">
        <v>8</v>
      </c>
      <c r="U40" s="1464">
        <f t="shared" si="11"/>
        <v>104</v>
      </c>
      <c r="V40" s="1463" t="s">
        <v>8</v>
      </c>
      <c r="W40" s="1464">
        <f t="shared" si="12"/>
        <v>102</v>
      </c>
      <c r="X40" s="1457"/>
      <c r="Y40" s="3688"/>
      <c r="Z40" s="1465" t="str">
        <f t="shared" si="13"/>
        <v>宗地面积</v>
      </c>
      <c r="AA40" s="1466">
        <f t="shared" si="3"/>
        <v>1.0204081632653061</v>
      </c>
      <c r="AB40" s="1466">
        <f t="shared" si="4"/>
        <v>0.96153846153846156</v>
      </c>
      <c r="AC40" s="1466">
        <f t="shared" si="5"/>
        <v>0.98039215686274506</v>
      </c>
    </row>
    <row r="41" spans="1:29" ht="21">
      <c r="A41" s="571"/>
      <c r="B41" s="504" t="s">
        <v>536</v>
      </c>
      <c r="C41" s="3465" t="s">
        <v>3289</v>
      </c>
      <c r="D41" s="517">
        <v>100</v>
      </c>
      <c r="E41" s="3465" t="s">
        <v>3289</v>
      </c>
      <c r="F41" s="517">
        <f>SUMIF(120:120,E41,121:121)-SUMIF(120:120,C41,121:121)+100</f>
        <v>100</v>
      </c>
      <c r="G41" s="3465" t="s">
        <v>3290</v>
      </c>
      <c r="H41" s="517">
        <f>SUMIF(120:120,G41,121:121)-SUMIF(120:120,C41,121:121)+100</f>
        <v>100</v>
      </c>
      <c r="I41" s="3465" t="s">
        <v>3289</v>
      </c>
      <c r="J41" s="517">
        <f>SUMIF(120:120,I41,121:121)-SUMIF(120:120,C41,121:121)+100</f>
        <v>100</v>
      </c>
      <c r="K41" s="561"/>
      <c r="L41" s="1978"/>
      <c r="M41" s="1968"/>
      <c r="N41" s="1968"/>
      <c r="O41" s="1977"/>
      <c r="P41" s="3688"/>
      <c r="Q41" s="1462" t="str">
        <f t="shared" ref="Q41:Q47" si="14">B41</f>
        <v>宗地形状</v>
      </c>
      <c r="R41" s="1463" t="s">
        <v>8</v>
      </c>
      <c r="S41" s="1464">
        <f t="shared" si="10"/>
        <v>100</v>
      </c>
      <c r="T41" s="1463" t="s">
        <v>8</v>
      </c>
      <c r="U41" s="1464">
        <f t="shared" si="11"/>
        <v>100</v>
      </c>
      <c r="V41" s="1463" t="s">
        <v>8</v>
      </c>
      <c r="W41" s="1464">
        <f t="shared" si="12"/>
        <v>100</v>
      </c>
      <c r="X41" s="1457"/>
      <c r="Y41" s="3688"/>
      <c r="Z41" s="1465" t="str">
        <f t="shared" si="13"/>
        <v>宗地形状</v>
      </c>
      <c r="AA41" s="1466">
        <f t="shared" si="3"/>
        <v>1</v>
      </c>
      <c r="AB41" s="1466">
        <f t="shared" si="4"/>
        <v>1</v>
      </c>
      <c r="AC41" s="1466">
        <f t="shared" si="5"/>
        <v>1</v>
      </c>
    </row>
    <row r="42" spans="1:29" ht="21">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688"/>
      <c r="Q42" s="1462" t="str">
        <f t="shared" si="14"/>
        <v>临街宽度及深度</v>
      </c>
      <c r="R42" s="1463" t="s">
        <v>8</v>
      </c>
      <c r="S42" s="1464">
        <f t="shared" si="10"/>
        <v>100</v>
      </c>
      <c r="T42" s="1463" t="s">
        <v>8</v>
      </c>
      <c r="U42" s="1464">
        <f t="shared" si="11"/>
        <v>100</v>
      </c>
      <c r="V42" s="1463" t="s">
        <v>8</v>
      </c>
      <c r="W42" s="1464">
        <f t="shared" si="12"/>
        <v>100</v>
      </c>
      <c r="X42" s="1457"/>
      <c r="Y42" s="3688"/>
      <c r="Z42" s="1465" t="str">
        <f t="shared" si="13"/>
        <v>临街宽度及深度</v>
      </c>
      <c r="AA42" s="1466">
        <f t="shared" si="3"/>
        <v>1</v>
      </c>
      <c r="AB42" s="1466">
        <f t="shared" si="4"/>
        <v>1</v>
      </c>
      <c r="AC42" s="1466">
        <f t="shared" si="5"/>
        <v>1</v>
      </c>
    </row>
    <row r="43" spans="1:29" s="1166" customFormat="1" ht="21">
      <c r="A43" s="577"/>
      <c r="B43" s="1764" t="s">
        <v>2211</v>
      </c>
      <c r="C43" s="3466" t="s">
        <v>3291</v>
      </c>
      <c r="D43" s="253">
        <v>100</v>
      </c>
      <c r="E43" s="3466" t="s">
        <v>3291</v>
      </c>
      <c r="F43" s="517">
        <f>SUMIF(124:124,E43,125:125)-SUMIF(124:124,C43,125:125)+100</f>
        <v>100</v>
      </c>
      <c r="G43" s="3466" t="s">
        <v>3291</v>
      </c>
      <c r="H43" s="517">
        <f>SUMIF(124:124,G43,125:125)-SUMIF(124:124,C43,125:125)+100</f>
        <v>100</v>
      </c>
      <c r="I43" s="3466" t="s">
        <v>3292</v>
      </c>
      <c r="J43" s="517">
        <f>SUMIF(124:124,I43,125:125)-SUMIF(124:124,C43,125:125)+100</f>
        <v>100</v>
      </c>
      <c r="K43" s="561"/>
      <c r="L43" s="1971"/>
      <c r="M43" s="1968"/>
      <c r="N43" s="1968"/>
      <c r="O43" s="1973"/>
      <c r="P43" s="3688"/>
      <c r="Q43" s="1462" t="str">
        <f t="shared" si="14"/>
        <v>宗地开发程度</v>
      </c>
      <c r="R43" s="1458" t="s">
        <v>8</v>
      </c>
      <c r="S43" s="1459">
        <f t="shared" si="10"/>
        <v>100</v>
      </c>
      <c r="T43" s="1458" t="s">
        <v>8</v>
      </c>
      <c r="U43" s="1459">
        <f t="shared" si="11"/>
        <v>100</v>
      </c>
      <c r="V43" s="1458" t="s">
        <v>8</v>
      </c>
      <c r="W43" s="1459">
        <f t="shared" si="12"/>
        <v>100</v>
      </c>
      <c r="X43" s="1460"/>
      <c r="Y43" s="3688"/>
      <c r="Z43" s="1096" t="str">
        <f t="shared" si="13"/>
        <v>宗地开发程度</v>
      </c>
      <c r="AA43" s="1461">
        <f t="shared" si="3"/>
        <v>1</v>
      </c>
      <c r="AB43" s="1461">
        <f t="shared" si="4"/>
        <v>1</v>
      </c>
      <c r="AC43" s="1461">
        <f t="shared" si="5"/>
        <v>1</v>
      </c>
    </row>
    <row r="44" spans="1:29" ht="21">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8"/>
      <c r="M44" s="1968"/>
      <c r="N44" s="1968"/>
      <c r="O44" s="1977"/>
      <c r="P44" s="3688" t="s">
        <v>533</v>
      </c>
      <c r="Q44" s="1462" t="str">
        <f t="shared" si="14"/>
        <v>工程地质条件</v>
      </c>
      <c r="R44" s="1463" t="s">
        <v>8</v>
      </c>
      <c r="S44" s="1464">
        <f t="shared" si="10"/>
        <v>100</v>
      </c>
      <c r="T44" s="1463" t="s">
        <v>8</v>
      </c>
      <c r="U44" s="1464">
        <f t="shared" si="11"/>
        <v>100</v>
      </c>
      <c r="V44" s="1463" t="s">
        <v>8</v>
      </c>
      <c r="W44" s="1464">
        <f t="shared" si="12"/>
        <v>100</v>
      </c>
      <c r="X44" s="1457"/>
      <c r="Y44" s="3688" t="s">
        <v>533</v>
      </c>
      <c r="Z44" s="1465" t="str">
        <f t="shared" si="13"/>
        <v>工程地质条件</v>
      </c>
      <c r="AA44" s="1466">
        <f t="shared" si="3"/>
        <v>1</v>
      </c>
      <c r="AB44" s="1466">
        <f t="shared" si="4"/>
        <v>1</v>
      </c>
      <c r="AC44" s="1466">
        <f t="shared" si="5"/>
        <v>1</v>
      </c>
    </row>
    <row r="45" spans="1:29" ht="21">
      <c r="A45" s="571"/>
      <c r="B45" s="3467" t="s">
        <v>3301</v>
      </c>
      <c r="C45" s="519">
        <v>20</v>
      </c>
      <c r="D45" s="517">
        <v>100</v>
      </c>
      <c r="E45" s="519">
        <v>0</v>
      </c>
      <c r="F45" s="517">
        <f>SUMIF(128:128,E45,129:129)-SUMIF(128:128,C45,129:129)+100</f>
        <v>113</v>
      </c>
      <c r="G45" s="519">
        <v>0</v>
      </c>
      <c r="H45" s="517">
        <f>SUMIF(128:128,G45,129:129)-SUMIF(128:128,C45,129:129)+100</f>
        <v>113</v>
      </c>
      <c r="I45" s="518">
        <v>0</v>
      </c>
      <c r="J45" s="517">
        <f>SUMIF(128:128,I45,129:129)-SUMIF(128:128,C45,129:129)+100</f>
        <v>113</v>
      </c>
      <c r="K45" s="558"/>
      <c r="L45" s="1978"/>
      <c r="M45" s="1968"/>
      <c r="N45" s="1968"/>
      <c r="O45" s="1977"/>
      <c r="P45" s="3688"/>
      <c r="Q45" s="1462" t="str">
        <f t="shared" si="14"/>
        <v>自持年限</v>
      </c>
      <c r="R45" s="1463" t="s">
        <v>8</v>
      </c>
      <c r="S45" s="1464">
        <f t="shared" si="10"/>
        <v>113</v>
      </c>
      <c r="T45" s="1463" t="s">
        <v>8</v>
      </c>
      <c r="U45" s="1464">
        <f t="shared" si="11"/>
        <v>113</v>
      </c>
      <c r="V45" s="1463" t="s">
        <v>8</v>
      </c>
      <c r="W45" s="1464">
        <f t="shared" si="12"/>
        <v>113</v>
      </c>
      <c r="X45" s="1457"/>
      <c r="Y45" s="3688"/>
      <c r="Z45" s="1465" t="str">
        <f t="shared" si="13"/>
        <v>自持年限</v>
      </c>
      <c r="AA45" s="1466">
        <f t="shared" si="3"/>
        <v>0.88495575221238942</v>
      </c>
      <c r="AB45" s="1466">
        <f t="shared" si="4"/>
        <v>0.88495575221238942</v>
      </c>
      <c r="AC45" s="1466">
        <f t="shared" si="5"/>
        <v>0.88495575221238942</v>
      </c>
    </row>
    <row r="46" spans="1:29" ht="2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88"/>
      <c r="Q46" s="1462">
        <f t="shared" si="14"/>
        <v>111</v>
      </c>
      <c r="R46" s="1463" t="s">
        <v>8</v>
      </c>
      <c r="S46" s="1464">
        <f t="shared" si="10"/>
        <v>100</v>
      </c>
      <c r="T46" s="1463" t="s">
        <v>8</v>
      </c>
      <c r="U46" s="1464">
        <f t="shared" si="11"/>
        <v>100</v>
      </c>
      <c r="V46" s="1463" t="s">
        <v>8</v>
      </c>
      <c r="W46" s="1464">
        <f t="shared" si="12"/>
        <v>100</v>
      </c>
      <c r="X46" s="1457"/>
      <c r="Y46" s="3688"/>
      <c r="Z46" s="1465">
        <f t="shared" si="13"/>
        <v>111</v>
      </c>
      <c r="AA46" s="1466">
        <f t="shared" si="3"/>
        <v>1</v>
      </c>
      <c r="AB46" s="1466">
        <f t="shared" si="4"/>
        <v>1</v>
      </c>
      <c r="AC46" s="1466">
        <f t="shared" si="5"/>
        <v>1</v>
      </c>
    </row>
    <row r="47" spans="1:29" s="1248" customFormat="1" ht="21.6"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3468" t="s">
        <v>3294</v>
      </c>
      <c r="N47" s="1968"/>
      <c r="O47" s="1979"/>
      <c r="P47" s="3688"/>
      <c r="Q47" s="1462">
        <f t="shared" si="14"/>
        <v>111</v>
      </c>
      <c r="R47" s="1467" t="s">
        <v>8</v>
      </c>
      <c r="S47" s="1468">
        <f t="shared" si="10"/>
        <v>100</v>
      </c>
      <c r="T47" s="1467" t="s">
        <v>8</v>
      </c>
      <c r="U47" s="1468">
        <f t="shared" si="11"/>
        <v>100</v>
      </c>
      <c r="V47" s="1467" t="s">
        <v>8</v>
      </c>
      <c r="W47" s="1468">
        <f t="shared" si="12"/>
        <v>100</v>
      </c>
      <c r="X47" s="1469"/>
      <c r="Y47" s="3688"/>
      <c r="Z47" s="1470">
        <f t="shared" si="13"/>
        <v>111</v>
      </c>
      <c r="AA47" s="1466">
        <f t="shared" si="3"/>
        <v>1</v>
      </c>
      <c r="AB47" s="1466">
        <f t="shared" si="4"/>
        <v>1</v>
      </c>
      <c r="AC47" s="1466">
        <f t="shared" si="5"/>
        <v>1</v>
      </c>
    </row>
    <row r="48" spans="1:29" ht="21">
      <c r="A48" s="584" t="s">
        <v>539</v>
      </c>
      <c r="B48" s="585" t="s">
        <v>3293</v>
      </c>
      <c r="C48" s="586" t="s">
        <v>1</v>
      </c>
      <c r="D48" s="587"/>
      <c r="E48" s="588">
        <f>ROUND(土地案例!S17*M48,0)</f>
        <v>26825</v>
      </c>
      <c r="F48" s="589"/>
      <c r="G48" s="590">
        <f>ROUND(土地案例!S18*M48,0)</f>
        <v>21209</v>
      </c>
      <c r="H48" s="591"/>
      <c r="I48" s="588">
        <f>ROUND(土地案例!S20*M48,0)</f>
        <v>21560</v>
      </c>
      <c r="J48" s="591"/>
      <c r="K48" s="1249"/>
      <c r="L48" s="1980"/>
      <c r="M48" s="1968">
        <v>1</v>
      </c>
      <c r="N48" s="1968"/>
      <c r="O48" s="1981"/>
      <c r="P48" s="3683" t="str">
        <f>A48</f>
        <v>成交单价</v>
      </c>
      <c r="Q48" s="3683"/>
      <c r="R48" s="3699">
        <f>E48</f>
        <v>26825</v>
      </c>
      <c r="S48" s="3699"/>
      <c r="T48" s="3699">
        <f>G48</f>
        <v>21209</v>
      </c>
      <c r="U48" s="3699"/>
      <c r="V48" s="3699">
        <f>I48</f>
        <v>21560</v>
      </c>
      <c r="W48" s="3699"/>
      <c r="X48" s="1452"/>
      <c r="Y48" s="1471"/>
      <c r="Z48" s="1452"/>
      <c r="AA48" s="1452"/>
      <c r="AB48" s="1452"/>
      <c r="AC48" s="1452"/>
    </row>
    <row r="49" spans="1:29" ht="21.6" thickBot="1">
      <c r="A49" s="592" t="s">
        <v>2410</v>
      </c>
      <c r="B49" s="593"/>
      <c r="C49" s="594">
        <f>R50</f>
        <v>21706</v>
      </c>
      <c r="D49" s="2922" t="s">
        <v>2702</v>
      </c>
      <c r="E49" s="594">
        <f>R49</f>
        <v>24284</v>
      </c>
      <c r="F49" s="2923"/>
      <c r="G49" s="595">
        <f>T49</f>
        <v>19997</v>
      </c>
      <c r="H49" s="2923"/>
      <c r="I49" s="594">
        <f>V49</f>
        <v>20836</v>
      </c>
      <c r="J49" s="2923"/>
      <c r="K49" s="2924">
        <f>F49+H49+J49</f>
        <v>0</v>
      </c>
      <c r="L49" s="1980"/>
      <c r="M49" s="1968"/>
      <c r="N49" s="1968"/>
      <c r="O49" s="1981"/>
      <c r="P49" s="3683" t="str">
        <f>A49</f>
        <v>比较价格（元/平方米）</v>
      </c>
      <c r="Q49" s="3683"/>
      <c r="R49" s="3707">
        <f>ROUND(PRODUCT(R48,AA9:AA47),0)</f>
        <v>24284</v>
      </c>
      <c r="S49" s="3707"/>
      <c r="T49" s="3707">
        <f>ROUND(PRODUCT(T48,AB9:AB47),0)</f>
        <v>19997</v>
      </c>
      <c r="U49" s="3707"/>
      <c r="V49" s="3707">
        <f>ROUND(PRODUCT(V48,AC9:AC47),0)</f>
        <v>20836</v>
      </c>
      <c r="W49" s="3707"/>
      <c r="X49" s="1452"/>
      <c r="Y49" s="1452"/>
      <c r="Z49" s="1452"/>
      <c r="AA49" s="1452"/>
      <c r="AB49" s="1452"/>
      <c r="AC49" s="1452"/>
    </row>
    <row r="50" spans="1:29" ht="21.6" thickBot="1">
      <c r="A50" s="596" t="s">
        <v>2637</v>
      </c>
      <c r="B50" s="597"/>
      <c r="C50" s="598">
        <f>R50</f>
        <v>21706</v>
      </c>
      <c r="D50" s="598"/>
      <c r="E50" s="598"/>
      <c r="F50" s="598"/>
      <c r="G50" s="598"/>
      <c r="H50" s="598"/>
      <c r="I50" s="598"/>
      <c r="J50" s="598"/>
      <c r="K50" s="1250"/>
      <c r="L50" s="1980"/>
      <c r="M50" s="1968"/>
      <c r="N50" s="1968"/>
      <c r="O50" s="1981"/>
      <c r="P50" s="3689" t="str">
        <f>A50</f>
        <v>估价对象XX用房的比较价格（楼面单价，元/平方米）</v>
      </c>
      <c r="Q50" s="3690"/>
      <c r="R50" s="3706">
        <f>ROUND(IF(D49="简单平均",AVERAGE(R49:W49),R49*F49+T49*H49+V49*J49),0)</f>
        <v>21706</v>
      </c>
      <c r="S50" s="3706"/>
      <c r="T50" s="3706"/>
      <c r="U50" s="3706"/>
      <c r="V50" s="3706"/>
      <c r="W50" s="3706"/>
      <c r="X50" s="1452"/>
      <c r="Y50" s="1452"/>
      <c r="Z50" s="1452"/>
      <c r="AA50" s="1452"/>
      <c r="AB50" s="1452"/>
      <c r="AC50" s="1452"/>
    </row>
    <row r="51" spans="1:29" ht="21">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1">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0.10463679789161584</v>
      </c>
      <c r="F53" s="602" t="str">
        <f>IF(OR(E53&gt;=0.3,E53&lt;=-0.3),"超过30%","")</f>
        <v/>
      </c>
      <c r="G53" s="601">
        <f>IF(G48&lt;G49,G49/G48-1,G48/G49-1)</f>
        <v>6.0609091363704515E-2</v>
      </c>
      <c r="H53" s="602" t="str">
        <f>IF(OR(G53&gt;=0.3,G53&lt;=-0.3),"超过30%","")</f>
        <v/>
      </c>
      <c r="I53" s="601">
        <f>IF(I48&lt;I49,I49/I48-1,I48/I49-1)</f>
        <v>3.4747552313303842E-2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0.21438215732359844</v>
      </c>
      <c r="F54" s="602" t="str">
        <f>IF(OR(E54&gt;=0.2,E54&lt;=-0.2),"超过20%","")</f>
        <v>超过20%</v>
      </c>
      <c r="G54" s="601">
        <f>IF(G49&lt;I49,I49/G49-1,G49/I49-1)</f>
        <v>4.1956293444016524E-2</v>
      </c>
      <c r="H54" s="602" t="str">
        <f>IF(OR(G54&gt;=0.2,G54&lt;=-0.2),"超过20%","")</f>
        <v/>
      </c>
      <c r="I54" s="601">
        <f>IF(I49&lt;E49,E49/I49-1,I49/E49-1)</f>
        <v>0.16548281819927046</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0.26479324814937044</v>
      </c>
      <c r="F55" s="602" t="str">
        <f>IF(OR(E55&gt;=0.3,E55&lt;=-0.3),"超过30%","")</f>
        <v/>
      </c>
      <c r="G55" s="601">
        <f>IF(G48&lt;I48,I48/G48-1,G48/I48-1)</f>
        <v>1.6549578009335653E-2</v>
      </c>
      <c r="H55" s="602" t="str">
        <f>IF(OR(G55&gt;=0.3,G55&lt;=-0.3),"超过30%","")</f>
        <v/>
      </c>
      <c r="I55" s="601">
        <f>IF(I48&lt;E48,E48/I48-1,I48/E48-1)</f>
        <v>0.2442022263450836</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6"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668" t="s">
        <v>2072</v>
      </c>
      <c r="H57" s="3669"/>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3.2">
      <c r="A58" s="608" t="s">
        <v>547</v>
      </c>
      <c r="B58" s="609">
        <f>C50</f>
        <v>21706</v>
      </c>
      <c r="C58" s="610">
        <v>1</v>
      </c>
      <c r="D58" s="2062">
        <v>1</v>
      </c>
      <c r="E58" s="610">
        <f>'数据-汇总表'!E8+'数据-汇总表'!E9</f>
        <v>60651.07</v>
      </c>
      <c r="F58" s="611">
        <f t="shared" ref="F58:F66" si="15">ROUND(B58*E58/10000,0)</f>
        <v>131649</v>
      </c>
      <c r="G58" s="3670"/>
      <c r="H58" s="3671"/>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3.2">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3.2">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2">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2">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3.2">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3.2">
      <c r="A64" s="612" t="s">
        <v>552</v>
      </c>
      <c r="B64" s="613">
        <f t="shared" si="17"/>
        <v>814</v>
      </c>
      <c r="C64" s="372">
        <f t="shared" si="16"/>
        <v>0.15</v>
      </c>
      <c r="D64" s="2063">
        <v>0.25</v>
      </c>
      <c r="E64" s="616">
        <f>'数据-汇总表'!E13</f>
        <v>22085</v>
      </c>
      <c r="F64" s="611">
        <f t="shared" si="15"/>
        <v>1798</v>
      </c>
      <c r="G64" s="1815" t="s">
        <v>902</v>
      </c>
      <c r="H64" s="1813" t="str">
        <f>IF(G64="商业",项目基本情况!B43,IF(G64="办公",项目基本情况!C43,IF(G64="住宅",项目基本情况!D43,项目基本情况!E43)))</f>
        <v>六级</v>
      </c>
      <c r="I64" s="1450">
        <f>SUMIF(修正!$A$57:$A$68,H64,修正!G57:G68)</f>
        <v>0.15</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3.2">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thickBot="1">
      <c r="A67" s="617" t="s">
        <v>555</v>
      </c>
      <c r="B67" s="618" t="s">
        <v>17</v>
      </c>
      <c r="C67" s="618" t="s">
        <v>18</v>
      </c>
      <c r="D67" s="618" t="s">
        <v>2084</v>
      </c>
      <c r="E67" s="618">
        <f>IF(B48="楼面地价",SUM(E58:E66),'数据-汇总表'!D3)</f>
        <v>82736.070000000007</v>
      </c>
      <c r="F67" s="619">
        <f>IF(B48="楼面地价",SUM(F58:F66),ROUND(C50*E67/10000,0))</f>
        <v>133447</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2.2"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4.4">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2" t="str">
        <f>"北京市平均增长率"&amp;TEXT(SUMIF(基准地价!N21:N25,A72,基准地价!P21:P25),"0.00%")</f>
        <v>北京市平均增长率1.55%</v>
      </c>
      <c r="C72" s="865">
        <v>100</v>
      </c>
      <c r="D72" s="705">
        <v>99.5</v>
      </c>
      <c r="E72" s="705">
        <v>99</v>
      </c>
      <c r="F72" s="705">
        <v>98.5</v>
      </c>
      <c r="G72" s="705">
        <v>98</v>
      </c>
      <c r="H72" s="705">
        <v>97.5</v>
      </c>
      <c r="I72" s="705">
        <v>97</v>
      </c>
      <c r="J72" s="705">
        <v>96.5</v>
      </c>
      <c r="K72" s="705">
        <v>96</v>
      </c>
      <c r="L72" s="705">
        <v>95.5</v>
      </c>
      <c r="M72" s="2433">
        <v>95</v>
      </c>
      <c r="N72" s="243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4.4">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4.4"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ht="14.4">
      <c r="A76" s="639" t="s">
        <v>559</v>
      </c>
      <c r="B76" s="640" t="s">
        <v>517</v>
      </c>
      <c r="C76" s="575"/>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4.4"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9.4"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4.4"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v>
      </c>
      <c r="H80" s="657" t="str">
        <f t="shared" si="20"/>
        <v>（含）-</v>
      </c>
      <c r="I80" s="657" t="str">
        <f t="shared" si="20"/>
        <v>（含）-</v>
      </c>
      <c r="J80" s="657" t="str">
        <f t="shared" si="20"/>
        <v>（含）-</v>
      </c>
      <c r="K80" s="657" t="str">
        <f t="shared" si="20"/>
        <v>（含）-</v>
      </c>
      <c r="L80" s="657" t="str">
        <f t="shared" si="20"/>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c r="A81" s="644"/>
      <c r="B81" s="658"/>
      <c r="C81" s="518">
        <v>0</v>
      </c>
      <c r="D81" s="518">
        <v>1</v>
      </c>
      <c r="E81" s="518">
        <v>2</v>
      </c>
      <c r="F81" s="518">
        <v>3</v>
      </c>
      <c r="G81" s="518">
        <v>4</v>
      </c>
      <c r="H81" s="518"/>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4.4"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2001"/>
      <c r="O82" s="2001"/>
      <c r="P82" s="2000"/>
      <c r="Q82" s="1993"/>
      <c r="R82" s="1981"/>
      <c r="S82" s="1981"/>
      <c r="T82" s="1981"/>
      <c r="U82" s="1981"/>
      <c r="V82" s="1981"/>
      <c r="W82" s="1981"/>
      <c r="X82" s="1981"/>
      <c r="Y82" s="1981"/>
      <c r="Z82" s="1981"/>
      <c r="AA82" s="1981"/>
      <c r="AB82" s="1981"/>
      <c r="AC82" s="1981"/>
    </row>
    <row r="83" spans="1:29" s="1248" customFormat="1" ht="1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4.4"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4.4"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4.4"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4.4"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4.4"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ht="14.4">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4.4"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4.4"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4.4"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4.4" thickBot="1">
      <c r="A96" s="644"/>
      <c r="B96" s="653"/>
      <c r="C96" s="654">
        <v>100</v>
      </c>
      <c r="D96" s="654">
        <f>C96-$K23</f>
        <v>95</v>
      </c>
      <c r="E96" s="654">
        <f>D96-$K23</f>
        <v>90</v>
      </c>
      <c r="F96" s="654">
        <f>E96-$K23</f>
        <v>85</v>
      </c>
      <c r="G96" s="654">
        <f>F96-$K23</f>
        <v>80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9.4"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4.4" thickBot="1">
      <c r="A98" s="684"/>
      <c r="B98" s="653"/>
      <c r="C98" s="687">
        <v>100</v>
      </c>
      <c r="D98" s="654">
        <f>C98-$K25</f>
        <v>95</v>
      </c>
      <c r="E98" s="654">
        <f>D98-$K25</f>
        <v>90</v>
      </c>
      <c r="F98" s="654">
        <f>E98-$K25</f>
        <v>85</v>
      </c>
      <c r="G98" s="654">
        <f>F98-$K25</f>
        <v>80</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9.4"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4.4" thickBot="1">
      <c r="A100" s="684"/>
      <c r="B100" s="653"/>
      <c r="C100" s="654">
        <v>100</v>
      </c>
      <c r="D100" s="654">
        <f>C100-$K27</f>
        <v>95</v>
      </c>
      <c r="E100" s="654">
        <f>D100-$K27</f>
        <v>90</v>
      </c>
      <c r="F100" s="654">
        <f>E100-$K27</f>
        <v>85</v>
      </c>
      <c r="G100" s="654">
        <f>F100-$K27</f>
        <v>80</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4.4" thickBot="1">
      <c r="A102" s="662"/>
      <c r="B102" s="653"/>
      <c r="C102" s="654">
        <v>100</v>
      </c>
      <c r="D102" s="654">
        <f>C102-$K29</f>
        <v>95</v>
      </c>
      <c r="E102" s="654">
        <f>D102-$K29</f>
        <v>90</v>
      </c>
      <c r="F102" s="654">
        <f>E102-$K29</f>
        <v>85</v>
      </c>
      <c r="G102" s="654">
        <f>F102-$K29</f>
        <v>80</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4.4" thickBot="1">
      <c r="A104" s="662"/>
      <c r="B104" s="656"/>
      <c r="C104" s="654">
        <v>100</v>
      </c>
      <c r="D104" s="654">
        <f>C104-$K31</f>
        <v>100</v>
      </c>
      <c r="E104" s="654">
        <f>D104-$K31</f>
        <v>100</v>
      </c>
      <c r="F104" s="654">
        <f>E104-$K31</f>
        <v>100</v>
      </c>
      <c r="G104" s="654">
        <f>F104-$K31</f>
        <v>100</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4.4"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1"/>
      <c r="O106" s="2001"/>
      <c r="P106" s="2000"/>
      <c r="Q106" s="1993"/>
      <c r="R106" s="1981"/>
      <c r="S106" s="1981"/>
      <c r="T106" s="1981"/>
      <c r="U106" s="1981"/>
      <c r="V106" s="1981"/>
      <c r="W106" s="1981"/>
      <c r="X106" s="1981"/>
      <c r="Y106" s="1981"/>
      <c r="Z106" s="1981"/>
      <c r="AA106" s="1981"/>
      <c r="AB106" s="1981"/>
      <c r="AC106" s="1981"/>
    </row>
    <row r="107" spans="1:29" ht="29.4"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4.4"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4.4"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1"/>
      <c r="O110" s="2001"/>
      <c r="P110" s="2000"/>
      <c r="Q110" s="1993"/>
      <c r="R110" s="1981"/>
      <c r="S110" s="1981"/>
      <c r="T110" s="1981"/>
      <c r="U110" s="1981"/>
      <c r="V110" s="1981"/>
      <c r="W110" s="1981"/>
      <c r="X110" s="1981"/>
      <c r="Y110" s="1981"/>
      <c r="Z110" s="1981"/>
      <c r="AA110" s="1981"/>
      <c r="AB110" s="1981"/>
      <c r="AC110" s="1981"/>
    </row>
    <row r="111" spans="1:29" ht="14.4"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4.4"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4.4"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4.4"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4.4"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4.4"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7.6">
      <c r="A117" s="639" t="s">
        <v>534</v>
      </c>
      <c r="B117" s="640" t="s">
        <v>575</v>
      </c>
      <c r="C117" s="679" t="str">
        <f t="shared" ref="C117:L117" si="25">C118&amp;"(含)"&amp;"-"&amp;D118</f>
        <v>0(含)-30000</v>
      </c>
      <c r="D117" s="679" t="str">
        <f t="shared" si="25"/>
        <v>30000(含)-60000</v>
      </c>
      <c r="E117" s="679" t="str">
        <f t="shared" si="25"/>
        <v>60000(含)-90000</v>
      </c>
      <c r="F117" s="679" t="str">
        <f t="shared" si="25"/>
        <v>90000(含)-120000</v>
      </c>
      <c r="G117" s="679" t="str">
        <f t="shared" si="25"/>
        <v>120000(含)-150000</v>
      </c>
      <c r="H117" s="679" t="str">
        <f t="shared" si="25"/>
        <v>150000(含)-</v>
      </c>
      <c r="I117" s="679"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c r="A118" s="644"/>
      <c r="B118" s="656"/>
      <c r="C118" s="705">
        <v>0</v>
      </c>
      <c r="D118" s="705">
        <v>30000</v>
      </c>
      <c r="E118" s="705">
        <v>60000</v>
      </c>
      <c r="F118" s="705">
        <v>90000</v>
      </c>
      <c r="G118" s="705">
        <v>120000</v>
      </c>
      <c r="H118" s="705">
        <v>150000</v>
      </c>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4.4" thickBot="1">
      <c r="A119" s="644"/>
      <c r="B119" s="653"/>
      <c r="C119" s="675">
        <v>100</v>
      </c>
      <c r="D119" s="701">
        <v>102</v>
      </c>
      <c r="E119" s="701">
        <v>104</v>
      </c>
      <c r="F119" s="701">
        <v>106</v>
      </c>
      <c r="G119" s="701">
        <v>108</v>
      </c>
      <c r="H119" s="701">
        <v>110</v>
      </c>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693"/>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4.4"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4.4"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2212</v>
      </c>
      <c r="C124" s="1282"/>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4.4"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4.4"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1"/>
      <c r="O127" s="2001"/>
      <c r="P127" s="2000"/>
      <c r="Q127" s="1993"/>
      <c r="R127" s="1981"/>
      <c r="S127" s="1981"/>
      <c r="T127" s="1981"/>
      <c r="U127" s="1981"/>
      <c r="V127" s="1981"/>
      <c r="W127" s="1981"/>
      <c r="X127" s="1981"/>
      <c r="Y127" s="1981"/>
      <c r="Z127" s="1981"/>
      <c r="AA127" s="1981"/>
      <c r="AB127" s="1981"/>
      <c r="AC127" s="1981"/>
    </row>
    <row r="128" spans="1:29" ht="14.4" thickTop="1">
      <c r="A128" s="710"/>
      <c r="B128" s="648" t="str">
        <f>B45</f>
        <v>自持年限</v>
      </c>
      <c r="C128" s="663">
        <v>20</v>
      </c>
      <c r="D128" s="663">
        <v>0</v>
      </c>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4.4" thickBot="1">
      <c r="A129" s="644"/>
      <c r="B129" s="653"/>
      <c r="C129" s="667">
        <v>87</v>
      </c>
      <c r="D129" s="667">
        <v>100</v>
      </c>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4.4"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4.4"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4.4"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4.4"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8" priority="18" stopIfTrue="1" operator="containsText" text="超过">
      <formula>NOT(ISERROR(SEARCH("超过",F53)))</formula>
    </cfRule>
  </conditionalFormatting>
  <conditionalFormatting sqref="J55">
    <cfRule type="containsText" dxfId="197" priority="17" stopIfTrue="1" operator="containsText" text="超过">
      <formula>NOT(ISERROR(SEARCH("超过",J55)))</formula>
    </cfRule>
  </conditionalFormatting>
  <conditionalFormatting sqref="H55">
    <cfRule type="containsText" dxfId="196" priority="16" stopIfTrue="1" operator="containsText" text="超过">
      <formula>NOT(ISERROR(SEARCH("超过",H55)))</formula>
    </cfRule>
  </conditionalFormatting>
  <conditionalFormatting sqref="F55">
    <cfRule type="containsText" dxfId="195" priority="15" stopIfTrue="1" operator="containsText" text="超过">
      <formula>NOT(ISERROR(SEARCH("超过",F55)))</formula>
    </cfRule>
  </conditionalFormatting>
  <conditionalFormatting sqref="F54 H54 J54">
    <cfRule type="containsText" dxfId="194" priority="14" stopIfTrue="1" operator="containsText" text="超过">
      <formula>NOT(ISERROR(SEARCH("超过",F54)))</formula>
    </cfRule>
  </conditionalFormatting>
  <conditionalFormatting sqref="E53">
    <cfRule type="expression" dxfId="193" priority="13" stopIfTrue="1">
      <formula>$F$53="超过30%"</formula>
    </cfRule>
  </conditionalFormatting>
  <conditionalFormatting sqref="G55">
    <cfRule type="expression" dxfId="192" priority="12" stopIfTrue="1">
      <formula>$H$55="超过30%"</formula>
    </cfRule>
  </conditionalFormatting>
  <conditionalFormatting sqref="E54">
    <cfRule type="expression" dxfId="191" priority="11" stopIfTrue="1">
      <formula>$F$54="超过20%"</formula>
    </cfRule>
  </conditionalFormatting>
  <conditionalFormatting sqref="E55">
    <cfRule type="expression" dxfId="190" priority="10" stopIfTrue="1">
      <formula>$F$55="超过30%"</formula>
    </cfRule>
  </conditionalFormatting>
  <conditionalFormatting sqref="G53">
    <cfRule type="expression" dxfId="189" priority="9" stopIfTrue="1">
      <formula>$H$55+$H$53="超过30%"</formula>
    </cfRule>
  </conditionalFormatting>
  <conditionalFormatting sqref="G54">
    <cfRule type="expression" dxfId="188" priority="8" stopIfTrue="1">
      <formula>$H$54="超过20%"</formula>
    </cfRule>
  </conditionalFormatting>
  <conditionalFormatting sqref="I53">
    <cfRule type="expression" dxfId="187" priority="7" stopIfTrue="1">
      <formula>$J$53="超过30%"</formula>
    </cfRule>
  </conditionalFormatting>
  <conditionalFormatting sqref="I54">
    <cfRule type="expression" dxfId="186" priority="6" stopIfTrue="1">
      <formula>$J$54="超过20%"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9:F47 H9:H47 J9:J47">
    <cfRule type="cellIs" dxfId="18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38" customWidth="1"/>
    <col min="2" max="2" width="10.77734375" style="1538" customWidth="1"/>
    <col min="3" max="4" width="11.6640625" style="1538" customWidth="1"/>
    <col min="5" max="5" width="6.6640625" style="1538" customWidth="1"/>
    <col min="6" max="16384" width="9" style="1538"/>
  </cols>
  <sheetData>
    <row r="36" spans="1:9">
      <c r="A36" s="1537" t="s">
        <v>1697</v>
      </c>
      <c r="B36" s="1537" t="s">
        <v>1698</v>
      </c>
    </row>
    <row r="37" spans="1:9" ht="28.5" customHeight="1">
      <c r="A37" s="1537"/>
      <c r="B37" s="3491" t="str">
        <f>项目基本情况!B1</f>
        <v>北京市出让国有建设用地使用权抵押价格预评估</v>
      </c>
      <c r="C37" s="3491"/>
      <c r="D37" s="3491"/>
      <c r="E37" s="3491"/>
      <c r="F37" s="3491"/>
      <c r="G37" s="3491"/>
      <c r="H37" s="3491"/>
      <c r="I37" s="3491"/>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2031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4.4">
      <c r="A6" s="489" t="s">
        <v>504</v>
      </c>
      <c r="B6" s="490"/>
      <c r="C6" s="3691" t="s">
        <v>505</v>
      </c>
      <c r="D6" s="3692"/>
      <c r="E6" s="3713" t="s">
        <v>506</v>
      </c>
      <c r="F6" s="3714"/>
      <c r="G6" s="3691" t="s">
        <v>507</v>
      </c>
      <c r="H6" s="3692"/>
      <c r="I6" s="3691" t="s">
        <v>508</v>
      </c>
      <c r="J6" s="3692"/>
      <c r="K6" s="491" t="s">
        <v>509</v>
      </c>
      <c r="L6" s="1969"/>
      <c r="M6" s="1970"/>
      <c r="N6" s="1970"/>
      <c r="O6" s="1970"/>
      <c r="P6" s="3693" t="s">
        <v>510</v>
      </c>
      <c r="Q6" s="3694"/>
      <c r="R6" s="3677" t="s">
        <v>506</v>
      </c>
      <c r="S6" s="3678"/>
      <c r="T6" s="3677" t="s">
        <v>507</v>
      </c>
      <c r="U6" s="3678"/>
      <c r="V6" s="3699" t="s">
        <v>508</v>
      </c>
      <c r="W6" s="3699"/>
      <c r="X6" s="1457"/>
      <c r="Y6" s="3677" t="s">
        <v>510</v>
      </c>
      <c r="Z6" s="3678"/>
      <c r="AA6" s="3672" t="s">
        <v>506</v>
      </c>
      <c r="AB6" s="3673" t="s">
        <v>507</v>
      </c>
      <c r="AC6" s="3672" t="s">
        <v>508</v>
      </c>
    </row>
    <row r="7" spans="1:29">
      <c r="A7" s="492"/>
      <c r="B7" s="493"/>
      <c r="C7" s="3702" t="s">
        <v>2631</v>
      </c>
      <c r="D7" s="3703"/>
      <c r="E7" s="3715" t="s">
        <v>2632</v>
      </c>
      <c r="F7" s="3716"/>
      <c r="G7" s="3702" t="s">
        <v>2633</v>
      </c>
      <c r="H7" s="3703"/>
      <c r="I7" s="3702" t="s">
        <v>2634</v>
      </c>
      <c r="J7" s="3703"/>
      <c r="K7" s="491"/>
      <c r="L7" s="1969"/>
      <c r="M7" s="1970"/>
      <c r="N7" s="1970"/>
      <c r="O7" s="1970"/>
      <c r="P7" s="3695"/>
      <c r="Q7" s="3696"/>
      <c r="R7" s="3679"/>
      <c r="S7" s="3680"/>
      <c r="T7" s="3679"/>
      <c r="U7" s="3680"/>
      <c r="V7" s="3699"/>
      <c r="W7" s="3699"/>
      <c r="X7" s="1457"/>
      <c r="Y7" s="3679"/>
      <c r="Z7" s="3680"/>
      <c r="AA7" s="3673"/>
      <c r="AB7" s="3673"/>
      <c r="AC7" s="3673"/>
    </row>
    <row r="8" spans="1:29" ht="15" thickBot="1">
      <c r="A8" s="494"/>
      <c r="B8" s="495"/>
      <c r="C8" s="3700" t="s">
        <v>2635</v>
      </c>
      <c r="D8" s="3701"/>
      <c r="E8" s="3717" t="s">
        <v>2635</v>
      </c>
      <c r="F8" s="3718"/>
      <c r="G8" s="3700" t="s">
        <v>2635</v>
      </c>
      <c r="H8" s="3701"/>
      <c r="I8" s="3700" t="s">
        <v>2635</v>
      </c>
      <c r="J8" s="3701"/>
      <c r="K8" s="491" t="s">
        <v>511</v>
      </c>
      <c r="L8" s="1969"/>
      <c r="M8" s="1970"/>
      <c r="N8" s="1970"/>
      <c r="O8" s="1970"/>
      <c r="P8" s="3697"/>
      <c r="Q8" s="3698"/>
      <c r="R8" s="3679"/>
      <c r="S8" s="3680"/>
      <c r="T8" s="3681"/>
      <c r="U8" s="3682"/>
      <c r="V8" s="3699"/>
      <c r="W8" s="3699"/>
      <c r="X8" s="1457"/>
      <c r="Y8" s="3681"/>
      <c r="Z8" s="3682"/>
      <c r="AA8" s="3674"/>
      <c r="AB8" s="3674"/>
      <c r="AC8" s="3674"/>
    </row>
    <row r="9" spans="1:29" s="1166" customFormat="1" ht="15" thickBot="1">
      <c r="A9" s="2551"/>
      <c r="B9" s="2558" t="s">
        <v>512</v>
      </c>
      <c r="C9" s="496">
        <f>'数据-取费表'!B2</f>
        <v>44756</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75" t="s">
        <v>513</v>
      </c>
      <c r="Q9" s="3684"/>
      <c r="R9" s="1458" t="s">
        <v>8</v>
      </c>
      <c r="S9" s="1459">
        <f t="shared" ref="S9:S17" si="0">F9</f>
        <v>0</v>
      </c>
      <c r="T9" s="1458" t="s">
        <v>8</v>
      </c>
      <c r="U9" s="1459">
        <f t="shared" ref="U9:U17" si="1">H9</f>
        <v>0</v>
      </c>
      <c r="V9" s="1458" t="s">
        <v>8</v>
      </c>
      <c r="W9" s="1459">
        <f t="shared" ref="W9:W17" si="2">J9</f>
        <v>0</v>
      </c>
      <c r="X9" s="1460"/>
      <c r="Y9" s="3675" t="s">
        <v>513</v>
      </c>
      <c r="Z9" s="3676"/>
      <c r="AA9" s="1461" t="e">
        <f>D9/F9</f>
        <v>#DIV/0!</v>
      </c>
      <c r="AB9" s="1461" t="e">
        <f>D9/H9</f>
        <v>#DIV/0!</v>
      </c>
      <c r="AC9" s="1461" t="e">
        <f>D9/J9</f>
        <v>#DIV/0!</v>
      </c>
    </row>
    <row r="10" spans="1:29" s="1166" customFormat="1" ht="1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75" t="s">
        <v>516</v>
      </c>
      <c r="Q10" s="3676"/>
      <c r="R10" s="1458" t="s">
        <v>8</v>
      </c>
      <c r="S10" s="1459">
        <f t="shared" si="0"/>
        <v>0</v>
      </c>
      <c r="T10" s="1458" t="s">
        <v>8</v>
      </c>
      <c r="U10" s="1459">
        <f t="shared" si="1"/>
        <v>0</v>
      </c>
      <c r="V10" s="1458" t="s">
        <v>8</v>
      </c>
      <c r="W10" s="1459">
        <f t="shared" si="2"/>
        <v>0</v>
      </c>
      <c r="X10" s="1460"/>
      <c r="Y10" s="3675" t="s">
        <v>516</v>
      </c>
      <c r="Z10" s="3676"/>
      <c r="AA10" s="1461" t="e">
        <f t="shared" ref="AA10:AA42" si="3">D10/F10</f>
        <v>#DIV/0!</v>
      </c>
      <c r="AB10" s="1461" t="e">
        <f t="shared" ref="AB10:AB42" si="4">D10/H10</f>
        <v>#DIV/0!</v>
      </c>
      <c r="AC10" s="1461" t="e">
        <f t="shared" ref="AC10:AC42" si="5">D10/J10</f>
        <v>#DIV/0!</v>
      </c>
    </row>
    <row r="11" spans="1:29" s="1166" customFormat="1" ht="14.4">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83" t="s">
        <v>518</v>
      </c>
      <c r="Q11" s="1097" t="str">
        <f t="shared" ref="Q11:Q17" si="6">B11</f>
        <v>用途</v>
      </c>
      <c r="R11" s="1458" t="s">
        <v>8</v>
      </c>
      <c r="S11" s="1459">
        <f t="shared" si="0"/>
        <v>100</v>
      </c>
      <c r="T11" s="1458" t="s">
        <v>8</v>
      </c>
      <c r="U11" s="1459">
        <f t="shared" si="1"/>
        <v>100</v>
      </c>
      <c r="V11" s="1458" t="s">
        <v>8</v>
      </c>
      <c r="W11" s="1459">
        <f t="shared" si="2"/>
        <v>100</v>
      </c>
      <c r="X11" s="1460"/>
      <c r="Y11" s="3631" t="s">
        <v>519</v>
      </c>
      <c r="Z11" s="1096" t="str">
        <f t="shared" ref="Z11:Z17" si="7">Q11</f>
        <v>用途</v>
      </c>
      <c r="AA11" s="1461">
        <f t="shared" si="3"/>
        <v>1</v>
      </c>
      <c r="AB11" s="1461">
        <f t="shared" si="4"/>
        <v>1</v>
      </c>
      <c r="AC11" s="1461">
        <f t="shared" si="5"/>
        <v>1</v>
      </c>
    </row>
    <row r="12" spans="1:29" s="1247" customFormat="1" ht="28.8">
      <c r="A12" s="2554"/>
      <c r="B12" s="2559" t="s">
        <v>2474</v>
      </c>
      <c r="C12" s="505"/>
      <c r="D12" s="253">
        <v>100</v>
      </c>
      <c r="E12" s="505"/>
      <c r="F12" s="253">
        <f>ROUND(100/'数据-取费表'!G16,0)</f>
        <v>100</v>
      </c>
      <c r="G12" s="505"/>
      <c r="H12" s="253">
        <f>ROUND(100/'数据-取费表'!G16,0)</f>
        <v>100</v>
      </c>
      <c r="I12" s="505"/>
      <c r="J12" s="253">
        <f>ROUND(100/'数据-取费表'!G16,0)</f>
        <v>100</v>
      </c>
      <c r="K12" s="508"/>
      <c r="L12" s="1974"/>
      <c r="M12" s="2013"/>
      <c r="N12" s="2013"/>
      <c r="O12" s="1975"/>
      <c r="P12" s="3683"/>
      <c r="Q12" s="1097" t="str">
        <f t="shared" si="6"/>
        <v>土地使用年限（年）</v>
      </c>
      <c r="R12" s="1458" t="s">
        <v>8</v>
      </c>
      <c r="S12" s="1459">
        <f t="shared" si="0"/>
        <v>100</v>
      </c>
      <c r="T12" s="1458" t="s">
        <v>8</v>
      </c>
      <c r="U12" s="1459">
        <f t="shared" si="1"/>
        <v>100</v>
      </c>
      <c r="V12" s="1458" t="s">
        <v>8</v>
      </c>
      <c r="W12" s="1459">
        <f t="shared" si="2"/>
        <v>100</v>
      </c>
      <c r="X12" s="1460"/>
      <c r="Y12" s="3631"/>
      <c r="Z12" s="1096" t="str">
        <f t="shared" si="7"/>
        <v>土地使用年限（年）</v>
      </c>
      <c r="AA12" s="1461">
        <f t="shared" si="3"/>
        <v>1</v>
      </c>
      <c r="AB12" s="1461">
        <f t="shared" si="4"/>
        <v>1</v>
      </c>
      <c r="AC12" s="1461">
        <f t="shared" si="5"/>
        <v>1</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83"/>
      <c r="Q13" s="1097" t="str">
        <f t="shared" si="6"/>
        <v>容积率</v>
      </c>
      <c r="R13" s="1458" t="s">
        <v>8</v>
      </c>
      <c r="S13" s="1459" t="e">
        <f t="shared" si="0"/>
        <v>#N/A</v>
      </c>
      <c r="T13" s="1458" t="s">
        <v>8</v>
      </c>
      <c r="U13" s="1459" t="e">
        <f t="shared" si="1"/>
        <v>#N/A</v>
      </c>
      <c r="V13" s="1458" t="s">
        <v>8</v>
      </c>
      <c r="W13" s="1459" t="e">
        <f t="shared" si="2"/>
        <v>#N/A</v>
      </c>
      <c r="X13" s="1460"/>
      <c r="Y13" s="3631"/>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83"/>
      <c r="Q14" s="1097">
        <f t="shared" si="6"/>
        <v>111</v>
      </c>
      <c r="R14" s="1458" t="s">
        <v>8</v>
      </c>
      <c r="S14" s="1459">
        <f t="shared" si="0"/>
        <v>100</v>
      </c>
      <c r="T14" s="1458" t="s">
        <v>8</v>
      </c>
      <c r="U14" s="1459">
        <f t="shared" si="1"/>
        <v>100</v>
      </c>
      <c r="V14" s="1458" t="s">
        <v>8</v>
      </c>
      <c r="W14" s="1459">
        <f t="shared" si="2"/>
        <v>100</v>
      </c>
      <c r="X14" s="1460"/>
      <c r="Y14" s="3631"/>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83"/>
      <c r="Q15" s="1097">
        <f t="shared" si="6"/>
        <v>111</v>
      </c>
      <c r="R15" s="1458" t="s">
        <v>8</v>
      </c>
      <c r="S15" s="1459">
        <f t="shared" si="0"/>
        <v>100</v>
      </c>
      <c r="T15" s="1458" t="s">
        <v>8</v>
      </c>
      <c r="U15" s="1459">
        <f t="shared" si="1"/>
        <v>100</v>
      </c>
      <c r="V15" s="1458" t="s">
        <v>8</v>
      </c>
      <c r="W15" s="1459">
        <f t="shared" si="2"/>
        <v>100</v>
      </c>
      <c r="X15" s="1460"/>
      <c r="Y15" s="3631"/>
      <c r="Z15" s="1096">
        <f t="shared" si="7"/>
        <v>111</v>
      </c>
      <c r="AA15" s="1461">
        <f t="shared" si="3"/>
        <v>1</v>
      </c>
      <c r="AB15" s="1461">
        <f t="shared" si="4"/>
        <v>1</v>
      </c>
      <c r="AC15" s="1461">
        <f t="shared" si="5"/>
        <v>1</v>
      </c>
    </row>
    <row r="16" spans="1:29" ht="15.6"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83"/>
      <c r="Q16" s="1097">
        <f t="shared" si="6"/>
        <v>111</v>
      </c>
      <c r="R16" s="1458" t="s">
        <v>8</v>
      </c>
      <c r="S16" s="1459">
        <f t="shared" si="0"/>
        <v>100</v>
      </c>
      <c r="T16" s="1458" t="s">
        <v>8</v>
      </c>
      <c r="U16" s="1459">
        <f t="shared" si="1"/>
        <v>100</v>
      </c>
      <c r="V16" s="1458" t="s">
        <v>8</v>
      </c>
      <c r="W16" s="1459">
        <f t="shared" si="2"/>
        <v>100</v>
      </c>
      <c r="X16" s="1460"/>
      <c r="Y16" s="3631"/>
      <c r="Z16" s="1096">
        <f t="shared" si="7"/>
        <v>111</v>
      </c>
      <c r="AA16" s="1461">
        <f t="shared" si="3"/>
        <v>1</v>
      </c>
      <c r="AB16" s="1461">
        <f t="shared" si="4"/>
        <v>1</v>
      </c>
      <c r="AC16" s="1461">
        <f t="shared" si="5"/>
        <v>1</v>
      </c>
    </row>
    <row r="17" spans="1:29" ht="69">
      <c r="A17" s="2549" t="s">
        <v>2471</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85" t="s">
        <v>523</v>
      </c>
      <c r="Q17" s="1462" t="str">
        <f t="shared" si="6"/>
        <v>产业集聚程度</v>
      </c>
      <c r="R17" s="1463" t="s">
        <v>8</v>
      </c>
      <c r="S17" s="1464">
        <f t="shared" si="0"/>
        <v>100</v>
      </c>
      <c r="T17" s="1463" t="s">
        <v>8</v>
      </c>
      <c r="U17" s="1464">
        <f t="shared" si="1"/>
        <v>100</v>
      </c>
      <c r="V17" s="1463" t="s">
        <v>8</v>
      </c>
      <c r="W17" s="1464">
        <f t="shared" si="2"/>
        <v>100</v>
      </c>
      <c r="X17" s="1457"/>
      <c r="Y17" s="3685"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86"/>
      <c r="Q18" s="1462"/>
      <c r="R18" s="1463"/>
      <c r="S18" s="1464"/>
      <c r="T18" s="1463"/>
      <c r="U18" s="1464"/>
      <c r="V18" s="1463"/>
      <c r="W18" s="1464"/>
      <c r="X18" s="1457"/>
      <c r="Y18" s="3686"/>
      <c r="Z18" s="1465"/>
      <c r="AA18" s="1466">
        <v>1</v>
      </c>
      <c r="AB18" s="1466">
        <v>1</v>
      </c>
      <c r="AC18" s="1466">
        <v>1</v>
      </c>
    </row>
    <row r="19" spans="1:29" ht="96.6">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86"/>
      <c r="Q19" s="1462" t="str">
        <f>B19</f>
        <v>交通便捷度</v>
      </c>
      <c r="R19" s="1463" t="s">
        <v>8</v>
      </c>
      <c r="S19" s="1464">
        <f>F19</f>
        <v>100</v>
      </c>
      <c r="T19" s="1463" t="s">
        <v>8</v>
      </c>
      <c r="U19" s="1464">
        <f>H19</f>
        <v>100</v>
      </c>
      <c r="V19" s="1463" t="s">
        <v>8</v>
      </c>
      <c r="W19" s="1464">
        <f>J19</f>
        <v>100</v>
      </c>
      <c r="X19" s="1457"/>
      <c r="Y19" s="3686"/>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686"/>
      <c r="Q20" s="1462"/>
      <c r="R20" s="1463"/>
      <c r="S20" s="1464"/>
      <c r="T20" s="1463"/>
      <c r="U20" s="1464"/>
      <c r="V20" s="1463"/>
      <c r="W20" s="1464"/>
      <c r="X20" s="1457"/>
      <c r="Y20" s="3686"/>
      <c r="Z20" s="1465"/>
      <c r="AA20" s="1466">
        <v>1</v>
      </c>
      <c r="AB20" s="1466">
        <v>1</v>
      </c>
      <c r="AC20" s="1466">
        <v>1</v>
      </c>
    </row>
    <row r="21" spans="1:29" ht="28.8">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686"/>
      <c r="Q21" s="1462" t="str">
        <f t="shared" ref="Q21:Q35" si="8">B21</f>
        <v>区域土地利用方向</v>
      </c>
      <c r="R21" s="1463" t="s">
        <v>8</v>
      </c>
      <c r="S21" s="1464">
        <f>F21</f>
        <v>100</v>
      </c>
      <c r="T21" s="1463" t="s">
        <v>8</v>
      </c>
      <c r="U21" s="1464">
        <f>H21</f>
        <v>100</v>
      </c>
      <c r="V21" s="1463" t="s">
        <v>8</v>
      </c>
      <c r="W21" s="1464">
        <f>J21</f>
        <v>100</v>
      </c>
      <c r="X21" s="1457"/>
      <c r="Y21" s="3686"/>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686"/>
      <c r="Q22" s="1462"/>
      <c r="R22" s="1463"/>
      <c r="S22" s="1464"/>
      <c r="T22" s="1463"/>
      <c r="U22" s="1464"/>
      <c r="V22" s="1463"/>
      <c r="W22" s="1464"/>
      <c r="X22" s="1457"/>
      <c r="Y22" s="3686"/>
      <c r="Z22" s="1465"/>
      <c r="AA22" s="1466"/>
      <c r="AB22" s="1466"/>
      <c r="AC22" s="1466"/>
    </row>
    <row r="23" spans="1:29" ht="82.8">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86"/>
      <c r="Q23" s="1462" t="str">
        <f t="shared" si="8"/>
        <v>环境状况</v>
      </c>
      <c r="R23" s="1463" t="s">
        <v>8</v>
      </c>
      <c r="S23" s="1464">
        <f>F23</f>
        <v>100</v>
      </c>
      <c r="T23" s="1463" t="s">
        <v>8</v>
      </c>
      <c r="U23" s="1464">
        <f>H23</f>
        <v>100</v>
      </c>
      <c r="V23" s="1463" t="s">
        <v>8</v>
      </c>
      <c r="W23" s="1464">
        <f>J23</f>
        <v>100</v>
      </c>
      <c r="X23" s="1457"/>
      <c r="Y23" s="3686"/>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86"/>
      <c r="Q24" s="1462"/>
      <c r="R24" s="1463"/>
      <c r="S24" s="1464"/>
      <c r="T24" s="1463"/>
      <c r="U24" s="1464"/>
      <c r="V24" s="1463"/>
      <c r="W24" s="1464"/>
      <c r="X24" s="1457"/>
      <c r="Y24" s="3686"/>
      <c r="Z24" s="1465"/>
      <c r="AA24" s="1466">
        <v>1</v>
      </c>
      <c r="AB24" s="1466">
        <v>1</v>
      </c>
      <c r="AC24" s="1466">
        <v>1</v>
      </c>
    </row>
    <row r="25" spans="1:29" s="1166" customFormat="1" ht="41.4">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86"/>
      <c r="Q25" s="1097" t="str">
        <f t="shared" si="8"/>
        <v>公共配套设施</v>
      </c>
      <c r="R25" s="1458" t="s">
        <v>8</v>
      </c>
      <c r="S25" s="1459">
        <f>F25</f>
        <v>100</v>
      </c>
      <c r="T25" s="1458" t="s">
        <v>8</v>
      </c>
      <c r="U25" s="1459">
        <f>H25</f>
        <v>100</v>
      </c>
      <c r="V25" s="1458" t="s">
        <v>8</v>
      </c>
      <c r="W25" s="1459">
        <f>J25</f>
        <v>100</v>
      </c>
      <c r="X25" s="1460"/>
      <c r="Y25" s="3686"/>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686"/>
      <c r="Q26" s="1097"/>
      <c r="R26" s="1458"/>
      <c r="S26" s="1459"/>
      <c r="T26" s="1458"/>
      <c r="U26" s="1459"/>
      <c r="V26" s="1458"/>
      <c r="W26" s="1459"/>
      <c r="X26" s="1460"/>
      <c r="Y26" s="3686"/>
      <c r="Z26" s="1096"/>
      <c r="AA26" s="1461">
        <v>1</v>
      </c>
      <c r="AB26" s="1461">
        <v>1</v>
      </c>
      <c r="AC26" s="1461">
        <v>1</v>
      </c>
    </row>
    <row r="27" spans="1:29" s="1166" customFormat="1" ht="41.4">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86"/>
      <c r="Q27" s="2350" t="str">
        <f t="shared" ref="Q27" si="9">B27</f>
        <v>基础设施水平</v>
      </c>
      <c r="R27" s="1458" t="s">
        <v>8</v>
      </c>
      <c r="S27" s="1459">
        <f>F27</f>
        <v>100</v>
      </c>
      <c r="T27" s="1458" t="s">
        <v>8</v>
      </c>
      <c r="U27" s="1459">
        <f>H27</f>
        <v>100</v>
      </c>
      <c r="V27" s="1458" t="s">
        <v>8</v>
      </c>
      <c r="W27" s="1459">
        <f>J27</f>
        <v>100</v>
      </c>
      <c r="X27" s="1460"/>
      <c r="Y27" s="3686"/>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686"/>
      <c r="Q28" s="2350"/>
      <c r="R28" s="1458"/>
      <c r="S28" s="1459"/>
      <c r="T28" s="1458"/>
      <c r="U28" s="1459"/>
      <c r="V28" s="1458"/>
      <c r="W28" s="1459"/>
      <c r="X28" s="1460"/>
      <c r="Y28" s="3686"/>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86"/>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86"/>
      <c r="Z29" s="1465" t="str">
        <f t="shared" ref="Z29:Z42" si="13">Q29</f>
        <v>临街状况</v>
      </c>
      <c r="AA29" s="1466">
        <f t="shared" si="3"/>
        <v>1</v>
      </c>
      <c r="AB29" s="1466">
        <f t="shared" si="4"/>
        <v>1</v>
      </c>
      <c r="AC29" s="1466">
        <f t="shared" si="5"/>
        <v>1</v>
      </c>
    </row>
    <row r="30" spans="1:29" ht="28.8">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86"/>
      <c r="Q30" s="1462" t="str">
        <f t="shared" si="8"/>
        <v>毗邻道路的类型与等级</v>
      </c>
      <c r="R30" s="1463" t="s">
        <v>8</v>
      </c>
      <c r="S30" s="1464">
        <f t="shared" si="10"/>
        <v>100</v>
      </c>
      <c r="T30" s="1463" t="s">
        <v>8</v>
      </c>
      <c r="U30" s="1464">
        <f t="shared" si="11"/>
        <v>100</v>
      </c>
      <c r="V30" s="1463" t="s">
        <v>8</v>
      </c>
      <c r="W30" s="1464">
        <f t="shared" si="12"/>
        <v>100</v>
      </c>
      <c r="X30" s="1457"/>
      <c r="Y30" s="3686"/>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86"/>
      <c r="Q31" s="1462"/>
      <c r="R31" s="1463"/>
      <c r="S31" s="1464"/>
      <c r="T31" s="1463"/>
      <c r="U31" s="1464"/>
      <c r="V31" s="1463"/>
      <c r="W31" s="1464"/>
      <c r="X31" s="1457"/>
      <c r="Y31" s="3686"/>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86"/>
      <c r="Q32" s="1462" t="str">
        <f t="shared" si="8"/>
        <v>土地级别</v>
      </c>
      <c r="R32" s="1463" t="s">
        <v>8</v>
      </c>
      <c r="S32" s="1464">
        <f t="shared" si="10"/>
        <v>100</v>
      </c>
      <c r="T32" s="1463" t="s">
        <v>8</v>
      </c>
      <c r="U32" s="1464">
        <f t="shared" si="11"/>
        <v>100</v>
      </c>
      <c r="V32" s="1463" t="s">
        <v>8</v>
      </c>
      <c r="W32" s="1464">
        <f t="shared" si="12"/>
        <v>100</v>
      </c>
      <c r="X32" s="1457"/>
      <c r="Y32" s="3686"/>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86"/>
      <c r="Q33" s="1462">
        <f t="shared" si="8"/>
        <v>111</v>
      </c>
      <c r="R33" s="1463" t="s">
        <v>8</v>
      </c>
      <c r="S33" s="1464">
        <f t="shared" si="10"/>
        <v>100</v>
      </c>
      <c r="T33" s="1463" t="s">
        <v>8</v>
      </c>
      <c r="U33" s="1464">
        <f t="shared" si="11"/>
        <v>100</v>
      </c>
      <c r="V33" s="1463" t="s">
        <v>8</v>
      </c>
      <c r="W33" s="1464">
        <f t="shared" si="12"/>
        <v>100</v>
      </c>
      <c r="X33" s="1457"/>
      <c r="Y33" s="3686"/>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87" t="s">
        <v>533</v>
      </c>
      <c r="Q34" s="1462">
        <f t="shared" si="8"/>
        <v>111</v>
      </c>
      <c r="R34" s="1463" t="s">
        <v>8</v>
      </c>
      <c r="S34" s="1464">
        <f t="shared" si="10"/>
        <v>100</v>
      </c>
      <c r="T34" s="1463" t="s">
        <v>8</v>
      </c>
      <c r="U34" s="1464">
        <f t="shared" si="11"/>
        <v>100</v>
      </c>
      <c r="V34" s="1463" t="s">
        <v>8</v>
      </c>
      <c r="W34" s="1464">
        <f t="shared" si="12"/>
        <v>100</v>
      </c>
      <c r="X34" s="1457"/>
      <c r="Y34" s="3688" t="s">
        <v>533</v>
      </c>
      <c r="Z34" s="1465">
        <f t="shared" si="13"/>
        <v>111</v>
      </c>
      <c r="AA34" s="1466">
        <f t="shared" si="3"/>
        <v>1</v>
      </c>
      <c r="AB34" s="1466">
        <f t="shared" si="4"/>
        <v>1</v>
      </c>
      <c r="AC34" s="1466">
        <f t="shared" si="5"/>
        <v>1</v>
      </c>
    </row>
    <row r="35" spans="1:29" s="1248" customFormat="1" ht="15.6"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88"/>
      <c r="Q35" s="1462">
        <f t="shared" si="8"/>
        <v>111</v>
      </c>
      <c r="R35" s="1467" t="s">
        <v>8</v>
      </c>
      <c r="S35" s="1468">
        <f t="shared" si="10"/>
        <v>100</v>
      </c>
      <c r="T35" s="1467" t="s">
        <v>8</v>
      </c>
      <c r="U35" s="1468">
        <f t="shared" si="11"/>
        <v>100</v>
      </c>
      <c r="V35" s="1467" t="s">
        <v>8</v>
      </c>
      <c r="W35" s="1468">
        <f t="shared" si="12"/>
        <v>100</v>
      </c>
      <c r="X35" s="1469"/>
      <c r="Y35" s="3688"/>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88"/>
      <c r="Q36" s="1462" t="str">
        <f>B36</f>
        <v>宗地面积</v>
      </c>
      <c r="R36" s="1463" t="s">
        <v>8</v>
      </c>
      <c r="S36" s="1464" t="e">
        <f t="shared" si="10"/>
        <v>#N/A</v>
      </c>
      <c r="T36" s="1463" t="s">
        <v>8</v>
      </c>
      <c r="U36" s="1464" t="e">
        <f t="shared" si="11"/>
        <v>#N/A</v>
      </c>
      <c r="V36" s="1463" t="s">
        <v>8</v>
      </c>
      <c r="W36" s="1464" t="e">
        <f t="shared" si="12"/>
        <v>#N/A</v>
      </c>
      <c r="X36" s="1457"/>
      <c r="Y36" s="3688"/>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88"/>
      <c r="Q37" s="1462" t="str">
        <f t="shared" ref="Q37:Q42" si="14">B37</f>
        <v>宗地形状</v>
      </c>
      <c r="R37" s="1463" t="s">
        <v>8</v>
      </c>
      <c r="S37" s="1464">
        <f t="shared" si="10"/>
        <v>100</v>
      </c>
      <c r="T37" s="1463" t="s">
        <v>8</v>
      </c>
      <c r="U37" s="1464">
        <f t="shared" si="11"/>
        <v>100</v>
      </c>
      <c r="V37" s="1463" t="s">
        <v>8</v>
      </c>
      <c r="W37" s="1464">
        <f t="shared" si="12"/>
        <v>100</v>
      </c>
      <c r="X37" s="1457"/>
      <c r="Y37" s="3688"/>
      <c r="Z37" s="1465" t="str">
        <f t="shared" si="13"/>
        <v>宗地形状</v>
      </c>
      <c r="AA37" s="1466">
        <f t="shared" si="3"/>
        <v>1</v>
      </c>
      <c r="AB37" s="1466">
        <f t="shared" si="4"/>
        <v>1</v>
      </c>
      <c r="AC37" s="1466">
        <f t="shared" si="5"/>
        <v>1</v>
      </c>
    </row>
    <row r="38" spans="1:29" s="1166"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88"/>
      <c r="Q38" s="1462" t="str">
        <f t="shared" si="14"/>
        <v>宗地开发程度</v>
      </c>
      <c r="R38" s="1458" t="s">
        <v>8</v>
      </c>
      <c r="S38" s="1459">
        <f t="shared" si="10"/>
        <v>100</v>
      </c>
      <c r="T38" s="1458" t="s">
        <v>8</v>
      </c>
      <c r="U38" s="1459">
        <f t="shared" si="11"/>
        <v>100</v>
      </c>
      <c r="V38" s="1458" t="s">
        <v>8</v>
      </c>
      <c r="W38" s="1459">
        <f t="shared" si="12"/>
        <v>100</v>
      </c>
      <c r="X38" s="1460"/>
      <c r="Y38" s="3688"/>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88" t="s">
        <v>583</v>
      </c>
      <c r="Q39" s="1462" t="str">
        <f t="shared" si="14"/>
        <v>工程地质条件</v>
      </c>
      <c r="R39" s="1463" t="s">
        <v>8</v>
      </c>
      <c r="S39" s="1464">
        <f t="shared" si="10"/>
        <v>100</v>
      </c>
      <c r="T39" s="1463" t="s">
        <v>8</v>
      </c>
      <c r="U39" s="1464">
        <f t="shared" si="11"/>
        <v>100</v>
      </c>
      <c r="V39" s="1463" t="s">
        <v>8</v>
      </c>
      <c r="W39" s="1464">
        <f t="shared" si="12"/>
        <v>100</v>
      </c>
      <c r="X39" s="1457"/>
      <c r="Y39" s="3688"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88"/>
      <c r="Q40" s="1462">
        <f t="shared" si="14"/>
        <v>111</v>
      </c>
      <c r="R40" s="1463" t="s">
        <v>8</v>
      </c>
      <c r="S40" s="1464">
        <f t="shared" si="10"/>
        <v>100</v>
      </c>
      <c r="T40" s="1463" t="s">
        <v>8</v>
      </c>
      <c r="U40" s="1464">
        <f t="shared" si="11"/>
        <v>100</v>
      </c>
      <c r="V40" s="1463" t="s">
        <v>8</v>
      </c>
      <c r="W40" s="1464">
        <f t="shared" si="12"/>
        <v>100</v>
      </c>
      <c r="X40" s="1457"/>
      <c r="Y40" s="3688"/>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88"/>
      <c r="Q41" s="1462">
        <f t="shared" si="14"/>
        <v>111</v>
      </c>
      <c r="R41" s="1463" t="s">
        <v>8</v>
      </c>
      <c r="S41" s="1464">
        <f t="shared" si="10"/>
        <v>100</v>
      </c>
      <c r="T41" s="1463" t="s">
        <v>8</v>
      </c>
      <c r="U41" s="1464">
        <f t="shared" si="11"/>
        <v>100</v>
      </c>
      <c r="V41" s="1463" t="s">
        <v>8</v>
      </c>
      <c r="W41" s="1464">
        <f t="shared" si="12"/>
        <v>100</v>
      </c>
      <c r="X41" s="1457"/>
      <c r="Y41" s="3688"/>
      <c r="Z41" s="1465">
        <f t="shared" si="13"/>
        <v>111</v>
      </c>
      <c r="AA41" s="1466">
        <f t="shared" si="3"/>
        <v>1</v>
      </c>
      <c r="AB41" s="1466">
        <f t="shared" si="4"/>
        <v>1</v>
      </c>
      <c r="AC41" s="1466">
        <f t="shared" si="5"/>
        <v>1</v>
      </c>
    </row>
    <row r="42" spans="1:29" s="1248" customFormat="1" ht="15.6"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88"/>
      <c r="Q42" s="1462">
        <f t="shared" si="14"/>
        <v>111</v>
      </c>
      <c r="R42" s="1467" t="s">
        <v>8</v>
      </c>
      <c r="S42" s="1468">
        <f t="shared" si="10"/>
        <v>100</v>
      </c>
      <c r="T42" s="1467" t="s">
        <v>8</v>
      </c>
      <c r="U42" s="1468">
        <f t="shared" si="11"/>
        <v>100</v>
      </c>
      <c r="V42" s="1467" t="s">
        <v>8</v>
      </c>
      <c r="W42" s="1468">
        <f t="shared" si="12"/>
        <v>100</v>
      </c>
      <c r="X42" s="1469"/>
      <c r="Y42" s="3688"/>
      <c r="Z42" s="1470">
        <f t="shared" si="13"/>
        <v>111</v>
      </c>
      <c r="AA42" s="1466">
        <f t="shared" si="3"/>
        <v>1</v>
      </c>
      <c r="AB42" s="1466">
        <f t="shared" si="4"/>
        <v>1</v>
      </c>
      <c r="AC42" s="1466">
        <f t="shared" si="5"/>
        <v>1</v>
      </c>
    </row>
    <row r="43" spans="1:29" ht="14.4">
      <c r="A43" s="584" t="s">
        <v>539</v>
      </c>
      <c r="B43" s="585" t="s">
        <v>2636</v>
      </c>
      <c r="C43" s="586" t="s">
        <v>1</v>
      </c>
      <c r="D43" s="587"/>
      <c r="E43" s="588"/>
      <c r="F43" s="589"/>
      <c r="G43" s="590"/>
      <c r="H43" s="591"/>
      <c r="I43" s="588"/>
      <c r="J43" s="591"/>
      <c r="K43" s="1249"/>
      <c r="L43" s="1980"/>
      <c r="M43" s="1970"/>
      <c r="N43" s="1970"/>
      <c r="O43" s="1981"/>
      <c r="P43" s="3683" t="str">
        <f>A43</f>
        <v>成交单价</v>
      </c>
      <c r="Q43" s="3683"/>
      <c r="R43" s="3699">
        <f>E43</f>
        <v>0</v>
      </c>
      <c r="S43" s="3699"/>
      <c r="T43" s="3699">
        <f>G43</f>
        <v>0</v>
      </c>
      <c r="U43" s="3699"/>
      <c r="V43" s="3699">
        <f>I43</f>
        <v>0</v>
      </c>
      <c r="W43" s="3699"/>
      <c r="X43" s="1452"/>
      <c r="Y43" s="1471"/>
      <c r="Z43" s="1452"/>
      <c r="AA43" s="1452"/>
      <c r="AB43" s="1452"/>
      <c r="AC43" s="1452"/>
    </row>
    <row r="44" spans="1:29" ht="15" thickBot="1">
      <c r="A44" s="592" t="s">
        <v>2410</v>
      </c>
      <c r="B44" s="593"/>
      <c r="C44" s="594" t="e">
        <f>R45</f>
        <v>#DIV/0!</v>
      </c>
      <c r="D44" s="2922" t="s">
        <v>2702</v>
      </c>
      <c r="E44" s="594" t="e">
        <f>R44</f>
        <v>#DIV/0!</v>
      </c>
      <c r="F44" s="2923"/>
      <c r="G44" s="595" t="e">
        <f>T44</f>
        <v>#DIV/0!</v>
      </c>
      <c r="H44" s="2923"/>
      <c r="I44" s="594" t="e">
        <f>V44</f>
        <v>#DIV/0!</v>
      </c>
      <c r="J44" s="2923"/>
      <c r="K44" s="2924">
        <f>F44+H44+J44</f>
        <v>0</v>
      </c>
      <c r="L44" s="1980"/>
      <c r="M44" s="1970"/>
      <c r="N44" s="1970"/>
      <c r="O44" s="1981"/>
      <c r="P44" s="3683" t="str">
        <f>A44</f>
        <v>比较价格（元/平方米）</v>
      </c>
      <c r="Q44" s="3683"/>
      <c r="R44" s="3707" t="e">
        <f>ROUND(PRODUCT(R43,AA9:AA42),0)</f>
        <v>#DIV/0!</v>
      </c>
      <c r="S44" s="3707"/>
      <c r="T44" s="3707" t="e">
        <f>ROUND(PRODUCT(T43,AB9:AB42),0)</f>
        <v>#DIV/0!</v>
      </c>
      <c r="U44" s="3707"/>
      <c r="V44" s="3707" t="e">
        <f>ROUND(PRODUCT(V43,AC9:AC42),0)</f>
        <v>#DIV/0!</v>
      </c>
      <c r="W44" s="3707"/>
      <c r="X44" s="1452"/>
      <c r="Y44" s="1452"/>
      <c r="Z44" s="1452"/>
      <c r="AA44" s="1452"/>
      <c r="AB44" s="1452"/>
      <c r="AC44" s="1452"/>
    </row>
    <row r="45" spans="1:29" ht="15" thickBot="1">
      <c r="A45" s="596" t="s">
        <v>2637</v>
      </c>
      <c r="B45" s="597"/>
      <c r="C45" s="598" t="e">
        <f>R45</f>
        <v>#DIV/0!</v>
      </c>
      <c r="D45" s="598"/>
      <c r="E45" s="598"/>
      <c r="F45" s="598"/>
      <c r="G45" s="598"/>
      <c r="H45" s="598"/>
      <c r="I45" s="598"/>
      <c r="J45" s="598"/>
      <c r="K45" s="1250"/>
      <c r="L45" s="1980"/>
      <c r="M45" s="1970"/>
      <c r="N45" s="1970"/>
      <c r="O45" s="1981"/>
      <c r="P45" s="3689" t="str">
        <f>A45</f>
        <v>估价对象XX用房的比较价格（楼面单价，元/平方米）</v>
      </c>
      <c r="Q45" s="3690"/>
      <c r="R45" s="3712" t="e">
        <f>ROUND(IF(D44="简单平均",AVERAGE(R44:W44),R44*F44+T44*H44+V44*J44),0)</f>
        <v>#DIV/0!</v>
      </c>
      <c r="S45" s="3712"/>
      <c r="T45" s="3712"/>
      <c r="U45" s="3712"/>
      <c r="V45" s="3712"/>
      <c r="W45" s="3712"/>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4.4"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8.8">
      <c r="A52" s="604" t="s">
        <v>543</v>
      </c>
      <c r="B52" s="605" t="s">
        <v>544</v>
      </c>
      <c r="C52" s="1453" t="s">
        <v>1524</v>
      </c>
      <c r="D52" s="2061" t="s">
        <v>2083</v>
      </c>
      <c r="E52" s="606" t="s">
        <v>545</v>
      </c>
      <c r="F52" s="1820" t="s">
        <v>546</v>
      </c>
      <c r="G52" s="3708" t="s">
        <v>2075</v>
      </c>
      <c r="H52" s="3709"/>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3.2">
      <c r="A53" s="608" t="s">
        <v>547</v>
      </c>
      <c r="B53" s="609" t="e">
        <f>C45</f>
        <v>#DIV/0!</v>
      </c>
      <c r="C53" s="610">
        <v>1</v>
      </c>
      <c r="D53" s="2062">
        <v>1</v>
      </c>
      <c r="E53" s="610">
        <f>'数据-汇总表'!E8+'数据-汇总表'!E9</f>
        <v>60651.07</v>
      </c>
      <c r="F53" s="1819" t="e">
        <f t="shared" ref="F53:F61" si="15">ROUND(B53*E53/10000,0)</f>
        <v>#DIV/0!</v>
      </c>
      <c r="G53" s="3710"/>
      <c r="H53" s="3711"/>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3.2">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3.2">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3.2">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3.2">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3.2">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3.2">
      <c r="A59" s="612" t="s">
        <v>552</v>
      </c>
      <c r="B59" s="613" t="e">
        <f t="shared" si="17"/>
        <v>#DIV/0!</v>
      </c>
      <c r="C59" s="372">
        <f t="shared" si="16"/>
        <v>0.15</v>
      </c>
      <c r="D59" s="2063">
        <v>0.25</v>
      </c>
      <c r="E59" s="616">
        <f>'数据-汇总表'!E13</f>
        <v>22085</v>
      </c>
      <c r="F59" s="1819" t="e">
        <f t="shared" si="15"/>
        <v>#DIV/0!</v>
      </c>
      <c r="G59" s="1815" t="s">
        <v>902</v>
      </c>
      <c r="H59" s="1823" t="str">
        <f>IF(G59="商业",项目基本情况!B43,IF(G59="办公",项目基本情况!C43,IF(G59="住宅",项目基本情况!D43,项目基本情况!E43)))</f>
        <v>六级</v>
      </c>
      <c r="I59" s="1822">
        <f>SUMIF(修正!$A$57:$A$68,H59,修正!G57:G68)</f>
        <v>0.15</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3.2">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thickBot="1">
      <c r="A62" s="617" t="s">
        <v>555</v>
      </c>
      <c r="B62" s="618" t="s">
        <v>17</v>
      </c>
      <c r="C62" s="618" t="s">
        <v>18</v>
      </c>
      <c r="D62" s="618" t="s">
        <v>2084</v>
      </c>
      <c r="E62" s="618">
        <f>IF(B43="楼面地价",SUM(E53:E61),'数据-汇总表'!D3)</f>
        <v>32294.89</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2.2"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4.4">
      <c r="A66" s="2343" t="s">
        <v>2251</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4.4">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4.4"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ht="14.4">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4.4"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9.4"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4.4"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4.4"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4.4"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4.4"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4.4"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4.4"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4.4"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4.4"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ht="14.4">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4.4"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4.4"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9.4"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4.4"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9.4"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4.4"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4.4"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4.4"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4.4"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9.4"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4.4"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4.4"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4.4"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4.4"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4.4"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4.4"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4.4"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4.4"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ht="14.4">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4.4"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4.4"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2212</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4.4"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4.4"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4.4"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4.4"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4.4"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4.4"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4.4"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B2" sqref="B2"/>
    </sheetView>
  </sheetViews>
  <sheetFormatPr defaultColWidth="12" defaultRowHeight="12"/>
  <cols>
    <col min="1" max="1" width="9.77734375" style="1308" customWidth="1"/>
    <col min="2" max="2" width="20.88671875" style="1423" customWidth="1"/>
    <col min="3" max="4" width="12" style="1309"/>
    <col min="5" max="5" width="14.6640625" style="1309" customWidth="1"/>
    <col min="6" max="8" width="12" style="1309"/>
    <col min="9" max="9" width="12.21875" style="1309" bestFit="1" customWidth="1"/>
    <col min="10" max="10" width="12" style="1309"/>
    <col min="11" max="11" width="9.6640625" style="1306" customWidth="1"/>
    <col min="12" max="12" width="12" style="1309"/>
    <col min="13" max="14" width="10.6640625" style="1309" customWidth="1"/>
    <col min="15" max="17" width="12" style="1309"/>
    <col min="18" max="18" width="12" style="1308"/>
    <col min="19" max="22" width="15.44140625" style="1308" customWidth="1"/>
    <col min="23" max="28" width="12" style="1309"/>
    <col min="29" max="29" width="9.33203125" style="1308" customWidth="1"/>
    <col min="30" max="35" width="9.33203125" style="1307" customWidth="1"/>
    <col min="36" max="39" width="9.33203125" style="1308" customWidth="1"/>
    <col min="40" max="41" width="9.33203125" style="1309" customWidth="1"/>
    <col min="42" max="16384" width="12" style="1309"/>
  </cols>
  <sheetData>
    <row r="1" spans="1:39" ht="20.399999999999999">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6">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6">
      <c r="A3" s="1315" t="s">
        <v>1487</v>
      </c>
      <c r="B3" s="1007" t="e">
        <f>ROUND(B2*10000/D1,0)</f>
        <v>#DIV/0!</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31.2">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6"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6"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20"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4</v>
      </c>
      <c r="AA7" s="2027"/>
      <c r="AB7" s="2027"/>
      <c r="AC7" s="2028"/>
      <c r="AD7" s="2568"/>
      <c r="AE7" s="2568"/>
      <c r="AF7" s="2568"/>
      <c r="AG7" s="2568"/>
      <c r="AH7" s="2568"/>
      <c r="AI7" s="2568"/>
      <c r="AJ7" s="2569"/>
    </row>
    <row r="8" spans="1:39" ht="15">
      <c r="A8" s="3721"/>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31" t="s">
        <v>2499</v>
      </c>
      <c r="X8" s="3732"/>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21"/>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30"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21"/>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30"/>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21"/>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30"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8" thickBot="1">
      <c r="A12" s="3720"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30"/>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22"/>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30"/>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22"/>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23"/>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20" t="s">
        <v>1638</v>
      </c>
      <c r="B16" s="1331" t="s">
        <v>929</v>
      </c>
      <c r="C16" s="1021" t="e">
        <f>ROUND(IF(F17="与级别开发程度一致",0,(G17-E17)/C17),0)</f>
        <v>#DIV/0!</v>
      </c>
      <c r="D16" s="3738" t="s">
        <v>933</v>
      </c>
      <c r="E16" s="3739"/>
      <c r="F16" s="3738" t="s">
        <v>930</v>
      </c>
      <c r="G16" s="3739"/>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8" thickBot="1">
      <c r="A17" s="3724"/>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9.4"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44756</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9.4"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4">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4">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4">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24">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6"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36">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3.2">
      <c r="A33" s="3727"/>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27"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3.2">
      <c r="A34" s="3728"/>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28"/>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3.2">
      <c r="A35" s="3728"/>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28"/>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8" thickBot="1">
      <c r="A36" s="3729"/>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29"/>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3.2">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3.2">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8"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24">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4.4">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48">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36">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36.6"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4.4">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48">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48">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36">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36.6"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4.4">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60">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3.8">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36">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36">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36.6"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4.4">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3.8">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36">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48.6"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25" t="s">
        <v>1434</v>
      </c>
      <c r="B90" s="3725"/>
      <c r="C90" s="3725"/>
      <c r="D90" s="3725"/>
      <c r="E90" s="3725"/>
      <c r="F90" s="3725"/>
      <c r="G90" s="3725"/>
      <c r="H90" s="3725"/>
      <c r="I90" s="3725"/>
      <c r="J90" s="3725"/>
      <c r="K90" s="2259"/>
      <c r="L90" s="2259"/>
      <c r="M90" s="2259"/>
      <c r="N90" s="2259"/>
    </row>
    <row r="91" spans="1:40">
      <c r="A91" s="3726" t="s">
        <v>1422</v>
      </c>
      <c r="B91" s="3726" t="s">
        <v>1435</v>
      </c>
      <c r="C91" s="1086" t="s">
        <v>1436</v>
      </c>
      <c r="D91" s="1087"/>
      <c r="E91" s="1087"/>
      <c r="F91" s="1087"/>
      <c r="G91" s="1087"/>
      <c r="H91" s="1087"/>
      <c r="I91" s="1087"/>
      <c r="J91" s="1088"/>
      <c r="K91" s="1080"/>
      <c r="L91" s="1080"/>
      <c r="M91" s="1080"/>
      <c r="N91" s="1080"/>
    </row>
    <row r="92" spans="1:40">
      <c r="A92" s="3726"/>
      <c r="B92" s="3726"/>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33"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34"/>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34"/>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34"/>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34"/>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34"/>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34"/>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35"/>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33" t="s">
        <v>1438</v>
      </c>
      <c r="B101" s="1093" t="s">
        <v>885</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34"/>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34"/>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34"/>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34"/>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34"/>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34"/>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34"/>
      <c r="B108" s="3736"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35"/>
      <c r="B109" s="3737"/>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19" t="s">
        <v>1440</v>
      </c>
      <c r="B110" s="3719"/>
      <c r="C110" s="3719"/>
      <c r="D110" s="3719"/>
      <c r="E110" s="3719"/>
      <c r="F110" s="3719"/>
      <c r="G110" s="3719"/>
      <c r="H110" s="3719"/>
      <c r="I110" s="3719"/>
      <c r="J110" s="3719"/>
      <c r="K110" s="2257"/>
      <c r="L110" s="2257"/>
      <c r="M110" s="2257"/>
      <c r="N110" s="2257"/>
    </row>
    <row r="112" spans="1:14" ht="12.6" thickBot="1"/>
    <row r="113" spans="1:13" ht="25.8"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3.2">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3.2">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3.2">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3.2">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8"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2" priority="5" stopIfTrue="1" operator="notEqual">
      <formula>"——"</formula>
    </cfRule>
  </conditionalFormatting>
  <conditionalFormatting sqref="F58">
    <cfRule type="cellIs" dxfId="161" priority="4" stopIfTrue="1" operator="notEqual">
      <formula>"——"</formula>
    </cfRule>
  </conditionalFormatting>
  <conditionalFormatting sqref="F69">
    <cfRule type="cellIs" dxfId="160" priority="3" stopIfTrue="1" operator="notEqual">
      <formula>"——"</formula>
    </cfRule>
  </conditionalFormatting>
  <conditionalFormatting sqref="F80">
    <cfRule type="cellIs" dxfId="159" priority="2" stopIfTrue="1" operator="notEqual">
      <formula>"——"</formula>
    </cfRule>
  </conditionalFormatting>
  <conditionalFormatting sqref="H58:H66 H47:H55 H69:H77 H80:H87">
    <cfRule type="cellIs" dxfId="15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031"/>
    <col min="2" max="9" width="13.88671875" style="1070"/>
    <col min="10" max="16384" width="13.88671875" style="1031"/>
  </cols>
  <sheetData>
    <row r="1" spans="1:13" ht="1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5" thickBot="1">
      <c r="A19" s="3421" t="s">
        <v>2900</v>
      </c>
      <c r="B19" s="3423" t="s">
        <v>2901</v>
      </c>
      <c r="C19" s="3424" t="s">
        <v>2902</v>
      </c>
      <c r="D19" s="3425"/>
      <c r="E19" s="3419" t="s">
        <v>2903</v>
      </c>
      <c r="F19" s="1078"/>
      <c r="G19" s="1078"/>
    </row>
    <row r="20" spans="1:13" s="1485" customFormat="1">
      <c r="A20" s="3743" t="s">
        <v>2894</v>
      </c>
      <c r="B20" s="3746" t="s">
        <v>2904</v>
      </c>
      <c r="C20" s="3426" t="s">
        <v>2905</v>
      </c>
      <c r="D20" s="3427"/>
      <c r="E20" s="3428">
        <v>1</v>
      </c>
      <c r="F20" s="3429" t="s">
        <v>2906</v>
      </c>
      <c r="G20" s="1080"/>
      <c r="H20" s="1070"/>
      <c r="I20" s="1070"/>
    </row>
    <row r="21" spans="1:13" s="1485" customFormat="1">
      <c r="A21" s="3744"/>
      <c r="B21" s="3747"/>
      <c r="C21" s="3430" t="s">
        <v>2907</v>
      </c>
      <c r="D21" s="3431"/>
      <c r="E21" s="3432">
        <v>1</v>
      </c>
      <c r="F21" s="3429" t="s">
        <v>2908</v>
      </c>
      <c r="G21" s="1080"/>
      <c r="H21" s="1070"/>
      <c r="I21" s="1070"/>
    </row>
    <row r="22" spans="1:13" s="1485" customFormat="1">
      <c r="A22" s="3744"/>
      <c r="B22" s="3747"/>
      <c r="C22" s="3430" t="s">
        <v>2909</v>
      </c>
      <c r="D22" s="3431"/>
      <c r="E22" s="3432">
        <v>0.9</v>
      </c>
      <c r="F22" s="3429" t="s">
        <v>2910</v>
      </c>
      <c r="G22" s="1080"/>
      <c r="H22" s="1070"/>
      <c r="I22" s="1070"/>
    </row>
    <row r="23" spans="1:13" s="1485" customFormat="1">
      <c r="A23" s="3744"/>
      <c r="B23" s="3747"/>
      <c r="C23" s="3430" t="s">
        <v>2911</v>
      </c>
      <c r="D23" s="3431"/>
      <c r="E23" s="3432">
        <v>0.9</v>
      </c>
      <c r="F23" s="3429" t="s">
        <v>2912</v>
      </c>
      <c r="G23" s="1080"/>
      <c r="H23" s="1070"/>
      <c r="I23" s="1070"/>
    </row>
    <row r="24" spans="1:13" s="1485" customFormat="1">
      <c r="A24" s="3744"/>
      <c r="B24" s="3747"/>
      <c r="C24" s="3430" t="s">
        <v>2913</v>
      </c>
      <c r="D24" s="3431"/>
      <c r="E24" s="3432">
        <v>0.8</v>
      </c>
      <c r="F24" s="3429" t="s">
        <v>2914</v>
      </c>
      <c r="G24" s="1080"/>
      <c r="H24" s="1070"/>
      <c r="I24" s="1070"/>
    </row>
    <row r="25" spans="1:13" s="1485" customFormat="1" ht="15" thickBot="1">
      <c r="A25" s="3745"/>
      <c r="B25" s="3748"/>
      <c r="C25" s="3433" t="s">
        <v>2915</v>
      </c>
      <c r="D25" s="3434"/>
      <c r="E25" s="3435">
        <v>0.8</v>
      </c>
      <c r="F25" s="3429" t="s">
        <v>2916</v>
      </c>
      <c r="G25" s="1080"/>
      <c r="H25" s="1070"/>
      <c r="I25" s="1070"/>
    </row>
    <row r="26" spans="1:13" s="1485" customFormat="1" ht="15" thickBot="1">
      <c r="A26" s="3436" t="s">
        <v>2895</v>
      </c>
      <c r="B26" s="3437" t="s">
        <v>2904</v>
      </c>
      <c r="C26" s="3438" t="s">
        <v>2917</v>
      </c>
      <c r="D26" s="3439"/>
      <c r="E26" s="3440">
        <v>1</v>
      </c>
      <c r="F26" s="3429" t="s">
        <v>2918</v>
      </c>
      <c r="G26" s="1080"/>
      <c r="H26" s="1070"/>
      <c r="I26" s="1070"/>
    </row>
    <row r="27" spans="1:13" s="1485" customFormat="1">
      <c r="A27" s="3749" t="s">
        <v>2899</v>
      </c>
      <c r="B27" s="3746" t="s">
        <v>2899</v>
      </c>
      <c r="C27" s="3426" t="s">
        <v>2919</v>
      </c>
      <c r="D27" s="3427"/>
      <c r="E27" s="3428">
        <v>1</v>
      </c>
      <c r="F27" s="3429" t="s">
        <v>2920</v>
      </c>
      <c r="G27" s="1080"/>
      <c r="H27" s="1070"/>
      <c r="I27" s="1070"/>
    </row>
    <row r="28" spans="1:13" s="1485" customFormat="1">
      <c r="A28" s="3750"/>
      <c r="B28" s="3747"/>
      <c r="C28" s="3430" t="s">
        <v>2921</v>
      </c>
      <c r="D28" s="3431"/>
      <c r="E28" s="3432">
        <v>1</v>
      </c>
      <c r="F28" s="3429" t="s">
        <v>2922</v>
      </c>
      <c r="G28" s="1080"/>
      <c r="H28" s="1070"/>
      <c r="I28" s="1070"/>
    </row>
    <row r="29" spans="1:13" s="1485" customFormat="1">
      <c r="A29" s="3750"/>
      <c r="B29" s="3747"/>
      <c r="C29" s="3430" t="s">
        <v>2923</v>
      </c>
      <c r="D29" s="3431"/>
      <c r="E29" s="3432">
        <v>0.8</v>
      </c>
      <c r="F29" s="3429" t="s">
        <v>2924</v>
      </c>
      <c r="G29" s="1080"/>
      <c r="H29" s="1070"/>
      <c r="I29" s="1070"/>
    </row>
    <row r="30" spans="1:13" s="1485" customFormat="1">
      <c r="A30" s="3750"/>
      <c r="B30" s="3747"/>
      <c r="C30" s="3430" t="s">
        <v>2925</v>
      </c>
      <c r="D30" s="3431"/>
      <c r="E30" s="3432">
        <v>0.8</v>
      </c>
      <c r="F30" s="3429" t="s">
        <v>2926</v>
      </c>
      <c r="G30" s="1080"/>
      <c r="H30" s="1070"/>
      <c r="I30" s="1070"/>
    </row>
    <row r="31" spans="1:13" s="1485" customFormat="1">
      <c r="A31" s="3750"/>
      <c r="B31" s="3747"/>
      <c r="C31" s="3430" t="s">
        <v>2927</v>
      </c>
      <c r="D31" s="3431"/>
      <c r="E31" s="3432">
        <v>0.8</v>
      </c>
      <c r="F31" s="3429" t="s">
        <v>2928</v>
      </c>
      <c r="G31" s="1080"/>
      <c r="H31" s="1070"/>
      <c r="I31" s="1070"/>
    </row>
    <row r="32" spans="1:13" s="1485" customFormat="1">
      <c r="A32" s="3750"/>
      <c r="B32" s="3747"/>
      <c r="C32" s="3430" t="s">
        <v>2929</v>
      </c>
      <c r="D32" s="3431"/>
      <c r="E32" s="3432">
        <v>0.7</v>
      </c>
      <c r="F32" s="3429" t="s">
        <v>2930</v>
      </c>
      <c r="G32" s="1080"/>
      <c r="H32" s="1070"/>
      <c r="I32" s="1070"/>
    </row>
    <row r="33" spans="1:9" s="1485" customFormat="1">
      <c r="A33" s="3750"/>
      <c r="B33" s="3747"/>
      <c r="C33" s="3430" t="s">
        <v>2931</v>
      </c>
      <c r="D33" s="3431"/>
      <c r="E33" s="3432">
        <v>0.8</v>
      </c>
      <c r="F33" s="3429" t="s">
        <v>2932</v>
      </c>
      <c r="G33" s="1080"/>
      <c r="H33" s="1070"/>
      <c r="I33" s="1070"/>
    </row>
    <row r="34" spans="1:9" s="1485" customFormat="1">
      <c r="A34" s="3750"/>
      <c r="B34" s="3747"/>
      <c r="C34" s="3430" t="s">
        <v>2933</v>
      </c>
      <c r="D34" s="3431"/>
      <c r="E34" s="3432">
        <v>0.6</v>
      </c>
      <c r="F34" s="3429" t="s">
        <v>2934</v>
      </c>
      <c r="G34" s="1080"/>
      <c r="H34" s="1070"/>
      <c r="I34" s="1070"/>
    </row>
    <row r="35" spans="1:9" s="1485" customFormat="1">
      <c r="A35" s="3750"/>
      <c r="B35" s="3747"/>
      <c r="C35" s="3430" t="s">
        <v>2935</v>
      </c>
      <c r="D35" s="3431"/>
      <c r="E35" s="3432">
        <v>0.2</v>
      </c>
      <c r="F35" s="3429" t="s">
        <v>2936</v>
      </c>
      <c r="G35" s="1080"/>
      <c r="H35" s="1070"/>
      <c r="I35" s="1070"/>
    </row>
    <row r="36" spans="1:9" s="1485" customFormat="1">
      <c r="A36" s="3750"/>
      <c r="B36" s="3747"/>
      <c r="C36" s="3430" t="s">
        <v>2937</v>
      </c>
      <c r="D36" s="3431"/>
      <c r="E36" s="3432">
        <v>0.2</v>
      </c>
      <c r="F36" s="3429" t="s">
        <v>2938</v>
      </c>
      <c r="G36" s="1080"/>
      <c r="H36" s="1070"/>
      <c r="I36" s="1070"/>
    </row>
    <row r="37" spans="1:9" s="1485" customFormat="1">
      <c r="A37" s="3750"/>
      <c r="B37" s="3741" t="s">
        <v>2939</v>
      </c>
      <c r="C37" s="3430" t="s">
        <v>2940</v>
      </c>
      <c r="D37" s="3431"/>
      <c r="E37" s="3432">
        <v>0.6</v>
      </c>
      <c r="F37" s="3429" t="s">
        <v>2941</v>
      </c>
      <c r="G37" s="1080"/>
      <c r="H37" s="1070"/>
      <c r="I37" s="1070"/>
    </row>
    <row r="38" spans="1:9" s="1485" customFormat="1">
      <c r="A38" s="3750"/>
      <c r="B38" s="3747"/>
      <c r="C38" s="3430" t="s">
        <v>2942</v>
      </c>
      <c r="D38" s="3431"/>
      <c r="E38" s="3432">
        <v>0.6</v>
      </c>
      <c r="F38" s="3429" t="s">
        <v>2943</v>
      </c>
      <c r="G38" s="1080"/>
      <c r="H38" s="1070"/>
      <c r="I38" s="1070"/>
    </row>
    <row r="39" spans="1:9" s="1485" customFormat="1" ht="15" thickBot="1">
      <c r="A39" s="3751"/>
      <c r="B39" s="3748"/>
      <c r="C39" s="3433" t="s">
        <v>2944</v>
      </c>
      <c r="D39" s="3434"/>
      <c r="E39" s="3435">
        <v>0.6</v>
      </c>
      <c r="F39" s="3429" t="s">
        <v>2945</v>
      </c>
      <c r="G39" s="1080"/>
      <c r="H39" s="1070"/>
      <c r="I39" s="1070"/>
    </row>
    <row r="40" spans="1:9" s="1485" customFormat="1" ht="15" thickBot="1">
      <c r="A40" s="3436" t="s">
        <v>2896</v>
      </c>
      <c r="B40" s="3437" t="s">
        <v>2896</v>
      </c>
      <c r="C40" s="3438" t="s">
        <v>2946</v>
      </c>
      <c r="D40" s="3439"/>
      <c r="E40" s="3440">
        <v>1</v>
      </c>
      <c r="F40" s="3429" t="s">
        <v>2947</v>
      </c>
      <c r="G40" s="1080"/>
      <c r="H40" s="1070"/>
      <c r="I40" s="1070"/>
    </row>
    <row r="41" spans="1:9" s="1485" customFormat="1">
      <c r="A41" s="3743" t="s">
        <v>2897</v>
      </c>
      <c r="B41" s="3746" t="s">
        <v>2948</v>
      </c>
      <c r="C41" s="3426" t="s">
        <v>2949</v>
      </c>
      <c r="D41" s="3427"/>
      <c r="E41" s="3428">
        <v>1</v>
      </c>
      <c r="F41" s="3429" t="s">
        <v>2950</v>
      </c>
      <c r="G41" s="1080"/>
      <c r="H41" s="1070"/>
      <c r="I41" s="1070"/>
    </row>
    <row r="42" spans="1:9" s="1485" customFormat="1">
      <c r="A42" s="3744"/>
      <c r="B42" s="3747"/>
      <c r="C42" s="3430" t="s">
        <v>2951</v>
      </c>
      <c r="D42" s="3431"/>
      <c r="E42" s="3432">
        <v>1</v>
      </c>
      <c r="F42" s="3429" t="s">
        <v>2952</v>
      </c>
      <c r="G42" s="1080"/>
      <c r="H42" s="1070"/>
      <c r="I42" s="1070"/>
    </row>
    <row r="43" spans="1:9" s="1485" customFormat="1">
      <c r="A43" s="3744"/>
      <c r="B43" s="3742"/>
      <c r="C43" s="3430" t="s">
        <v>2953</v>
      </c>
      <c r="D43" s="3431"/>
      <c r="E43" s="3432">
        <v>1.5</v>
      </c>
      <c r="F43" s="3429" t="s">
        <v>2954</v>
      </c>
      <c r="G43" s="1080"/>
      <c r="H43" s="1070"/>
      <c r="I43" s="1070"/>
    </row>
    <row r="44" spans="1:9" s="1485" customFormat="1">
      <c r="A44" s="3744"/>
      <c r="B44" s="3441" t="s">
        <v>2899</v>
      </c>
      <c r="C44" s="3430" t="s">
        <v>2898</v>
      </c>
      <c r="D44" s="3431"/>
      <c r="E44" s="3432">
        <v>2</v>
      </c>
      <c r="F44" s="3429" t="s">
        <v>2955</v>
      </c>
      <c r="G44" s="1080"/>
      <c r="H44" s="1070"/>
      <c r="I44" s="1070"/>
    </row>
    <row r="45" spans="1:9" s="1485" customFormat="1">
      <c r="A45" s="3744"/>
      <c r="B45" s="3741" t="s">
        <v>2956</v>
      </c>
      <c r="C45" s="3430" t="s">
        <v>2957</v>
      </c>
      <c r="D45" s="3431"/>
      <c r="E45" s="3432">
        <v>1</v>
      </c>
      <c r="F45" s="3429" t="s">
        <v>2958</v>
      </c>
      <c r="G45" s="1080"/>
      <c r="H45" s="1070"/>
      <c r="I45" s="1070"/>
    </row>
    <row r="46" spans="1:9" s="1485" customFormat="1">
      <c r="A46" s="3744"/>
      <c r="B46" s="3747"/>
      <c r="C46" s="3430" t="s">
        <v>2959</v>
      </c>
      <c r="D46" s="3431"/>
      <c r="E46" s="3432">
        <v>1</v>
      </c>
      <c r="F46" s="3429" t="s">
        <v>2960</v>
      </c>
      <c r="G46" s="1080"/>
      <c r="H46" s="1070"/>
      <c r="I46" s="1070"/>
    </row>
    <row r="47" spans="1:9" s="1485" customFormat="1">
      <c r="A47" s="3744"/>
      <c r="B47" s="3747"/>
      <c r="C47" s="3430" t="s">
        <v>2961</v>
      </c>
      <c r="D47" s="3431"/>
      <c r="E47" s="3432">
        <v>1</v>
      </c>
      <c r="F47" s="3429" t="s">
        <v>2962</v>
      </c>
      <c r="G47" s="1080"/>
      <c r="H47" s="1070"/>
      <c r="I47" s="1070"/>
    </row>
    <row r="48" spans="1:9" s="1485" customFormat="1">
      <c r="A48" s="3744"/>
      <c r="B48" s="3747"/>
      <c r="C48" s="3430" t="s">
        <v>2963</v>
      </c>
      <c r="D48" s="3431"/>
      <c r="E48" s="3432">
        <v>1</v>
      </c>
      <c r="F48" s="3429" t="s">
        <v>2964</v>
      </c>
      <c r="G48" s="1080"/>
      <c r="H48" s="1070"/>
      <c r="I48" s="1070"/>
    </row>
    <row r="49" spans="1:9" s="1485" customFormat="1">
      <c r="A49" s="3744"/>
      <c r="B49" s="3747"/>
      <c r="C49" s="3430" t="s">
        <v>2965</v>
      </c>
      <c r="D49" s="3431"/>
      <c r="E49" s="3432">
        <v>1</v>
      </c>
      <c r="F49" s="3429" t="s">
        <v>2966</v>
      </c>
      <c r="G49" s="1080"/>
      <c r="H49" s="1070"/>
      <c r="I49" s="1070"/>
    </row>
    <row r="50" spans="1:9" s="1485" customFormat="1">
      <c r="A50" s="3744"/>
      <c r="B50" s="3747"/>
      <c r="C50" s="3430" t="s">
        <v>2967</v>
      </c>
      <c r="D50" s="3431"/>
      <c r="E50" s="3432">
        <v>1</v>
      </c>
      <c r="F50" s="3429" t="s">
        <v>2968</v>
      </c>
      <c r="G50" s="1080"/>
      <c r="H50" s="1070"/>
      <c r="I50" s="1070"/>
    </row>
    <row r="51" spans="1:9" s="1485" customFormat="1" ht="15" thickBot="1">
      <c r="A51" s="3745"/>
      <c r="B51" s="3748"/>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ht="24">
      <c r="A73" s="3441">
        <v>1</v>
      </c>
      <c r="B73" s="3741" t="s">
        <v>2972</v>
      </c>
      <c r="C73" s="3419" t="s">
        <v>2973</v>
      </c>
      <c r="D73" s="3419" t="s">
        <v>2974</v>
      </c>
      <c r="E73" s="3442">
        <v>0.2</v>
      </c>
      <c r="F73" s="3441">
        <v>25</v>
      </c>
      <c r="H73" s="1070">
        <f>SUMIF(C71:C139,基准地价!C8,E71:E139)</f>
        <v>0</v>
      </c>
    </row>
    <row r="74" spans="1:8" s="1070" customFormat="1" ht="36">
      <c r="A74" s="3441">
        <v>2</v>
      </c>
      <c r="B74" s="3747"/>
      <c r="C74" s="3419" t="s">
        <v>2975</v>
      </c>
      <c r="D74" s="3419" t="s">
        <v>2976</v>
      </c>
      <c r="E74" s="3442">
        <v>0.2</v>
      </c>
      <c r="F74" s="3441">
        <v>25</v>
      </c>
    </row>
    <row r="75" spans="1:8" s="1070" customFormat="1" ht="24">
      <c r="A75" s="3441">
        <v>3</v>
      </c>
      <c r="B75" s="3747"/>
      <c r="C75" s="3419" t="s">
        <v>2977</v>
      </c>
      <c r="D75" s="3419" t="s">
        <v>2978</v>
      </c>
      <c r="E75" s="3442">
        <v>0.2</v>
      </c>
      <c r="F75" s="3441">
        <v>25</v>
      </c>
    </row>
    <row r="76" spans="1:8" s="1070" customFormat="1" ht="24">
      <c r="A76" s="3441">
        <v>4</v>
      </c>
      <c r="B76" s="3747"/>
      <c r="C76" s="3419" t="s">
        <v>2979</v>
      </c>
      <c r="D76" s="3419" t="s">
        <v>2980</v>
      </c>
      <c r="E76" s="3442">
        <v>0.15</v>
      </c>
      <c r="F76" s="3441">
        <v>20</v>
      </c>
    </row>
    <row r="77" spans="1:8" s="1070" customFormat="1" ht="24">
      <c r="A77" s="3441">
        <v>5</v>
      </c>
      <c r="B77" s="3747"/>
      <c r="C77" s="3419" t="s">
        <v>2981</v>
      </c>
      <c r="D77" s="3419" t="s">
        <v>2982</v>
      </c>
      <c r="E77" s="3442">
        <v>0.15</v>
      </c>
      <c r="F77" s="3441">
        <v>20</v>
      </c>
    </row>
    <row r="78" spans="1:8" s="1070" customFormat="1" ht="24">
      <c r="A78" s="3441">
        <v>6</v>
      </c>
      <c r="B78" s="3747"/>
      <c r="C78" s="3419" t="s">
        <v>2983</v>
      </c>
      <c r="D78" s="3419" t="s">
        <v>2984</v>
      </c>
      <c r="E78" s="3442">
        <v>0.15</v>
      </c>
      <c r="F78" s="3441">
        <v>20</v>
      </c>
    </row>
    <row r="79" spans="1:8" s="1070" customFormat="1" ht="36">
      <c r="A79" s="3441">
        <v>7</v>
      </c>
      <c r="B79" s="3747"/>
      <c r="C79" s="3419" t="s">
        <v>2985</v>
      </c>
      <c r="D79" s="3419" t="s">
        <v>2986</v>
      </c>
      <c r="E79" s="3442">
        <v>0.15</v>
      </c>
      <c r="F79" s="3441">
        <v>20</v>
      </c>
    </row>
    <row r="80" spans="1:8" s="1070" customFormat="1" ht="24">
      <c r="A80" s="3441">
        <v>8</v>
      </c>
      <c r="B80" s="3747"/>
      <c r="C80" s="3419" t="s">
        <v>2987</v>
      </c>
      <c r="D80" s="3419" t="s">
        <v>2988</v>
      </c>
      <c r="E80" s="3442">
        <v>0.1</v>
      </c>
      <c r="F80" s="3441">
        <v>15</v>
      </c>
    </row>
    <row r="81" spans="1:6" s="1070" customFormat="1" ht="24">
      <c r="A81" s="3441">
        <v>9</v>
      </c>
      <c r="B81" s="3747"/>
      <c r="C81" s="3419" t="s">
        <v>2989</v>
      </c>
      <c r="D81" s="3419" t="s">
        <v>2990</v>
      </c>
      <c r="E81" s="3442">
        <v>0.1</v>
      </c>
      <c r="F81" s="3441">
        <v>15</v>
      </c>
    </row>
    <row r="82" spans="1:6" s="1070" customFormat="1" ht="24">
      <c r="A82" s="3441">
        <v>10</v>
      </c>
      <c r="B82" s="3747"/>
      <c r="C82" s="3419" t="s">
        <v>2991</v>
      </c>
      <c r="D82" s="3419" t="s">
        <v>2992</v>
      </c>
      <c r="E82" s="3442">
        <v>0.1</v>
      </c>
      <c r="F82" s="3441">
        <v>15</v>
      </c>
    </row>
    <row r="83" spans="1:6" s="1070" customFormat="1" ht="36">
      <c r="A83" s="3441">
        <v>11</v>
      </c>
      <c r="B83" s="3747"/>
      <c r="C83" s="3419" t="s">
        <v>2993</v>
      </c>
      <c r="D83" s="3419" t="s">
        <v>2994</v>
      </c>
      <c r="E83" s="3442">
        <v>0.1</v>
      </c>
      <c r="F83" s="3441">
        <v>15</v>
      </c>
    </row>
    <row r="84" spans="1:6" s="1070" customFormat="1" ht="36">
      <c r="A84" s="3441">
        <v>12</v>
      </c>
      <c r="B84" s="3747"/>
      <c r="C84" s="3419" t="s">
        <v>2995</v>
      </c>
      <c r="D84" s="3419" t="s">
        <v>2996</v>
      </c>
      <c r="E84" s="3442">
        <v>0.1</v>
      </c>
      <c r="F84" s="3441">
        <v>15</v>
      </c>
    </row>
    <row r="85" spans="1:6" s="1070" customFormat="1" ht="24">
      <c r="A85" s="3441">
        <v>13</v>
      </c>
      <c r="B85" s="3747"/>
      <c r="C85" s="3419" t="s">
        <v>2997</v>
      </c>
      <c r="D85" s="3419" t="s">
        <v>2998</v>
      </c>
      <c r="E85" s="3442">
        <v>0.1</v>
      </c>
      <c r="F85" s="3441">
        <v>15</v>
      </c>
    </row>
    <row r="86" spans="1:6" s="1070" customFormat="1" ht="24">
      <c r="A86" s="3441">
        <v>14</v>
      </c>
      <c r="B86" s="3747"/>
      <c r="C86" s="3419" t="s">
        <v>2999</v>
      </c>
      <c r="D86" s="3419" t="s">
        <v>3000</v>
      </c>
      <c r="E86" s="3442">
        <v>0.1</v>
      </c>
      <c r="F86" s="3441">
        <v>15</v>
      </c>
    </row>
    <row r="87" spans="1:6" s="1070" customFormat="1" ht="24">
      <c r="A87" s="3441">
        <v>15</v>
      </c>
      <c r="B87" s="3747"/>
      <c r="C87" s="3419" t="s">
        <v>3001</v>
      </c>
      <c r="D87" s="3419" t="s">
        <v>3002</v>
      </c>
      <c r="E87" s="3442">
        <v>0.1</v>
      </c>
      <c r="F87" s="3441">
        <v>15</v>
      </c>
    </row>
    <row r="88" spans="1:6" s="1070" customFormat="1" ht="24">
      <c r="A88" s="3441">
        <v>16</v>
      </c>
      <c r="B88" s="3747"/>
      <c r="C88" s="3419" t="s">
        <v>3003</v>
      </c>
      <c r="D88" s="3419" t="s">
        <v>3004</v>
      </c>
      <c r="E88" s="3442">
        <v>0.1</v>
      </c>
      <c r="F88" s="3441">
        <v>15</v>
      </c>
    </row>
    <row r="89" spans="1:6" s="1070" customFormat="1" ht="36">
      <c r="A89" s="3441">
        <v>17</v>
      </c>
      <c r="B89" s="3742"/>
      <c r="C89" s="3419" t="s">
        <v>3005</v>
      </c>
      <c r="D89" s="3419" t="s">
        <v>3006</v>
      </c>
      <c r="E89" s="3442">
        <v>0.1</v>
      </c>
      <c r="F89" s="3441">
        <v>15</v>
      </c>
    </row>
    <row r="90" spans="1:6" s="1070" customFormat="1" ht="24">
      <c r="A90" s="3441">
        <v>18</v>
      </c>
      <c r="B90" s="3741" t="s">
        <v>3007</v>
      </c>
      <c r="C90" s="3419" t="s">
        <v>3008</v>
      </c>
      <c r="D90" s="3419" t="s">
        <v>3009</v>
      </c>
      <c r="E90" s="3442">
        <v>0.2</v>
      </c>
      <c r="F90" s="3441">
        <v>25</v>
      </c>
    </row>
    <row r="91" spans="1:6" s="1070" customFormat="1" ht="36">
      <c r="A91" s="3441">
        <v>19</v>
      </c>
      <c r="B91" s="3747"/>
      <c r="C91" s="3419" t="s">
        <v>3010</v>
      </c>
      <c r="D91" s="3419" t="s">
        <v>3011</v>
      </c>
      <c r="E91" s="3442">
        <v>0.2</v>
      </c>
      <c r="F91" s="3441">
        <v>25</v>
      </c>
    </row>
    <row r="92" spans="1:6" s="1070" customFormat="1" ht="24">
      <c r="A92" s="3441">
        <v>20</v>
      </c>
      <c r="B92" s="3747"/>
      <c r="C92" s="3419" t="s">
        <v>3012</v>
      </c>
      <c r="D92" s="3419" t="s">
        <v>3013</v>
      </c>
      <c r="E92" s="3442">
        <v>0.15</v>
      </c>
      <c r="F92" s="3441">
        <v>20</v>
      </c>
    </row>
    <row r="93" spans="1:6" s="1070" customFormat="1" ht="24">
      <c r="A93" s="3441">
        <v>21</v>
      </c>
      <c r="B93" s="3747"/>
      <c r="C93" s="3419" t="s">
        <v>3014</v>
      </c>
      <c r="D93" s="3419" t="s">
        <v>3015</v>
      </c>
      <c r="E93" s="3442">
        <v>0.15</v>
      </c>
      <c r="F93" s="3441">
        <v>20</v>
      </c>
    </row>
    <row r="94" spans="1:6" s="1070" customFormat="1" ht="24">
      <c r="A94" s="3441">
        <v>22</v>
      </c>
      <c r="B94" s="3747"/>
      <c r="C94" s="3419" t="s">
        <v>3016</v>
      </c>
      <c r="D94" s="3419" t="s">
        <v>3017</v>
      </c>
      <c r="E94" s="3442">
        <v>0.15</v>
      </c>
      <c r="F94" s="3441">
        <v>20</v>
      </c>
    </row>
    <row r="95" spans="1:6" s="1070" customFormat="1" ht="48">
      <c r="A95" s="3441">
        <v>23</v>
      </c>
      <c r="B95" s="3747"/>
      <c r="C95" s="3419" t="s">
        <v>3018</v>
      </c>
      <c r="D95" s="3419" t="s">
        <v>3019</v>
      </c>
      <c r="E95" s="3442">
        <v>0.15</v>
      </c>
      <c r="F95" s="3441">
        <v>20</v>
      </c>
    </row>
    <row r="96" spans="1:6" s="1070" customFormat="1" ht="24">
      <c r="A96" s="3441">
        <v>24</v>
      </c>
      <c r="B96" s="3747"/>
      <c r="C96" s="3419" t="s">
        <v>3020</v>
      </c>
      <c r="D96" s="3419" t="s">
        <v>3021</v>
      </c>
      <c r="E96" s="3442">
        <v>0.1</v>
      </c>
      <c r="F96" s="3441">
        <v>15</v>
      </c>
    </row>
    <row r="97" spans="1:6" s="1070" customFormat="1" ht="24">
      <c r="A97" s="3441">
        <v>25</v>
      </c>
      <c r="B97" s="3747"/>
      <c r="C97" s="3419" t="s">
        <v>3022</v>
      </c>
      <c r="D97" s="3419" t="s">
        <v>3023</v>
      </c>
      <c r="E97" s="3442">
        <v>0.1</v>
      </c>
      <c r="F97" s="3441">
        <v>15</v>
      </c>
    </row>
    <row r="98" spans="1:6" s="1070" customFormat="1" ht="36">
      <c r="A98" s="3441">
        <v>26</v>
      </c>
      <c r="B98" s="3747"/>
      <c r="C98" s="3419" t="s">
        <v>3024</v>
      </c>
      <c r="D98" s="3419" t="s">
        <v>3025</v>
      </c>
      <c r="E98" s="3442">
        <v>0.1</v>
      </c>
      <c r="F98" s="3441">
        <v>15</v>
      </c>
    </row>
    <row r="99" spans="1:6" s="1070" customFormat="1" ht="24">
      <c r="A99" s="3441">
        <v>27</v>
      </c>
      <c r="B99" s="3747"/>
      <c r="C99" s="3419" t="s">
        <v>3026</v>
      </c>
      <c r="D99" s="3419" t="s">
        <v>3027</v>
      </c>
      <c r="E99" s="3442">
        <v>0.1</v>
      </c>
      <c r="F99" s="3441">
        <v>15</v>
      </c>
    </row>
    <row r="100" spans="1:6" s="1070" customFormat="1" ht="24">
      <c r="A100" s="3441">
        <v>28</v>
      </c>
      <c r="B100" s="3747"/>
      <c r="C100" s="3419" t="s">
        <v>3028</v>
      </c>
      <c r="D100" s="3419" t="s">
        <v>3029</v>
      </c>
      <c r="E100" s="3442">
        <v>0.1</v>
      </c>
      <c r="F100" s="3441">
        <v>15</v>
      </c>
    </row>
    <row r="101" spans="1:6" s="1070" customFormat="1" ht="24">
      <c r="A101" s="3441">
        <v>29</v>
      </c>
      <c r="B101" s="3747"/>
      <c r="C101" s="3419" t="s">
        <v>3030</v>
      </c>
      <c r="D101" s="3419" t="s">
        <v>3031</v>
      </c>
      <c r="E101" s="3442">
        <v>0.1</v>
      </c>
      <c r="F101" s="3441">
        <v>15</v>
      </c>
    </row>
    <row r="102" spans="1:6" s="1070" customFormat="1" ht="24">
      <c r="A102" s="3441">
        <v>30</v>
      </c>
      <c r="B102" s="3747"/>
      <c r="C102" s="3419" t="s">
        <v>3032</v>
      </c>
      <c r="D102" s="3419" t="s">
        <v>3033</v>
      </c>
      <c r="E102" s="3442">
        <v>0.1</v>
      </c>
      <c r="F102" s="3441">
        <v>15</v>
      </c>
    </row>
    <row r="103" spans="1:6" s="1070" customFormat="1" ht="24">
      <c r="A103" s="3441">
        <v>31</v>
      </c>
      <c r="B103" s="3747"/>
      <c r="C103" s="3419" t="s">
        <v>3034</v>
      </c>
      <c r="D103" s="3419" t="s">
        <v>3035</v>
      </c>
      <c r="E103" s="3442">
        <v>0.1</v>
      </c>
      <c r="F103" s="3441">
        <v>15</v>
      </c>
    </row>
    <row r="104" spans="1:6" s="1070" customFormat="1" ht="36">
      <c r="A104" s="3441">
        <v>32</v>
      </c>
      <c r="B104" s="3747"/>
      <c r="C104" s="3419" t="s">
        <v>3036</v>
      </c>
      <c r="D104" s="3419" t="s">
        <v>3037</v>
      </c>
      <c r="E104" s="3442">
        <v>0.1</v>
      </c>
      <c r="F104" s="3441">
        <v>15</v>
      </c>
    </row>
    <row r="105" spans="1:6" s="1070" customFormat="1" ht="36">
      <c r="A105" s="3441">
        <v>33</v>
      </c>
      <c r="B105" s="3747"/>
      <c r="C105" s="3419" t="s">
        <v>3038</v>
      </c>
      <c r="D105" s="3419" t="s">
        <v>3039</v>
      </c>
      <c r="E105" s="3442">
        <v>0.1</v>
      </c>
      <c r="F105" s="3441">
        <v>15</v>
      </c>
    </row>
    <row r="106" spans="1:6" s="1070" customFormat="1" ht="24">
      <c r="A106" s="3441">
        <v>34</v>
      </c>
      <c r="B106" s="3742"/>
      <c r="C106" s="3419" t="s">
        <v>3040</v>
      </c>
      <c r="D106" s="3419" t="s">
        <v>3041</v>
      </c>
      <c r="E106" s="3442">
        <v>0.1</v>
      </c>
      <c r="F106" s="3441">
        <v>15</v>
      </c>
    </row>
    <row r="107" spans="1:6" s="1070" customFormat="1" ht="36">
      <c r="A107" s="3441">
        <v>35</v>
      </c>
      <c r="B107" s="3741" t="s">
        <v>3042</v>
      </c>
      <c r="C107" s="3441" t="s">
        <v>3043</v>
      </c>
      <c r="D107" s="3419" t="s">
        <v>3044</v>
      </c>
      <c r="E107" s="3442">
        <v>0.15</v>
      </c>
      <c r="F107" s="3441">
        <v>20</v>
      </c>
    </row>
    <row r="108" spans="1:6" s="1070" customFormat="1" ht="24">
      <c r="A108" s="3441">
        <v>36</v>
      </c>
      <c r="B108" s="3747"/>
      <c r="C108" s="3441" t="s">
        <v>3045</v>
      </c>
      <c r="D108" s="3419" t="s">
        <v>3046</v>
      </c>
      <c r="E108" s="3442">
        <v>0.15</v>
      </c>
      <c r="F108" s="3441">
        <v>20</v>
      </c>
    </row>
    <row r="109" spans="1:6" s="1070" customFormat="1" ht="24">
      <c r="A109" s="3441">
        <v>37</v>
      </c>
      <c r="B109" s="3747"/>
      <c r="C109" s="3441" t="s">
        <v>3047</v>
      </c>
      <c r="D109" s="3419" t="s">
        <v>3048</v>
      </c>
      <c r="E109" s="3442">
        <v>0.15</v>
      </c>
      <c r="F109" s="3441">
        <v>20</v>
      </c>
    </row>
    <row r="110" spans="1:6" s="1070" customFormat="1" ht="24">
      <c r="A110" s="3441">
        <v>38</v>
      </c>
      <c r="B110" s="3747"/>
      <c r="C110" s="3441" t="s">
        <v>3049</v>
      </c>
      <c r="D110" s="3419" t="s">
        <v>3050</v>
      </c>
      <c r="E110" s="3442">
        <v>0.1</v>
      </c>
      <c r="F110" s="3441">
        <v>15</v>
      </c>
    </row>
    <row r="111" spans="1:6" s="1070" customFormat="1" ht="24">
      <c r="A111" s="3441">
        <v>39</v>
      </c>
      <c r="B111" s="3747"/>
      <c r="C111" s="3441" t="s">
        <v>3051</v>
      </c>
      <c r="D111" s="3419" t="s">
        <v>3052</v>
      </c>
      <c r="E111" s="3442">
        <v>0.1</v>
      </c>
      <c r="F111" s="3441">
        <v>15</v>
      </c>
    </row>
    <row r="112" spans="1:6" s="1070" customFormat="1" ht="24">
      <c r="A112" s="3441">
        <v>40</v>
      </c>
      <c r="B112" s="3742"/>
      <c r="C112" s="3441" t="s">
        <v>3053</v>
      </c>
      <c r="D112" s="3419" t="s">
        <v>3054</v>
      </c>
      <c r="E112" s="3442">
        <v>0.1</v>
      </c>
      <c r="F112" s="3441">
        <v>15</v>
      </c>
    </row>
    <row r="113" spans="1:6" s="1070" customFormat="1" ht="24">
      <c r="A113" s="3441">
        <v>41</v>
      </c>
      <c r="B113" s="3740" t="s">
        <v>3055</v>
      </c>
      <c r="C113" s="3441" t="s">
        <v>3056</v>
      </c>
      <c r="D113" s="3419" t="s">
        <v>3057</v>
      </c>
      <c r="E113" s="3442">
        <v>0.1</v>
      </c>
      <c r="F113" s="3441">
        <v>15</v>
      </c>
    </row>
    <row r="114" spans="1:6" s="1070" customFormat="1" ht="24">
      <c r="A114" s="3441">
        <v>42</v>
      </c>
      <c r="B114" s="3740"/>
      <c r="C114" s="3441" t="s">
        <v>3058</v>
      </c>
      <c r="D114" s="3419" t="s">
        <v>3059</v>
      </c>
      <c r="E114" s="3442">
        <v>0.1</v>
      </c>
      <c r="F114" s="3441">
        <v>15</v>
      </c>
    </row>
    <row r="115" spans="1:6" s="1070" customFormat="1" ht="24">
      <c r="A115" s="3441">
        <v>43</v>
      </c>
      <c r="B115" s="3740"/>
      <c r="C115" s="3441" t="s">
        <v>3060</v>
      </c>
      <c r="D115" s="3419" t="s">
        <v>3061</v>
      </c>
      <c r="E115" s="3442">
        <v>0.1</v>
      </c>
      <c r="F115" s="3441">
        <v>15</v>
      </c>
    </row>
    <row r="116" spans="1:6" s="1070" customFormat="1" ht="24">
      <c r="A116" s="3441">
        <v>44</v>
      </c>
      <c r="B116" s="3741" t="s">
        <v>3062</v>
      </c>
      <c r="C116" s="3441" t="s">
        <v>3063</v>
      </c>
      <c r="D116" s="3419" t="s">
        <v>3064</v>
      </c>
      <c r="E116" s="3442">
        <v>0.1</v>
      </c>
      <c r="F116" s="3441">
        <v>15</v>
      </c>
    </row>
    <row r="117" spans="1:6" s="1070" customFormat="1" ht="24">
      <c r="A117" s="3441">
        <v>45</v>
      </c>
      <c r="B117" s="3742"/>
      <c r="C117" s="3419" t="s">
        <v>3065</v>
      </c>
      <c r="D117" s="3419" t="s">
        <v>3066</v>
      </c>
      <c r="E117" s="3442">
        <v>0.1</v>
      </c>
      <c r="F117" s="3441">
        <v>15</v>
      </c>
    </row>
    <row r="118" spans="1:6" s="1070" customFormat="1" ht="24">
      <c r="A118" s="3441">
        <v>46</v>
      </c>
      <c r="B118" s="3741" t="s">
        <v>3067</v>
      </c>
      <c r="C118" s="3441" t="s">
        <v>3068</v>
      </c>
      <c r="D118" s="3419" t="s">
        <v>3069</v>
      </c>
      <c r="E118" s="3442">
        <v>0.1</v>
      </c>
      <c r="F118" s="3441">
        <v>15</v>
      </c>
    </row>
    <row r="119" spans="1:6" s="1070" customFormat="1" ht="24">
      <c r="A119" s="3441">
        <v>47</v>
      </c>
      <c r="B119" s="3742"/>
      <c r="C119" s="3441" t="s">
        <v>3070</v>
      </c>
      <c r="D119" s="3419" t="s">
        <v>3071</v>
      </c>
      <c r="E119" s="3442">
        <v>0.1</v>
      </c>
      <c r="F119" s="3441">
        <v>15</v>
      </c>
    </row>
    <row r="120" spans="1:6" s="1070" customFormat="1" ht="24">
      <c r="A120" s="3441">
        <v>48</v>
      </c>
      <c r="B120" s="3741" t="s">
        <v>3072</v>
      </c>
      <c r="C120" s="3441" t="s">
        <v>3073</v>
      </c>
      <c r="D120" s="3419" t="s">
        <v>3074</v>
      </c>
      <c r="E120" s="3442">
        <v>0.1</v>
      </c>
      <c r="F120" s="3441">
        <v>15</v>
      </c>
    </row>
    <row r="121" spans="1:6" s="1070" customFormat="1" ht="24">
      <c r="A121" s="3441">
        <v>49</v>
      </c>
      <c r="B121" s="3742"/>
      <c r="C121" s="3441" t="s">
        <v>3075</v>
      </c>
      <c r="D121" s="3419" t="s">
        <v>3076</v>
      </c>
      <c r="E121" s="3442">
        <v>0.1</v>
      </c>
      <c r="F121" s="3441">
        <v>15</v>
      </c>
    </row>
    <row r="122" spans="1:6" s="1070" customFormat="1" ht="24">
      <c r="A122" s="3441">
        <v>50</v>
      </c>
      <c r="B122" s="3740" t="s">
        <v>3077</v>
      </c>
      <c r="C122" s="3441" t="s">
        <v>3078</v>
      </c>
      <c r="D122" s="3419" t="s">
        <v>3079</v>
      </c>
      <c r="E122" s="3442">
        <v>0.1</v>
      </c>
      <c r="F122" s="3441">
        <v>15</v>
      </c>
    </row>
    <row r="123" spans="1:6" s="1070" customFormat="1" ht="24">
      <c r="A123" s="3441">
        <v>51</v>
      </c>
      <c r="B123" s="3740"/>
      <c r="C123" s="3441" t="s">
        <v>3080</v>
      </c>
      <c r="D123" s="3419" t="s">
        <v>3081</v>
      </c>
      <c r="E123" s="3442">
        <v>0.1</v>
      </c>
      <c r="F123" s="3441">
        <v>15</v>
      </c>
    </row>
    <row r="124" spans="1:6" s="1070" customFormat="1" ht="24">
      <c r="A124" s="3441">
        <v>52</v>
      </c>
      <c r="B124" s="3740" t="s">
        <v>3082</v>
      </c>
      <c r="C124" s="3441" t="s">
        <v>3083</v>
      </c>
      <c r="D124" s="3419" t="s">
        <v>3084</v>
      </c>
      <c r="E124" s="3442">
        <v>0.1</v>
      </c>
      <c r="F124" s="3441">
        <v>15</v>
      </c>
    </row>
    <row r="125" spans="1:6" s="1070" customFormat="1" ht="24">
      <c r="A125" s="3441">
        <v>53</v>
      </c>
      <c r="B125" s="3740"/>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ht="24">
      <c r="A127" s="3441">
        <v>55</v>
      </c>
      <c r="B127" s="3740" t="s">
        <v>3090</v>
      </c>
      <c r="C127" s="3441" t="s">
        <v>3091</v>
      </c>
      <c r="D127" s="3419" t="s">
        <v>3092</v>
      </c>
      <c r="E127" s="3442">
        <v>0.1</v>
      </c>
      <c r="F127" s="3441">
        <v>15</v>
      </c>
    </row>
    <row r="128" spans="1:6" ht="24">
      <c r="A128" s="3441">
        <v>56</v>
      </c>
      <c r="B128" s="3740"/>
      <c r="C128" s="3441" t="s">
        <v>3093</v>
      </c>
      <c r="D128" s="3419" t="s">
        <v>3094</v>
      </c>
      <c r="E128" s="3442">
        <v>0.1</v>
      </c>
      <c r="F128" s="3441">
        <v>15</v>
      </c>
    </row>
    <row r="129" spans="1:14" ht="24">
      <c r="A129" s="3441">
        <v>57</v>
      </c>
      <c r="B129" s="3740"/>
      <c r="C129" s="3441" t="s">
        <v>3095</v>
      </c>
      <c r="D129" s="3419" t="s">
        <v>3096</v>
      </c>
      <c r="E129" s="3442">
        <v>0.1</v>
      </c>
      <c r="F129" s="3441">
        <v>15</v>
      </c>
    </row>
    <row r="130" spans="1:14" ht="24">
      <c r="A130" s="3441">
        <v>58</v>
      </c>
      <c r="B130" s="3740" t="s">
        <v>3097</v>
      </c>
      <c r="C130" s="3441" t="s">
        <v>3098</v>
      </c>
      <c r="D130" s="3419" t="s">
        <v>3099</v>
      </c>
      <c r="E130" s="3442">
        <v>0.1</v>
      </c>
      <c r="F130" s="3441">
        <v>15</v>
      </c>
    </row>
    <row r="131" spans="1:14" ht="24">
      <c r="A131" s="3441">
        <v>59</v>
      </c>
      <c r="B131" s="3740"/>
      <c r="C131" s="3441" t="s">
        <v>3100</v>
      </c>
      <c r="D131" s="3419" t="s">
        <v>3101</v>
      </c>
      <c r="E131" s="3442">
        <v>0.1</v>
      </c>
      <c r="F131" s="3441">
        <v>15</v>
      </c>
    </row>
    <row r="132" spans="1:14" ht="24">
      <c r="A132" s="3441">
        <v>60</v>
      </c>
      <c r="B132" s="3741" t="s">
        <v>3102</v>
      </c>
      <c r="C132" s="3441" t="s">
        <v>3103</v>
      </c>
      <c r="D132" s="3419" t="s">
        <v>3104</v>
      </c>
      <c r="E132" s="3442">
        <v>0.1</v>
      </c>
      <c r="F132" s="3441">
        <v>15</v>
      </c>
    </row>
    <row r="133" spans="1:14" ht="24">
      <c r="A133" s="3441">
        <v>61</v>
      </c>
      <c r="B133" s="3742"/>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40" t="s">
        <v>3110</v>
      </c>
      <c r="C135" s="3441" t="s">
        <v>3111</v>
      </c>
      <c r="D135" s="3419" t="s">
        <v>3112</v>
      </c>
      <c r="E135" s="3442">
        <v>0.1</v>
      </c>
      <c r="F135" s="3441">
        <v>15</v>
      </c>
    </row>
    <row r="136" spans="1:14" ht="24">
      <c r="A136" s="3441">
        <v>64</v>
      </c>
      <c r="B136" s="3740"/>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25" t="s">
        <v>1434</v>
      </c>
      <c r="B141" s="3725"/>
      <c r="C141" s="3725"/>
      <c r="D141" s="3725"/>
      <c r="E141" s="3725"/>
      <c r="F141" s="3725"/>
      <c r="G141" s="3725"/>
      <c r="H141" s="3725"/>
      <c r="I141" s="3725"/>
      <c r="J141" s="3725"/>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70" customWidth="1"/>
    <col min="2" max="5" width="10.21875" style="1031" customWidth="1"/>
    <col min="6" max="6" width="9" style="1031"/>
    <col min="7" max="7" width="9" style="1034"/>
    <col min="8" max="8" width="9" style="1031"/>
    <col min="9" max="9" width="9" style="1034"/>
    <col min="10" max="16384" width="9" style="1031"/>
  </cols>
  <sheetData>
    <row r="1" spans="1:20">
      <c r="A1" s="3752" t="s">
        <v>1018</v>
      </c>
      <c r="B1" s="3752"/>
      <c r="C1" s="3752"/>
      <c r="D1" s="3752"/>
      <c r="E1" s="3752"/>
      <c r="F1" s="3752"/>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5" thickBot="1">
      <c r="A2" s="3753" t="s">
        <v>1031</v>
      </c>
      <c r="B2" s="3753"/>
      <c r="C2" s="3753"/>
      <c r="D2" s="3753"/>
      <c r="E2" s="3753"/>
      <c r="F2" s="3753"/>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54"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55"/>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6"/>
    <col min="2" max="16384" width="9" style="980"/>
  </cols>
  <sheetData>
    <row r="1" spans="1:14" ht="15.6">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6">
      <c r="A103" s="978" t="s">
        <v>883</v>
      </c>
      <c r="B103" s="979"/>
      <c r="C103" s="979"/>
      <c r="D103" s="979"/>
      <c r="E103" s="979"/>
      <c r="F103" s="979"/>
      <c r="G103" s="979"/>
      <c r="H103" s="979"/>
      <c r="I103" s="979"/>
      <c r="J103" s="979"/>
      <c r="K103" s="979"/>
      <c r="L103" s="979"/>
      <c r="M103" s="979"/>
      <c r="N103" s="979"/>
    </row>
    <row r="104" spans="1:14" ht="15.6">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6">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6">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49" customWidth="1"/>
    <col min="2" max="2" width="10.21875" style="1750" customWidth="1"/>
  </cols>
  <sheetData>
    <row r="1" spans="1:6">
      <c r="A1" s="3756" t="s">
        <v>1871</v>
      </c>
      <c r="B1" s="3756"/>
    </row>
    <row r="2" spans="1:6" ht="15" thickBot="1">
      <c r="A2" s="1720"/>
      <c r="B2" s="1720"/>
    </row>
    <row r="3" spans="1:6" ht="15" thickBot="1">
      <c r="A3" s="1720"/>
      <c r="B3" s="1720"/>
      <c r="C3" s="1721" t="s">
        <v>1872</v>
      </c>
      <c r="D3" s="1721" t="s">
        <v>1873</v>
      </c>
      <c r="E3" s="1721" t="s">
        <v>1874</v>
      </c>
      <c r="F3" s="1721" t="s">
        <v>1875</v>
      </c>
    </row>
    <row r="4" spans="1:6" ht="15" thickBot="1">
      <c r="A4" s="1722" t="s">
        <v>1876</v>
      </c>
      <c r="B4" s="1723" t="s">
        <v>1877</v>
      </c>
      <c r="C4" s="1721"/>
      <c r="D4" s="1721"/>
      <c r="E4" s="1721"/>
      <c r="F4" s="1721"/>
    </row>
    <row r="5" spans="1:6" ht="15" thickBot="1">
      <c r="A5" s="1724" t="s">
        <v>1878</v>
      </c>
      <c r="B5" s="1725" t="s">
        <v>1879</v>
      </c>
      <c r="C5" s="1726">
        <v>8.8999999999999996E-2</v>
      </c>
      <c r="D5" s="1726">
        <v>7.3999999999999996E-2</v>
      </c>
      <c r="E5" s="1726">
        <v>7.4999999999999997E-2</v>
      </c>
      <c r="F5" s="1727">
        <v>0.1</v>
      </c>
    </row>
    <row r="6" spans="1:6" ht="15" thickBot="1">
      <c r="A6" s="1724" t="s">
        <v>1075</v>
      </c>
      <c r="B6" s="1728" t="s">
        <v>1880</v>
      </c>
      <c r="C6" s="1729">
        <v>0.1</v>
      </c>
      <c r="D6" s="1729">
        <v>9.0999999999999998E-2</v>
      </c>
      <c r="E6" s="1729">
        <v>9.0999999999999998E-2</v>
      </c>
      <c r="F6" s="1730">
        <v>0.1</v>
      </c>
    </row>
    <row r="7" spans="1:6" ht="15" thickBot="1">
      <c r="A7" s="1724" t="s">
        <v>1075</v>
      </c>
      <c r="B7" s="1731" t="s">
        <v>1063</v>
      </c>
      <c r="C7" s="1729">
        <v>8.5999999999999993E-2</v>
      </c>
      <c r="D7" s="1729">
        <v>9.6000000000000002E-2</v>
      </c>
      <c r="E7" s="1729">
        <v>7.5999999999999998E-2</v>
      </c>
      <c r="F7" s="1730">
        <v>0.1</v>
      </c>
    </row>
    <row r="8" spans="1:6" ht="15" thickBot="1">
      <c r="A8" s="1724" t="s">
        <v>1075</v>
      </c>
      <c r="B8" s="1728" t="s">
        <v>1076</v>
      </c>
      <c r="C8" s="1729">
        <v>9.9000000000000005E-2</v>
      </c>
      <c r="D8" s="1729">
        <v>9.8000000000000004E-2</v>
      </c>
      <c r="E8" s="1729">
        <v>9.8000000000000004E-2</v>
      </c>
      <c r="F8" s="1730">
        <v>0.1</v>
      </c>
    </row>
    <row r="9" spans="1:6" ht="15" thickBot="1">
      <c r="A9" s="1732" t="s">
        <v>1075</v>
      </c>
      <c r="B9" s="1733" t="s">
        <v>1090</v>
      </c>
      <c r="C9" s="1734">
        <v>0.05</v>
      </c>
      <c r="D9" s="1735"/>
      <c r="E9" s="1735"/>
      <c r="F9" s="1736"/>
    </row>
    <row r="10" spans="1:6" ht="15" thickBot="1">
      <c r="A10" s="1724" t="s">
        <v>1134</v>
      </c>
      <c r="B10" s="1725" t="s">
        <v>1881</v>
      </c>
      <c r="C10" s="1726">
        <v>8.8999999999999996E-2</v>
      </c>
      <c r="D10" s="1726">
        <v>7.2999999999999995E-2</v>
      </c>
      <c r="E10" s="1726">
        <v>8.2000000000000003E-2</v>
      </c>
      <c r="F10" s="1727">
        <v>0.1</v>
      </c>
    </row>
    <row r="11" spans="1:6" ht="15" thickBot="1">
      <c r="A11" s="1724" t="s">
        <v>1134</v>
      </c>
      <c r="B11" s="1731" t="s">
        <v>1050</v>
      </c>
      <c r="C11" s="1729">
        <v>8.8999999999999996E-2</v>
      </c>
      <c r="D11" s="1729">
        <v>7.2999999999999995E-2</v>
      </c>
      <c r="E11" s="1729">
        <v>8.2000000000000003E-2</v>
      </c>
      <c r="F11" s="1730">
        <v>0.1</v>
      </c>
    </row>
    <row r="12" spans="1:6" ht="15" thickBot="1">
      <c r="A12" s="1724" t="s">
        <v>1134</v>
      </c>
      <c r="B12" s="1731" t="s">
        <v>1064</v>
      </c>
      <c r="C12" s="1729">
        <v>6.0999999999999999E-2</v>
      </c>
      <c r="D12" s="1729">
        <v>7.0999999999999994E-2</v>
      </c>
      <c r="E12" s="1729">
        <v>9.6000000000000002E-2</v>
      </c>
      <c r="F12" s="1730">
        <v>0.1</v>
      </c>
    </row>
    <row r="13" spans="1:6" ht="15" thickBot="1">
      <c r="A13" s="1724" t="s">
        <v>1134</v>
      </c>
      <c r="B13" s="1731" t="s">
        <v>1077</v>
      </c>
      <c r="C13" s="1729">
        <v>6.9000000000000006E-2</v>
      </c>
      <c r="D13" s="1729">
        <v>6.5000000000000002E-2</v>
      </c>
      <c r="E13" s="1729">
        <v>6.6000000000000003E-2</v>
      </c>
      <c r="F13" s="1730">
        <v>0.1</v>
      </c>
    </row>
    <row r="14" spans="1:6" ht="15" thickBot="1">
      <c r="A14" s="1724" t="s">
        <v>1134</v>
      </c>
      <c r="B14" s="1731" t="s">
        <v>1091</v>
      </c>
      <c r="C14" s="1729">
        <v>0.1</v>
      </c>
      <c r="D14" s="1729">
        <v>6.5000000000000002E-2</v>
      </c>
      <c r="E14" s="1729">
        <v>7.0000000000000007E-2</v>
      </c>
      <c r="F14" s="1730">
        <v>0.1</v>
      </c>
    </row>
    <row r="15" spans="1:6" ht="15" thickBot="1">
      <c r="A15" s="1724" t="s">
        <v>1134</v>
      </c>
      <c r="B15" s="1731" t="s">
        <v>1102</v>
      </c>
      <c r="C15" s="1729">
        <v>9.8000000000000004E-2</v>
      </c>
      <c r="D15" s="1729">
        <v>8.8999999999999996E-2</v>
      </c>
      <c r="E15" s="1729">
        <v>8.8999999999999996E-2</v>
      </c>
      <c r="F15" s="1730">
        <v>0.1</v>
      </c>
    </row>
    <row r="16" spans="1:6" ht="15" thickBot="1">
      <c r="A16" s="1724" t="s">
        <v>1134</v>
      </c>
      <c r="B16" s="1731" t="s">
        <v>1113</v>
      </c>
      <c r="C16" s="1729">
        <v>7.0000000000000007E-2</v>
      </c>
      <c r="D16" s="1729">
        <v>9.2999999999999999E-2</v>
      </c>
      <c r="E16" s="1729">
        <v>9.6000000000000002E-2</v>
      </c>
      <c r="F16" s="1730">
        <v>0.1</v>
      </c>
    </row>
    <row r="17" spans="1:6" ht="15" thickBot="1">
      <c r="A17" s="1724" t="s">
        <v>1134</v>
      </c>
      <c r="B17" s="1731" t="s">
        <v>1124</v>
      </c>
      <c r="C17" s="1729">
        <v>9.5000000000000001E-2</v>
      </c>
      <c r="D17" s="1729">
        <v>0.1</v>
      </c>
      <c r="E17" s="1729">
        <v>0.1</v>
      </c>
      <c r="F17" s="1737"/>
    </row>
    <row r="18" spans="1:6" ht="15" thickBot="1">
      <c r="A18" s="1724" t="s">
        <v>1134</v>
      </c>
      <c r="B18" s="1731" t="s">
        <v>1136</v>
      </c>
      <c r="C18" s="1729">
        <v>7.3999999999999996E-2</v>
      </c>
      <c r="D18" s="1729">
        <v>9.9000000000000005E-2</v>
      </c>
      <c r="E18" s="1729">
        <v>0.1</v>
      </c>
      <c r="F18" s="1737"/>
    </row>
    <row r="19" spans="1:6" ht="15" thickBot="1">
      <c r="A19" s="1724" t="s">
        <v>1134</v>
      </c>
      <c r="B19" s="1731" t="s">
        <v>1146</v>
      </c>
      <c r="C19" s="1729">
        <v>9.9000000000000005E-2</v>
      </c>
      <c r="D19" s="1729">
        <v>7.5999999999999998E-2</v>
      </c>
      <c r="E19" s="1729">
        <v>8.6999999999999994E-2</v>
      </c>
      <c r="F19" s="1737"/>
    </row>
    <row r="20" spans="1:6" ht="15" thickBot="1">
      <c r="A20" s="1724" t="s">
        <v>1134</v>
      </c>
      <c r="B20" s="1731" t="s">
        <v>1156</v>
      </c>
      <c r="C20" s="1729">
        <v>9.8000000000000004E-2</v>
      </c>
      <c r="D20" s="1729">
        <v>8.5000000000000006E-2</v>
      </c>
      <c r="E20" s="1729">
        <v>8.2000000000000003E-2</v>
      </c>
      <c r="F20" s="1737"/>
    </row>
    <row r="21" spans="1:6" ht="15" thickBot="1">
      <c r="A21" s="1724" t="s">
        <v>1134</v>
      </c>
      <c r="B21" s="1731" t="s">
        <v>1166</v>
      </c>
      <c r="C21" s="1729">
        <v>6.6000000000000003E-2</v>
      </c>
      <c r="D21" s="1729">
        <v>6.4000000000000001E-2</v>
      </c>
      <c r="E21" s="1729">
        <v>6.5000000000000002E-2</v>
      </c>
      <c r="F21" s="1737"/>
    </row>
    <row r="22" spans="1:6" ht="15" thickBot="1">
      <c r="A22" s="1724" t="s">
        <v>1134</v>
      </c>
      <c r="B22" s="1731" t="s">
        <v>1882</v>
      </c>
      <c r="C22" s="1729">
        <v>0.08</v>
      </c>
      <c r="D22" s="1729">
        <v>9.8000000000000004E-2</v>
      </c>
      <c r="E22" s="1729">
        <v>9.8000000000000004E-2</v>
      </c>
      <c r="F22" s="1737"/>
    </row>
    <row r="23" spans="1:6" ht="15" thickBot="1">
      <c r="A23" s="1724" t="s">
        <v>1134</v>
      </c>
      <c r="B23" s="1731" t="s">
        <v>1186</v>
      </c>
      <c r="C23" s="1729">
        <v>9.9000000000000005E-2</v>
      </c>
      <c r="D23" s="1729">
        <v>9.8000000000000004E-2</v>
      </c>
      <c r="E23" s="1729">
        <v>9.0999999999999998E-2</v>
      </c>
      <c r="F23" s="1737"/>
    </row>
    <row r="24" spans="1:6" ht="15" thickBot="1">
      <c r="A24" s="1724" t="s">
        <v>1134</v>
      </c>
      <c r="B24" s="1731" t="s">
        <v>1196</v>
      </c>
      <c r="C24" s="1729">
        <v>8.8999999999999996E-2</v>
      </c>
      <c r="D24" s="1729">
        <v>9.7000000000000003E-2</v>
      </c>
      <c r="E24" s="1729">
        <v>7.0000000000000007E-2</v>
      </c>
      <c r="F24" s="1737"/>
    </row>
    <row r="25" spans="1:6" ht="15" thickBot="1">
      <c r="A25" s="1724" t="s">
        <v>1134</v>
      </c>
      <c r="B25" s="1731" t="s">
        <v>1206</v>
      </c>
      <c r="C25" s="1729">
        <v>8.8999999999999996E-2</v>
      </c>
      <c r="D25" s="1729">
        <v>0.1</v>
      </c>
      <c r="E25" s="1729">
        <v>8.1000000000000003E-2</v>
      </c>
      <c r="F25" s="1737"/>
    </row>
    <row r="26" spans="1:6" ht="15" thickBot="1">
      <c r="A26" s="1724" t="s">
        <v>1134</v>
      </c>
      <c r="B26" s="1731" t="s">
        <v>1216</v>
      </c>
      <c r="C26" s="1738"/>
      <c r="D26" s="1729">
        <v>9.6000000000000002E-2</v>
      </c>
      <c r="E26" s="1729">
        <v>9.2999999999999999E-2</v>
      </c>
      <c r="F26" s="1737"/>
    </row>
    <row r="27" spans="1:6" ht="15" thickBot="1">
      <c r="A27" s="1724" t="s">
        <v>1134</v>
      </c>
      <c r="B27" s="1731" t="s">
        <v>1226</v>
      </c>
      <c r="C27" s="1738"/>
      <c r="D27" s="1729">
        <v>7.5999999999999998E-2</v>
      </c>
      <c r="E27" s="1729">
        <v>9.1999999999999998E-2</v>
      </c>
      <c r="F27" s="1737"/>
    </row>
    <row r="28" spans="1:6" ht="15" thickBot="1">
      <c r="A28" s="1732" t="s">
        <v>1134</v>
      </c>
      <c r="B28" s="1733" t="s">
        <v>1236</v>
      </c>
      <c r="C28" s="1735"/>
      <c r="D28" s="1734">
        <v>7.5999999999999998E-2</v>
      </c>
      <c r="E28" s="1734">
        <v>9.1999999999999998E-2</v>
      </c>
      <c r="F28" s="1736"/>
    </row>
    <row r="29" spans="1:6" ht="15" thickBot="1">
      <c r="A29" s="1724" t="s">
        <v>1305</v>
      </c>
      <c r="B29" s="1725" t="s">
        <v>1883</v>
      </c>
      <c r="C29" s="1726">
        <v>6.4000000000000001E-2</v>
      </c>
      <c r="D29" s="1726">
        <v>6.5000000000000002E-2</v>
      </c>
      <c r="E29" s="1726">
        <v>6.9000000000000006E-2</v>
      </c>
      <c r="F29" s="1727">
        <v>0.1</v>
      </c>
    </row>
    <row r="30" spans="1:6" ht="15" thickBot="1">
      <c r="A30" s="1724" t="s">
        <v>1305</v>
      </c>
      <c r="B30" s="1731" t="s">
        <v>1051</v>
      </c>
      <c r="C30" s="1729">
        <v>6.4000000000000001E-2</v>
      </c>
      <c r="D30" s="1729">
        <v>9.9000000000000005E-2</v>
      </c>
      <c r="E30" s="1729">
        <v>0.1</v>
      </c>
      <c r="F30" s="1730">
        <v>0.1</v>
      </c>
    </row>
    <row r="31" spans="1:6" ht="15" thickBot="1">
      <c r="A31" s="1724" t="s">
        <v>1305</v>
      </c>
      <c r="B31" s="1731" t="s">
        <v>1065</v>
      </c>
      <c r="C31" s="1729">
        <v>0.1</v>
      </c>
      <c r="D31" s="1729">
        <v>9.5000000000000001E-2</v>
      </c>
      <c r="E31" s="1729">
        <v>8.8999999999999996E-2</v>
      </c>
      <c r="F31" s="1730">
        <v>0.1</v>
      </c>
    </row>
    <row r="32" spans="1:6" ht="15" thickBot="1">
      <c r="A32" s="1724" t="s">
        <v>1305</v>
      </c>
      <c r="B32" s="1731" t="s">
        <v>1078</v>
      </c>
      <c r="C32" s="1729">
        <v>0.05</v>
      </c>
      <c r="D32" s="1729">
        <v>0.05</v>
      </c>
      <c r="E32" s="1729">
        <v>8.7999999999999995E-2</v>
      </c>
      <c r="F32" s="1730">
        <v>0.1</v>
      </c>
    </row>
    <row r="33" spans="1:6" ht="15" thickBot="1">
      <c r="A33" s="1724" t="s">
        <v>1305</v>
      </c>
      <c r="B33" s="1731" t="s">
        <v>1092</v>
      </c>
      <c r="C33" s="1729">
        <v>7.4999999999999997E-2</v>
      </c>
      <c r="D33" s="1729">
        <v>9.4E-2</v>
      </c>
      <c r="E33" s="1729">
        <v>9.7000000000000003E-2</v>
      </c>
      <c r="F33" s="1730">
        <v>0.1</v>
      </c>
    </row>
    <row r="34" spans="1:6" ht="15" thickBot="1">
      <c r="A34" s="1724" t="s">
        <v>1305</v>
      </c>
      <c r="B34" s="1731" t="s">
        <v>1103</v>
      </c>
      <c r="C34" s="1729">
        <v>9.8000000000000004E-2</v>
      </c>
      <c r="D34" s="1729">
        <v>8.5999999999999993E-2</v>
      </c>
      <c r="E34" s="1729">
        <v>9.7000000000000003E-2</v>
      </c>
      <c r="F34" s="1730">
        <v>0.1</v>
      </c>
    </row>
    <row r="35" spans="1:6" ht="15" thickBot="1">
      <c r="A35" s="1724" t="s">
        <v>1305</v>
      </c>
      <c r="B35" s="1731" t="s">
        <v>1114</v>
      </c>
      <c r="C35" s="1729">
        <v>5.8999999999999997E-2</v>
      </c>
      <c r="D35" s="1729">
        <v>6.5000000000000002E-2</v>
      </c>
      <c r="E35" s="1729">
        <v>7.0000000000000007E-2</v>
      </c>
      <c r="F35" s="1730">
        <v>0.1</v>
      </c>
    </row>
    <row r="36" spans="1:6" ht="15" thickBot="1">
      <c r="A36" s="1724" t="s">
        <v>1305</v>
      </c>
      <c r="B36" s="1731" t="s">
        <v>1125</v>
      </c>
      <c r="C36" s="1729">
        <v>6.3E-2</v>
      </c>
      <c r="D36" s="1729">
        <v>0.1</v>
      </c>
      <c r="E36" s="1729">
        <v>0.1</v>
      </c>
      <c r="F36" s="1730">
        <v>0.1</v>
      </c>
    </row>
    <row r="37" spans="1:6" ht="15" thickBot="1">
      <c r="A37" s="1724" t="s">
        <v>1305</v>
      </c>
      <c r="B37" s="1731" t="s">
        <v>1137</v>
      </c>
      <c r="C37" s="1729">
        <v>7.3999999999999996E-2</v>
      </c>
      <c r="D37" s="1729">
        <v>0.1</v>
      </c>
      <c r="E37" s="1729">
        <v>0.1</v>
      </c>
      <c r="F37" s="1730">
        <v>0.1</v>
      </c>
    </row>
    <row r="38" spans="1:6" ht="15" thickBot="1">
      <c r="A38" s="1724" t="s">
        <v>1305</v>
      </c>
      <c r="B38" s="1731" t="s">
        <v>1147</v>
      </c>
      <c r="C38" s="1729">
        <v>0.1</v>
      </c>
      <c r="D38" s="1729">
        <v>9.6000000000000002E-2</v>
      </c>
      <c r="E38" s="1729">
        <v>9.6000000000000002E-2</v>
      </c>
      <c r="F38" s="1737"/>
    </row>
    <row r="39" spans="1:6" ht="15" thickBot="1">
      <c r="A39" s="1724" t="s">
        <v>1305</v>
      </c>
      <c r="B39" s="1731" t="s">
        <v>1157</v>
      </c>
      <c r="C39" s="1729">
        <v>0.1</v>
      </c>
      <c r="D39" s="1729">
        <v>9.6000000000000002E-2</v>
      </c>
      <c r="E39" s="1729">
        <v>9.6000000000000002E-2</v>
      </c>
      <c r="F39" s="1737"/>
    </row>
    <row r="40" spans="1:6" ht="15" thickBot="1">
      <c r="A40" s="1724" t="s">
        <v>1305</v>
      </c>
      <c r="B40" s="1731" t="s">
        <v>1167</v>
      </c>
      <c r="C40" s="1729">
        <v>9.6000000000000002E-2</v>
      </c>
      <c r="D40" s="1729">
        <v>0.1</v>
      </c>
      <c r="E40" s="1729">
        <v>9.9000000000000005E-2</v>
      </c>
      <c r="F40" s="1737"/>
    </row>
    <row r="41" spans="1:6" ht="15" thickBot="1">
      <c r="A41" s="1724" t="s">
        <v>1305</v>
      </c>
      <c r="B41" s="1731" t="s">
        <v>1177</v>
      </c>
      <c r="C41" s="1729">
        <v>9.6000000000000002E-2</v>
      </c>
      <c r="D41" s="1729">
        <v>9.8000000000000004E-2</v>
      </c>
      <c r="E41" s="1729">
        <v>9.8000000000000004E-2</v>
      </c>
      <c r="F41" s="1737"/>
    </row>
    <row r="42" spans="1:6" ht="15" thickBot="1">
      <c r="A42" s="1724" t="s">
        <v>1305</v>
      </c>
      <c r="B42" s="1731" t="s">
        <v>1187</v>
      </c>
      <c r="C42" s="1729">
        <v>0.1</v>
      </c>
      <c r="D42" s="1729">
        <v>8.7999999999999995E-2</v>
      </c>
      <c r="E42" s="1729">
        <v>0.1</v>
      </c>
      <c r="F42" s="1737"/>
    </row>
    <row r="43" spans="1:6" ht="15" thickBot="1">
      <c r="A43" s="1724" t="s">
        <v>1305</v>
      </c>
      <c r="B43" s="1731" t="s">
        <v>1197</v>
      </c>
      <c r="C43" s="1729">
        <v>9.8000000000000004E-2</v>
      </c>
      <c r="D43" s="1729">
        <v>9.7000000000000003E-2</v>
      </c>
      <c r="E43" s="1729">
        <v>9.6000000000000002E-2</v>
      </c>
      <c r="F43" s="1737"/>
    </row>
    <row r="44" spans="1:6" ht="15" thickBot="1">
      <c r="A44" s="1724" t="s">
        <v>1305</v>
      </c>
      <c r="B44" s="1731" t="s">
        <v>1207</v>
      </c>
      <c r="C44" s="1729">
        <v>8.5999999999999993E-2</v>
      </c>
      <c r="D44" s="1729">
        <v>7.9000000000000001E-2</v>
      </c>
      <c r="E44" s="1729">
        <v>7.0999999999999994E-2</v>
      </c>
      <c r="F44" s="1737"/>
    </row>
    <row r="45" spans="1:6" ht="15" thickBot="1">
      <c r="A45" s="1724" t="s">
        <v>1305</v>
      </c>
      <c r="B45" s="1731" t="s">
        <v>1217</v>
      </c>
      <c r="C45" s="1729">
        <v>9.8000000000000004E-2</v>
      </c>
      <c r="D45" s="1729">
        <v>9.6000000000000002E-2</v>
      </c>
      <c r="E45" s="1729">
        <v>9.6000000000000002E-2</v>
      </c>
      <c r="F45" s="1737"/>
    </row>
    <row r="46" spans="1:6" ht="15" thickBot="1">
      <c r="A46" s="1724" t="s">
        <v>1305</v>
      </c>
      <c r="B46" s="1731" t="s">
        <v>1227</v>
      </c>
      <c r="C46" s="1729">
        <v>8.5999999999999993E-2</v>
      </c>
      <c r="D46" s="1729">
        <v>9.8000000000000004E-2</v>
      </c>
      <c r="E46" s="1729">
        <v>8.7999999999999995E-2</v>
      </c>
      <c r="F46" s="1737"/>
    </row>
    <row r="47" spans="1:6" ht="15" thickBot="1">
      <c r="A47" s="1724" t="s">
        <v>1305</v>
      </c>
      <c r="B47" s="1731" t="s">
        <v>1237</v>
      </c>
      <c r="C47" s="1729">
        <v>9.6000000000000002E-2</v>
      </c>
      <c r="D47" s="1738"/>
      <c r="E47" s="1729">
        <v>6.9000000000000006E-2</v>
      </c>
      <c r="F47" s="1737"/>
    </row>
    <row r="48" spans="1:6" ht="15" thickBot="1">
      <c r="A48" s="1732" t="s">
        <v>1305</v>
      </c>
      <c r="B48" s="1733" t="s">
        <v>1246</v>
      </c>
      <c r="C48" s="1734">
        <v>9.8000000000000004E-2</v>
      </c>
      <c r="D48" s="1735"/>
      <c r="E48" s="1734">
        <v>9.5000000000000001E-2</v>
      </c>
      <c r="F48" s="1736"/>
    </row>
    <row r="49" spans="1:6" ht="15" thickBot="1">
      <c r="A49" s="1724" t="s">
        <v>904</v>
      </c>
      <c r="B49" s="1725" t="s">
        <v>1884</v>
      </c>
      <c r="C49" s="1726">
        <v>9.7000000000000003E-2</v>
      </c>
      <c r="D49" s="1726">
        <v>9.5000000000000001E-2</v>
      </c>
      <c r="E49" s="1726">
        <v>9.7000000000000003E-2</v>
      </c>
      <c r="F49" s="1727">
        <v>0.1</v>
      </c>
    </row>
    <row r="50" spans="1:6" ht="15" thickBot="1">
      <c r="A50" s="1724" t="s">
        <v>904</v>
      </c>
      <c r="B50" s="1728" t="s">
        <v>1052</v>
      </c>
      <c r="C50" s="1729">
        <v>7.4999999999999997E-2</v>
      </c>
      <c r="D50" s="1729">
        <v>9.5000000000000001E-2</v>
      </c>
      <c r="E50" s="1729">
        <v>0.1</v>
      </c>
      <c r="F50" s="1730">
        <v>0.1</v>
      </c>
    </row>
    <row r="51" spans="1:6" ht="15" thickBot="1">
      <c r="A51" s="1724" t="s">
        <v>904</v>
      </c>
      <c r="B51" s="1728" t="s">
        <v>1066</v>
      </c>
      <c r="C51" s="1729">
        <v>9.8000000000000004E-2</v>
      </c>
      <c r="D51" s="1729">
        <v>8.8999999999999996E-2</v>
      </c>
      <c r="E51" s="1729">
        <v>0.1</v>
      </c>
      <c r="F51" s="1730">
        <v>0.1</v>
      </c>
    </row>
    <row r="52" spans="1:6" ht="15" thickBot="1">
      <c r="A52" s="1724" t="s">
        <v>904</v>
      </c>
      <c r="B52" s="1728" t="s">
        <v>1079</v>
      </c>
      <c r="C52" s="1729">
        <v>9.8000000000000004E-2</v>
      </c>
      <c r="D52" s="1729">
        <v>9.7000000000000003E-2</v>
      </c>
      <c r="E52" s="1729">
        <v>8.1000000000000003E-2</v>
      </c>
      <c r="F52" s="1730">
        <v>0.1</v>
      </c>
    </row>
    <row r="53" spans="1:6" ht="15" thickBot="1">
      <c r="A53" s="1724" t="s">
        <v>904</v>
      </c>
      <c r="B53" s="1728" t="s">
        <v>1093</v>
      </c>
      <c r="C53" s="1729">
        <v>9.7000000000000003E-2</v>
      </c>
      <c r="D53" s="1729">
        <v>7.5999999999999998E-2</v>
      </c>
      <c r="E53" s="1729">
        <v>7.0999999999999994E-2</v>
      </c>
      <c r="F53" s="1730">
        <v>0.1</v>
      </c>
    </row>
    <row r="54" spans="1:6" ht="15" thickBot="1">
      <c r="A54" s="1724" t="s">
        <v>904</v>
      </c>
      <c r="B54" s="1728" t="s">
        <v>1104</v>
      </c>
      <c r="C54" s="1729">
        <v>7.5999999999999998E-2</v>
      </c>
      <c r="D54" s="1729">
        <v>0.1</v>
      </c>
      <c r="E54" s="1729">
        <v>9.9000000000000005E-2</v>
      </c>
      <c r="F54" s="1730">
        <v>0.1</v>
      </c>
    </row>
    <row r="55" spans="1:6" ht="15" thickBot="1">
      <c r="A55" s="1724" t="s">
        <v>904</v>
      </c>
      <c r="B55" s="1728" t="s">
        <v>1115</v>
      </c>
      <c r="C55" s="1729">
        <v>0.1</v>
      </c>
      <c r="D55" s="1729">
        <v>0.1</v>
      </c>
      <c r="E55" s="1729">
        <v>9.6000000000000002E-2</v>
      </c>
      <c r="F55" s="1730">
        <v>0.1</v>
      </c>
    </row>
    <row r="56" spans="1:6" ht="15" thickBot="1">
      <c r="A56" s="1724" t="s">
        <v>904</v>
      </c>
      <c r="B56" s="1728" t="s">
        <v>1126</v>
      </c>
      <c r="C56" s="1729">
        <v>0.1</v>
      </c>
      <c r="D56" s="1729">
        <v>9.6000000000000002E-2</v>
      </c>
      <c r="E56" s="1729">
        <v>5.1999999999999998E-2</v>
      </c>
      <c r="F56" s="1730">
        <v>0.1</v>
      </c>
    </row>
    <row r="57" spans="1:6" ht="15" thickBot="1">
      <c r="A57" s="1724" t="s">
        <v>904</v>
      </c>
      <c r="B57" s="1728" t="s">
        <v>1138</v>
      </c>
      <c r="C57" s="1729">
        <v>9.7000000000000003E-2</v>
      </c>
      <c r="D57" s="1729">
        <v>9.6000000000000002E-2</v>
      </c>
      <c r="E57" s="1729">
        <v>9.6000000000000002E-2</v>
      </c>
      <c r="F57" s="1730">
        <v>0.1</v>
      </c>
    </row>
    <row r="58" spans="1:6" ht="15" thickBot="1">
      <c r="A58" s="1724" t="s">
        <v>904</v>
      </c>
      <c r="B58" s="1728" t="s">
        <v>1148</v>
      </c>
      <c r="C58" s="1729">
        <v>9.6000000000000002E-2</v>
      </c>
      <c r="D58" s="1729">
        <v>9.9000000000000005E-2</v>
      </c>
      <c r="E58" s="1729">
        <v>9.6000000000000002E-2</v>
      </c>
      <c r="F58" s="1730">
        <v>0.1</v>
      </c>
    </row>
    <row r="59" spans="1:6" ht="15" thickBot="1">
      <c r="A59" s="1724" t="s">
        <v>904</v>
      </c>
      <c r="B59" s="1728" t="s">
        <v>1158</v>
      </c>
      <c r="C59" s="1729">
        <v>7.1999999999999995E-2</v>
      </c>
      <c r="D59" s="1729">
        <v>9.6000000000000002E-2</v>
      </c>
      <c r="E59" s="1729">
        <v>7.0999999999999994E-2</v>
      </c>
      <c r="F59" s="1730">
        <v>0.1</v>
      </c>
    </row>
    <row r="60" spans="1:6" ht="15" thickBot="1">
      <c r="A60" s="1724" t="s">
        <v>904</v>
      </c>
      <c r="B60" s="1728" t="s">
        <v>1168</v>
      </c>
      <c r="C60" s="1729">
        <v>9.6000000000000002E-2</v>
      </c>
      <c r="D60" s="1729">
        <v>8.8999999999999996E-2</v>
      </c>
      <c r="E60" s="1729">
        <v>9.6000000000000002E-2</v>
      </c>
      <c r="F60" s="1730">
        <v>0.1</v>
      </c>
    </row>
    <row r="61" spans="1:6" ht="15" thickBot="1">
      <c r="A61" s="1724" t="s">
        <v>904</v>
      </c>
      <c r="B61" s="1728" t="s">
        <v>1178</v>
      </c>
      <c r="C61" s="1729">
        <v>8.8999999999999996E-2</v>
      </c>
      <c r="D61" s="1729">
        <v>9.8000000000000004E-2</v>
      </c>
      <c r="E61" s="1729">
        <v>8.7999999999999995E-2</v>
      </c>
      <c r="F61" s="1737"/>
    </row>
    <row r="62" spans="1:6" ht="15" thickBot="1">
      <c r="A62" s="1724" t="s">
        <v>904</v>
      </c>
      <c r="B62" s="1728" t="s">
        <v>1188</v>
      </c>
      <c r="C62" s="1729">
        <v>9.8000000000000004E-2</v>
      </c>
      <c r="D62" s="1729">
        <v>9.2999999999999999E-2</v>
      </c>
      <c r="E62" s="1729">
        <v>9.7000000000000003E-2</v>
      </c>
      <c r="F62" s="1737"/>
    </row>
    <row r="63" spans="1:6" ht="15" thickBot="1">
      <c r="A63" s="1724" t="s">
        <v>904</v>
      </c>
      <c r="B63" s="1728" t="s">
        <v>1198</v>
      </c>
      <c r="C63" s="1729">
        <v>9.6000000000000002E-2</v>
      </c>
      <c r="D63" s="1729">
        <v>9.8000000000000004E-2</v>
      </c>
      <c r="E63" s="1729">
        <v>0.09</v>
      </c>
      <c r="F63" s="1737"/>
    </row>
    <row r="64" spans="1:6" ht="15" thickBot="1">
      <c r="A64" s="1724" t="s">
        <v>904</v>
      </c>
      <c r="B64" s="1728" t="s">
        <v>1208</v>
      </c>
      <c r="C64" s="1729">
        <v>9.9000000000000005E-2</v>
      </c>
      <c r="D64" s="1729">
        <v>9.7000000000000003E-2</v>
      </c>
      <c r="E64" s="1729">
        <v>9.9000000000000005E-2</v>
      </c>
      <c r="F64" s="1737"/>
    </row>
    <row r="65" spans="1:6" ht="15" thickBot="1">
      <c r="A65" s="1724" t="s">
        <v>904</v>
      </c>
      <c r="B65" s="1728" t="s">
        <v>1218</v>
      </c>
      <c r="C65" s="1729">
        <v>9.8000000000000004E-2</v>
      </c>
      <c r="D65" s="1729">
        <v>9.6000000000000002E-2</v>
      </c>
      <c r="E65" s="1729">
        <v>9.6000000000000002E-2</v>
      </c>
      <c r="F65" s="1737"/>
    </row>
    <row r="66" spans="1:6" ht="15" thickBot="1">
      <c r="A66" s="1724" t="s">
        <v>904</v>
      </c>
      <c r="B66" s="1728" t="s">
        <v>1228</v>
      </c>
      <c r="C66" s="1729">
        <v>9.6000000000000002E-2</v>
      </c>
      <c r="D66" s="1729">
        <v>9.1999999999999998E-2</v>
      </c>
      <c r="E66" s="1729">
        <v>9.6000000000000002E-2</v>
      </c>
      <c r="F66" s="1737"/>
    </row>
    <row r="67" spans="1:6" ht="15" thickBot="1">
      <c r="A67" s="1724" t="s">
        <v>904</v>
      </c>
      <c r="B67" s="1728" t="s">
        <v>1238</v>
      </c>
      <c r="C67" s="1729">
        <v>9.4E-2</v>
      </c>
      <c r="D67" s="1729">
        <v>0.1</v>
      </c>
      <c r="E67" s="1729">
        <v>8.7999999999999995E-2</v>
      </c>
      <c r="F67" s="1737"/>
    </row>
    <row r="68" spans="1:6" ht="15" thickBot="1">
      <c r="A68" s="1724" t="s">
        <v>904</v>
      </c>
      <c r="B68" s="1728" t="s">
        <v>1247</v>
      </c>
      <c r="C68" s="1729">
        <v>0.1</v>
      </c>
      <c r="D68" s="1729">
        <v>8.7999999999999995E-2</v>
      </c>
      <c r="E68" s="1729">
        <v>9.7000000000000003E-2</v>
      </c>
      <c r="F68" s="1737"/>
    </row>
    <row r="69" spans="1:6" ht="15" thickBot="1">
      <c r="A69" s="1724" t="s">
        <v>904</v>
      </c>
      <c r="B69" s="1728" t="s">
        <v>1256</v>
      </c>
      <c r="C69" s="1729">
        <v>6.4000000000000001E-2</v>
      </c>
      <c r="D69" s="1729">
        <v>0.1</v>
      </c>
      <c r="E69" s="1729">
        <v>0.1</v>
      </c>
      <c r="F69" s="1737"/>
    </row>
    <row r="70" spans="1:6" ht="15" thickBot="1">
      <c r="A70" s="1724" t="s">
        <v>904</v>
      </c>
      <c r="B70" s="1728" t="s">
        <v>1264</v>
      </c>
      <c r="C70" s="1729">
        <v>9.0999999999999998E-2</v>
      </c>
      <c r="D70" s="1738"/>
      <c r="E70" s="1738"/>
      <c r="F70" s="1737"/>
    </row>
    <row r="71" spans="1:6" ht="15" thickBot="1">
      <c r="A71" s="1724" t="s">
        <v>904</v>
      </c>
      <c r="B71" s="1728" t="s">
        <v>1271</v>
      </c>
      <c r="C71" s="1729">
        <v>0.1</v>
      </c>
      <c r="D71" s="1738"/>
      <c r="E71" s="1738"/>
      <c r="F71" s="1737"/>
    </row>
    <row r="72" spans="1:6" ht="24.6" thickBot="1">
      <c r="A72" s="1724" t="s">
        <v>904</v>
      </c>
      <c r="B72" s="1728" t="s">
        <v>1885</v>
      </c>
      <c r="C72" s="1738"/>
      <c r="D72" s="1738"/>
      <c r="E72" s="1738"/>
      <c r="F72" s="1730">
        <v>0.05</v>
      </c>
    </row>
    <row r="73" spans="1:6" ht="24.6" thickBot="1">
      <c r="A73" s="1724" t="s">
        <v>904</v>
      </c>
      <c r="B73" s="1728" t="s">
        <v>1886</v>
      </c>
      <c r="C73" s="1738"/>
      <c r="D73" s="1738"/>
      <c r="E73" s="1738"/>
      <c r="F73" s="1730">
        <v>0.05</v>
      </c>
    </row>
    <row r="74" spans="1:6" ht="24.6" thickBot="1">
      <c r="A74" s="1724" t="s">
        <v>904</v>
      </c>
      <c r="B74" s="1728" t="s">
        <v>1887</v>
      </c>
      <c r="C74" s="1738"/>
      <c r="D74" s="1738"/>
      <c r="E74" s="1738"/>
      <c r="F74" s="1730">
        <v>0.05</v>
      </c>
    </row>
    <row r="75" spans="1:6" ht="24.6" thickBot="1">
      <c r="A75" s="1732" t="s">
        <v>904</v>
      </c>
      <c r="B75" s="1739" t="s">
        <v>1888</v>
      </c>
      <c r="C75" s="1735"/>
      <c r="D75" s="1735"/>
      <c r="E75" s="1735"/>
      <c r="F75" s="1740">
        <v>0.05</v>
      </c>
    </row>
    <row r="76" spans="1:6" ht="15" thickBot="1">
      <c r="A76" s="1724" t="s">
        <v>1386</v>
      </c>
      <c r="B76" s="1725" t="s">
        <v>1889</v>
      </c>
      <c r="C76" s="1726">
        <v>0.1</v>
      </c>
      <c r="D76" s="1726">
        <v>0.1</v>
      </c>
      <c r="E76" s="1726">
        <v>0.1</v>
      </c>
      <c r="F76" s="1727">
        <v>0.1</v>
      </c>
    </row>
    <row r="77" spans="1:6" ht="15" thickBot="1">
      <c r="A77" s="1724" t="s">
        <v>1386</v>
      </c>
      <c r="B77" s="1728" t="s">
        <v>1053</v>
      </c>
      <c r="C77" s="1729">
        <v>8.7999999999999995E-2</v>
      </c>
      <c r="D77" s="1729">
        <v>8.6999999999999994E-2</v>
      </c>
      <c r="E77" s="1729">
        <v>7.9000000000000001E-2</v>
      </c>
      <c r="F77" s="1730">
        <v>0.1</v>
      </c>
    </row>
    <row r="78" spans="1:6" ht="15" thickBot="1">
      <c r="A78" s="1724" t="s">
        <v>1386</v>
      </c>
      <c r="B78" s="1728" t="s">
        <v>1067</v>
      </c>
      <c r="C78" s="1729">
        <v>8.6999999999999994E-2</v>
      </c>
      <c r="D78" s="1729">
        <v>8.4000000000000005E-2</v>
      </c>
      <c r="E78" s="1729">
        <v>9.6000000000000002E-2</v>
      </c>
      <c r="F78" s="1730">
        <v>0.1</v>
      </c>
    </row>
    <row r="79" spans="1:6" ht="15" thickBot="1">
      <c r="A79" s="1724" t="s">
        <v>1386</v>
      </c>
      <c r="B79" s="1728" t="s">
        <v>1080</v>
      </c>
      <c r="C79" s="1729">
        <v>9.8000000000000004E-2</v>
      </c>
      <c r="D79" s="1729">
        <v>9.8000000000000004E-2</v>
      </c>
      <c r="E79" s="1729">
        <v>9.0999999999999998E-2</v>
      </c>
      <c r="F79" s="1730">
        <v>0.1</v>
      </c>
    </row>
    <row r="80" spans="1:6" ht="15" thickBot="1">
      <c r="A80" s="1724" t="s">
        <v>1386</v>
      </c>
      <c r="B80" s="1728" t="s">
        <v>1094</v>
      </c>
      <c r="C80" s="1729">
        <v>9.6000000000000002E-2</v>
      </c>
      <c r="D80" s="1729">
        <v>9.6000000000000002E-2</v>
      </c>
      <c r="E80" s="1729">
        <v>0.1</v>
      </c>
      <c r="F80" s="1730">
        <v>0.1</v>
      </c>
    </row>
    <row r="81" spans="1:6" ht="15" thickBot="1">
      <c r="A81" s="1724" t="s">
        <v>1386</v>
      </c>
      <c r="B81" s="1728" t="s">
        <v>1105</v>
      </c>
      <c r="C81" s="1729">
        <v>9.9000000000000005E-2</v>
      </c>
      <c r="D81" s="1729">
        <v>9.9000000000000005E-2</v>
      </c>
      <c r="E81" s="1729">
        <v>9.8000000000000004E-2</v>
      </c>
      <c r="F81" s="1730">
        <v>0.1</v>
      </c>
    </row>
    <row r="82" spans="1:6" ht="15" thickBot="1">
      <c r="A82" s="1724" t="s">
        <v>1386</v>
      </c>
      <c r="B82" s="1728" t="s">
        <v>1116</v>
      </c>
      <c r="C82" s="1729">
        <v>9.9000000000000005E-2</v>
      </c>
      <c r="D82" s="1729">
        <v>9.9000000000000005E-2</v>
      </c>
      <c r="E82" s="1729">
        <v>9.7000000000000003E-2</v>
      </c>
      <c r="F82" s="1730">
        <v>0.1</v>
      </c>
    </row>
    <row r="83" spans="1:6" ht="15" thickBot="1">
      <c r="A83" s="1724" t="s">
        <v>1386</v>
      </c>
      <c r="B83" s="1728" t="s">
        <v>1127</v>
      </c>
      <c r="C83" s="1729">
        <v>9.8000000000000004E-2</v>
      </c>
      <c r="D83" s="1729">
        <v>9.8000000000000004E-2</v>
      </c>
      <c r="E83" s="1729">
        <v>9.8000000000000004E-2</v>
      </c>
      <c r="F83" s="1730">
        <v>0.1</v>
      </c>
    </row>
    <row r="84" spans="1:6" ht="15" thickBot="1">
      <c r="A84" s="1724" t="s">
        <v>1386</v>
      </c>
      <c r="B84" s="1728" t="s">
        <v>1139</v>
      </c>
      <c r="C84" s="1729">
        <v>9.9000000000000005E-2</v>
      </c>
      <c r="D84" s="1729">
        <v>9.9000000000000005E-2</v>
      </c>
      <c r="E84" s="1729">
        <v>9.9000000000000005E-2</v>
      </c>
      <c r="F84" s="1730">
        <v>0.1</v>
      </c>
    </row>
    <row r="85" spans="1:6" ht="15" thickBot="1">
      <c r="A85" s="1724" t="s">
        <v>1386</v>
      </c>
      <c r="B85" s="1728" t="s">
        <v>1149</v>
      </c>
      <c r="C85" s="1729">
        <v>9.9000000000000005E-2</v>
      </c>
      <c r="D85" s="1729">
        <v>9.9000000000000005E-2</v>
      </c>
      <c r="E85" s="1729">
        <v>9.9000000000000005E-2</v>
      </c>
      <c r="F85" s="1730">
        <v>0.1</v>
      </c>
    </row>
    <row r="86" spans="1:6" ht="15" thickBot="1">
      <c r="A86" s="1724" t="s">
        <v>1386</v>
      </c>
      <c r="B86" s="1728" t="s">
        <v>1159</v>
      </c>
      <c r="C86" s="1729">
        <v>0.1</v>
      </c>
      <c r="D86" s="1729">
        <v>0.1</v>
      </c>
      <c r="E86" s="1729">
        <v>7.6999999999999999E-2</v>
      </c>
      <c r="F86" s="1730">
        <v>0.1</v>
      </c>
    </row>
    <row r="87" spans="1:6" ht="15" thickBot="1">
      <c r="A87" s="1724" t="s">
        <v>1386</v>
      </c>
      <c r="B87" s="1728" t="s">
        <v>1169</v>
      </c>
      <c r="C87" s="1729">
        <v>0.1</v>
      </c>
      <c r="D87" s="1729">
        <v>0.1</v>
      </c>
      <c r="E87" s="1729">
        <v>9.8000000000000004E-2</v>
      </c>
      <c r="F87" s="1737"/>
    </row>
    <row r="88" spans="1:6" ht="15" thickBot="1">
      <c r="A88" s="1724" t="s">
        <v>1386</v>
      </c>
      <c r="B88" s="1728" t="s">
        <v>1179</v>
      </c>
      <c r="C88" s="1729">
        <v>9.1999999999999998E-2</v>
      </c>
      <c r="D88" s="1729">
        <v>8.5000000000000006E-2</v>
      </c>
      <c r="E88" s="1729">
        <v>9.6000000000000002E-2</v>
      </c>
      <c r="F88" s="1737"/>
    </row>
    <row r="89" spans="1:6" ht="15" thickBot="1">
      <c r="A89" s="1724" t="s">
        <v>1386</v>
      </c>
      <c r="B89" s="1728" t="s">
        <v>1189</v>
      </c>
      <c r="C89" s="1729">
        <v>0.1</v>
      </c>
      <c r="D89" s="1729">
        <v>0.1</v>
      </c>
      <c r="E89" s="1729">
        <v>9.7000000000000003E-2</v>
      </c>
      <c r="F89" s="1737"/>
    </row>
    <row r="90" spans="1:6" ht="15" thickBot="1">
      <c r="A90" s="1724" t="s">
        <v>1386</v>
      </c>
      <c r="B90" s="1728" t="s">
        <v>1199</v>
      </c>
      <c r="C90" s="1729">
        <v>9.8000000000000004E-2</v>
      </c>
      <c r="D90" s="1729">
        <v>9.8000000000000004E-2</v>
      </c>
      <c r="E90" s="1729">
        <v>8.7999999999999995E-2</v>
      </c>
      <c r="F90" s="1737"/>
    </row>
    <row r="91" spans="1:6" ht="15" thickBot="1">
      <c r="A91" s="1724" t="s">
        <v>1386</v>
      </c>
      <c r="B91" s="1728" t="s">
        <v>1209</v>
      </c>
      <c r="C91" s="1729">
        <v>9.9000000000000005E-2</v>
      </c>
      <c r="D91" s="1729">
        <v>9.9000000000000005E-2</v>
      </c>
      <c r="E91" s="1729">
        <v>9.0999999999999998E-2</v>
      </c>
      <c r="F91" s="1737"/>
    </row>
    <row r="92" spans="1:6" ht="15" thickBot="1">
      <c r="A92" s="1724" t="s">
        <v>1386</v>
      </c>
      <c r="B92" s="1728" t="s">
        <v>1219</v>
      </c>
      <c r="C92" s="1729">
        <v>9.6000000000000002E-2</v>
      </c>
      <c r="D92" s="1729">
        <v>9.6000000000000002E-2</v>
      </c>
      <c r="E92" s="1729">
        <v>7.2999999999999995E-2</v>
      </c>
      <c r="F92" s="1737"/>
    </row>
    <row r="93" spans="1:6" ht="15" thickBot="1">
      <c r="A93" s="1724" t="s">
        <v>1386</v>
      </c>
      <c r="B93" s="1728" t="s">
        <v>1229</v>
      </c>
      <c r="C93" s="1729">
        <v>9.6000000000000002E-2</v>
      </c>
      <c r="D93" s="1729">
        <v>9.6000000000000002E-2</v>
      </c>
      <c r="E93" s="1729">
        <v>9.9000000000000005E-2</v>
      </c>
      <c r="F93" s="1737"/>
    </row>
    <row r="94" spans="1:6" ht="15" thickBot="1">
      <c r="A94" s="1724" t="s">
        <v>1386</v>
      </c>
      <c r="B94" s="1728" t="s">
        <v>1239</v>
      </c>
      <c r="C94" s="1729">
        <v>7.5999999999999998E-2</v>
      </c>
      <c r="D94" s="1729">
        <v>7.3999999999999996E-2</v>
      </c>
      <c r="E94" s="1729">
        <v>9.7000000000000003E-2</v>
      </c>
      <c r="F94" s="1737"/>
    </row>
    <row r="95" spans="1:6" ht="15" thickBot="1">
      <c r="A95" s="1724" t="s">
        <v>1386</v>
      </c>
      <c r="B95" s="1728" t="s">
        <v>1248</v>
      </c>
      <c r="C95" s="1729">
        <v>9.9000000000000005E-2</v>
      </c>
      <c r="D95" s="1729">
        <v>9.4E-2</v>
      </c>
      <c r="E95" s="1729">
        <v>9.6000000000000002E-2</v>
      </c>
      <c r="F95" s="1737"/>
    </row>
    <row r="96" spans="1:6" ht="15" thickBot="1">
      <c r="A96" s="1724" t="s">
        <v>1386</v>
      </c>
      <c r="B96" s="1728" t="s">
        <v>1257</v>
      </c>
      <c r="C96" s="1729">
        <v>9.9000000000000005E-2</v>
      </c>
      <c r="D96" s="1729">
        <v>9.9000000000000005E-2</v>
      </c>
      <c r="E96" s="1729">
        <v>9.9000000000000005E-2</v>
      </c>
      <c r="F96" s="1737"/>
    </row>
    <row r="97" spans="1:6" ht="15" thickBot="1">
      <c r="A97" s="1724" t="s">
        <v>1386</v>
      </c>
      <c r="B97" s="1728" t="s">
        <v>1265</v>
      </c>
      <c r="C97" s="1729">
        <v>9.8000000000000004E-2</v>
      </c>
      <c r="D97" s="1729">
        <v>9.8000000000000004E-2</v>
      </c>
      <c r="E97" s="1729">
        <v>9.7000000000000003E-2</v>
      </c>
      <c r="F97" s="1737"/>
    </row>
    <row r="98" spans="1:6" ht="15" thickBot="1">
      <c r="A98" s="1724" t="s">
        <v>1386</v>
      </c>
      <c r="B98" s="1728" t="s">
        <v>1272</v>
      </c>
      <c r="C98" s="1729">
        <v>0.1</v>
      </c>
      <c r="D98" s="1729">
        <v>0.1</v>
      </c>
      <c r="E98" s="1729">
        <v>9.7000000000000003E-2</v>
      </c>
      <c r="F98" s="1737"/>
    </row>
    <row r="99" spans="1:6" ht="15" thickBot="1">
      <c r="A99" s="1724" t="s">
        <v>1386</v>
      </c>
      <c r="B99" s="1728" t="s">
        <v>1279</v>
      </c>
      <c r="C99" s="1729">
        <v>0.1</v>
      </c>
      <c r="D99" s="1729">
        <v>0.1</v>
      </c>
      <c r="E99" s="1738"/>
      <c r="F99" s="1737"/>
    </row>
    <row r="100" spans="1:6" ht="15" thickBot="1">
      <c r="A100" s="1724" t="s">
        <v>1386</v>
      </c>
      <c r="B100" s="1728" t="s">
        <v>1286</v>
      </c>
      <c r="C100" s="1729">
        <v>0.09</v>
      </c>
      <c r="D100" s="1729">
        <v>8.8999999999999996E-2</v>
      </c>
      <c r="E100" s="1738"/>
      <c r="F100" s="1737"/>
    </row>
    <row r="101" spans="1:6" ht="15" thickBot="1">
      <c r="A101" s="1724" t="s">
        <v>1386</v>
      </c>
      <c r="B101" s="1728" t="s">
        <v>1293</v>
      </c>
      <c r="C101" s="1729">
        <v>9.8000000000000004E-2</v>
      </c>
      <c r="D101" s="1729">
        <v>9.7000000000000003E-2</v>
      </c>
      <c r="E101" s="1738"/>
      <c r="F101" s="1737"/>
    </row>
    <row r="102" spans="1:6" ht="24.6" thickBot="1">
      <c r="A102" s="1724" t="s">
        <v>1386</v>
      </c>
      <c r="B102" s="1728" t="s">
        <v>1890</v>
      </c>
      <c r="C102" s="1738"/>
      <c r="D102" s="1738"/>
      <c r="E102" s="1738"/>
      <c r="F102" s="1730">
        <v>0.05</v>
      </c>
    </row>
    <row r="103" spans="1:6" ht="24.6" thickBot="1">
      <c r="A103" s="1724" t="s">
        <v>1386</v>
      </c>
      <c r="B103" s="1728" t="s">
        <v>1891</v>
      </c>
      <c r="C103" s="1738"/>
      <c r="D103" s="1738"/>
      <c r="E103" s="1738"/>
      <c r="F103" s="1730">
        <v>0.05</v>
      </c>
    </row>
    <row r="104" spans="1:6" ht="15" thickBot="1">
      <c r="A104" s="1724" t="s">
        <v>1386</v>
      </c>
      <c r="B104" s="1728" t="s">
        <v>1892</v>
      </c>
      <c r="C104" s="1738"/>
      <c r="D104" s="1738"/>
      <c r="E104" s="1738"/>
      <c r="F104" s="1730">
        <v>0.05</v>
      </c>
    </row>
    <row r="105" spans="1:6" ht="24.6" thickBot="1">
      <c r="A105" s="1724" t="s">
        <v>1386</v>
      </c>
      <c r="B105" s="1728" t="s">
        <v>1893</v>
      </c>
      <c r="C105" s="1738"/>
      <c r="D105" s="1738"/>
      <c r="E105" s="1738"/>
      <c r="F105" s="1730">
        <v>0.05</v>
      </c>
    </row>
    <row r="106" spans="1:6" ht="24.6" thickBot="1">
      <c r="A106" s="1724" t="s">
        <v>1386</v>
      </c>
      <c r="B106" s="1728" t="s">
        <v>1894</v>
      </c>
      <c r="C106" s="1738"/>
      <c r="D106" s="1738"/>
      <c r="E106" s="1738"/>
      <c r="F106" s="1730">
        <v>0.05</v>
      </c>
    </row>
    <row r="107" spans="1:6" ht="24.6" thickBot="1">
      <c r="A107" s="1724" t="s">
        <v>1386</v>
      </c>
      <c r="B107" s="1728" t="s">
        <v>1895</v>
      </c>
      <c r="C107" s="1738"/>
      <c r="D107" s="1738"/>
      <c r="E107" s="1738"/>
      <c r="F107" s="1730">
        <v>0.05</v>
      </c>
    </row>
    <row r="108" spans="1:6" ht="24.6" thickBot="1">
      <c r="A108" s="1724" t="s">
        <v>1386</v>
      </c>
      <c r="B108" s="1728" t="s">
        <v>1896</v>
      </c>
      <c r="C108" s="1738"/>
      <c r="D108" s="1738"/>
      <c r="E108" s="1738"/>
      <c r="F108" s="1730">
        <v>0.05</v>
      </c>
    </row>
    <row r="109" spans="1:6" ht="24.6" thickBot="1">
      <c r="A109" s="1732" t="s">
        <v>1386</v>
      </c>
      <c r="B109" s="1739" t="s">
        <v>1897</v>
      </c>
      <c r="C109" s="1735"/>
      <c r="D109" s="1735"/>
      <c r="E109" s="1735"/>
      <c r="F109" s="1740">
        <v>0.05</v>
      </c>
    </row>
    <row r="110" spans="1:6" ht="15" thickBot="1">
      <c r="A110" s="1724" t="s">
        <v>1388</v>
      </c>
      <c r="B110" s="1725" t="s">
        <v>1898</v>
      </c>
      <c r="C110" s="1726">
        <v>0.129</v>
      </c>
      <c r="D110" s="1726">
        <v>0.129</v>
      </c>
      <c r="E110" s="1726">
        <v>0.126</v>
      </c>
      <c r="F110" s="1727">
        <v>0.13</v>
      </c>
    </row>
    <row r="111" spans="1:6" ht="15" thickBot="1">
      <c r="A111" s="1724" t="s">
        <v>1388</v>
      </c>
      <c r="B111" s="1728" t="s">
        <v>1054</v>
      </c>
      <c r="C111" s="1729">
        <v>0.11</v>
      </c>
      <c r="D111" s="1729">
        <v>0.11</v>
      </c>
      <c r="E111" s="1729">
        <v>9.9000000000000005E-2</v>
      </c>
      <c r="F111" s="1730">
        <v>0.128</v>
      </c>
    </row>
    <row r="112" spans="1:6" ht="15" thickBot="1">
      <c r="A112" s="1724" t="s">
        <v>1388</v>
      </c>
      <c r="B112" s="1728" t="s">
        <v>1068</v>
      </c>
      <c r="C112" s="1729">
        <v>0.125</v>
      </c>
      <c r="D112" s="1729">
        <v>0.125</v>
      </c>
      <c r="E112" s="1729">
        <v>0.12</v>
      </c>
      <c r="F112" s="1730">
        <v>0.125</v>
      </c>
    </row>
    <row r="113" spans="1:6" ht="15" thickBot="1">
      <c r="A113" s="1724" t="s">
        <v>1388</v>
      </c>
      <c r="B113" s="1728" t="s">
        <v>1081</v>
      </c>
      <c r="C113" s="1729">
        <v>0.13</v>
      </c>
      <c r="D113" s="1729">
        <v>0.13</v>
      </c>
      <c r="E113" s="1729">
        <v>0.13</v>
      </c>
      <c r="F113" s="1730">
        <v>0.13</v>
      </c>
    </row>
    <row r="114" spans="1:6" ht="15" thickBot="1">
      <c r="A114" s="1724" t="s">
        <v>1388</v>
      </c>
      <c r="B114" s="1728" t="s">
        <v>1095</v>
      </c>
      <c r="C114" s="1729">
        <v>0.123</v>
      </c>
      <c r="D114" s="1729">
        <v>0.123</v>
      </c>
      <c r="E114" s="1729">
        <v>0.12</v>
      </c>
      <c r="F114" s="1730">
        <v>0.13</v>
      </c>
    </row>
    <row r="115" spans="1:6" ht="15" thickBot="1">
      <c r="A115" s="1724" t="s">
        <v>1388</v>
      </c>
      <c r="B115" s="1728" t="s">
        <v>1106</v>
      </c>
      <c r="C115" s="1729">
        <v>0.125</v>
      </c>
      <c r="D115" s="1729">
        <v>0.125</v>
      </c>
      <c r="E115" s="1729">
        <v>0.11700000000000001</v>
      </c>
      <c r="F115" s="1730">
        <v>0.13</v>
      </c>
    </row>
    <row r="116" spans="1:6" ht="15" thickBot="1">
      <c r="A116" s="1724" t="s">
        <v>1388</v>
      </c>
      <c r="B116" s="1728" t="s">
        <v>1117</v>
      </c>
      <c r="C116" s="1729">
        <v>0.11700000000000001</v>
      </c>
      <c r="D116" s="1729">
        <v>0.11700000000000001</v>
      </c>
      <c r="E116" s="1729">
        <v>8.7999999999999995E-2</v>
      </c>
      <c r="F116" s="1730">
        <v>0.13</v>
      </c>
    </row>
    <row r="117" spans="1:6" ht="15" thickBot="1">
      <c r="A117" s="1724" t="s">
        <v>1388</v>
      </c>
      <c r="B117" s="1728" t="s">
        <v>1128</v>
      </c>
      <c r="C117" s="1729">
        <v>0.13</v>
      </c>
      <c r="D117" s="1729">
        <v>0.13</v>
      </c>
      <c r="E117" s="1729">
        <v>0.129</v>
      </c>
      <c r="F117" s="1730">
        <v>0.13</v>
      </c>
    </row>
    <row r="118" spans="1:6" ht="15" thickBot="1">
      <c r="A118" s="1724" t="s">
        <v>1388</v>
      </c>
      <c r="B118" s="1728" t="s">
        <v>1140</v>
      </c>
      <c r="C118" s="1729">
        <v>0.123</v>
      </c>
      <c r="D118" s="1729">
        <v>0.123</v>
      </c>
      <c r="E118" s="1729">
        <v>0.11600000000000001</v>
      </c>
      <c r="F118" s="1730">
        <v>0.13</v>
      </c>
    </row>
    <row r="119" spans="1:6" ht="15" thickBot="1">
      <c r="A119" s="1724" t="s">
        <v>1388</v>
      </c>
      <c r="B119" s="1728" t="s">
        <v>1150</v>
      </c>
      <c r="C119" s="1729">
        <v>0.127</v>
      </c>
      <c r="D119" s="1729">
        <v>0.127</v>
      </c>
      <c r="E119" s="1729">
        <v>0.124</v>
      </c>
      <c r="F119" s="1730">
        <v>0.13</v>
      </c>
    </row>
    <row r="120" spans="1:6" ht="15" thickBot="1">
      <c r="A120" s="1724" t="s">
        <v>1388</v>
      </c>
      <c r="B120" s="1728" t="s">
        <v>1160</v>
      </c>
      <c r="C120" s="1729">
        <v>0.125</v>
      </c>
      <c r="D120" s="1729">
        <v>0.125</v>
      </c>
      <c r="E120" s="1729">
        <v>0.122</v>
      </c>
      <c r="F120" s="1730">
        <v>0.13</v>
      </c>
    </row>
    <row r="121" spans="1:6" ht="15" thickBot="1">
      <c r="A121" s="1724" t="s">
        <v>1388</v>
      </c>
      <c r="B121" s="1728" t="s">
        <v>1170</v>
      </c>
      <c r="C121" s="1729">
        <v>0.13</v>
      </c>
      <c r="D121" s="1729">
        <v>0.13</v>
      </c>
      <c r="E121" s="1729">
        <v>0.13</v>
      </c>
      <c r="F121" s="1730">
        <v>0.13</v>
      </c>
    </row>
    <row r="122" spans="1:6" ht="15" thickBot="1">
      <c r="A122" s="1724" t="s">
        <v>1388</v>
      </c>
      <c r="B122" s="1728" t="s">
        <v>1180</v>
      </c>
      <c r="C122" s="1729">
        <v>0.13</v>
      </c>
      <c r="D122" s="1729">
        <v>0.13</v>
      </c>
      <c r="E122" s="1729">
        <v>0.125</v>
      </c>
      <c r="F122" s="1730">
        <v>0.13</v>
      </c>
    </row>
    <row r="123" spans="1:6" ht="15" thickBot="1">
      <c r="A123" s="1724" t="s">
        <v>1388</v>
      </c>
      <c r="B123" s="1728" t="s">
        <v>1190</v>
      </c>
      <c r="C123" s="1729">
        <v>0.129</v>
      </c>
      <c r="D123" s="1729">
        <v>0.129</v>
      </c>
      <c r="E123" s="1729">
        <v>0.123</v>
      </c>
      <c r="F123" s="1730">
        <v>0.13</v>
      </c>
    </row>
    <row r="124" spans="1:6" ht="15" thickBot="1">
      <c r="A124" s="1724" t="s">
        <v>1388</v>
      </c>
      <c r="B124" s="1728" t="s">
        <v>1200</v>
      </c>
      <c r="C124" s="1729">
        <v>0.10199999999999999</v>
      </c>
      <c r="D124" s="1729">
        <v>0.10100000000000001</v>
      </c>
      <c r="E124" s="1729">
        <v>0.08</v>
      </c>
      <c r="F124" s="1737"/>
    </row>
    <row r="125" spans="1:6" ht="15" thickBot="1">
      <c r="A125" s="1724" t="s">
        <v>1388</v>
      </c>
      <c r="B125" s="1728" t="s">
        <v>1210</v>
      </c>
      <c r="C125" s="1729">
        <v>0.13</v>
      </c>
      <c r="D125" s="1729">
        <v>0.13</v>
      </c>
      <c r="E125" s="1729">
        <v>0.129</v>
      </c>
      <c r="F125" s="1737"/>
    </row>
    <row r="126" spans="1:6" ht="15" thickBot="1">
      <c r="A126" s="1724" t="s">
        <v>1388</v>
      </c>
      <c r="B126" s="1728" t="s">
        <v>1220</v>
      </c>
      <c r="C126" s="1729">
        <v>0.13</v>
      </c>
      <c r="D126" s="1729">
        <v>0.13</v>
      </c>
      <c r="E126" s="1729">
        <v>0.126</v>
      </c>
      <c r="F126" s="1737"/>
    </row>
    <row r="127" spans="1:6" ht="15" thickBot="1">
      <c r="A127" s="1724" t="s">
        <v>1388</v>
      </c>
      <c r="B127" s="1728" t="s">
        <v>1230</v>
      </c>
      <c r="C127" s="1729">
        <v>0.125</v>
      </c>
      <c r="D127" s="1729">
        <v>0.125</v>
      </c>
      <c r="E127" s="1729">
        <v>0.121</v>
      </c>
      <c r="F127" s="1737"/>
    </row>
    <row r="128" spans="1:6" ht="15" thickBot="1">
      <c r="A128" s="1724" t="s">
        <v>1388</v>
      </c>
      <c r="B128" s="1728" t="s">
        <v>1240</v>
      </c>
      <c r="C128" s="1729">
        <v>0.12</v>
      </c>
      <c r="D128" s="1729">
        <v>0.12</v>
      </c>
      <c r="E128" s="1729">
        <v>0.105</v>
      </c>
      <c r="F128" s="1737"/>
    </row>
    <row r="129" spans="1:6" ht="15" thickBot="1">
      <c r="A129" s="1724" t="s">
        <v>1388</v>
      </c>
      <c r="B129" s="1728" t="s">
        <v>1249</v>
      </c>
      <c r="C129" s="1729">
        <v>0.13</v>
      </c>
      <c r="D129" s="1729">
        <v>0.13</v>
      </c>
      <c r="E129" s="1729">
        <v>0.126</v>
      </c>
      <c r="F129" s="1737"/>
    </row>
    <row r="130" spans="1:6" ht="15" thickBot="1">
      <c r="A130" s="1724" t="s">
        <v>1388</v>
      </c>
      <c r="B130" s="1728" t="s">
        <v>1258</v>
      </c>
      <c r="C130" s="1729">
        <v>0.125</v>
      </c>
      <c r="D130" s="1729">
        <v>0.125</v>
      </c>
      <c r="E130" s="1729">
        <v>0.122</v>
      </c>
      <c r="F130" s="1737"/>
    </row>
    <row r="131" spans="1:6" ht="15" thickBot="1">
      <c r="A131" s="1724" t="s">
        <v>1388</v>
      </c>
      <c r="B131" s="1728" t="s">
        <v>1266</v>
      </c>
      <c r="C131" s="1729">
        <v>0.127</v>
      </c>
      <c r="D131" s="1729">
        <v>0.126</v>
      </c>
      <c r="E131" s="1729">
        <v>0.123</v>
      </c>
      <c r="F131" s="1737"/>
    </row>
    <row r="132" spans="1:6" ht="15" thickBot="1">
      <c r="A132" s="1724" t="s">
        <v>1388</v>
      </c>
      <c r="B132" s="1728" t="s">
        <v>1273</v>
      </c>
      <c r="C132" s="1729">
        <v>9.0999999999999998E-2</v>
      </c>
      <c r="D132" s="1729">
        <v>0.121</v>
      </c>
      <c r="E132" s="1729">
        <v>9.9000000000000005E-2</v>
      </c>
      <c r="F132" s="1737"/>
    </row>
    <row r="133" spans="1:6" ht="15" thickBot="1">
      <c r="A133" s="1724" t="s">
        <v>1388</v>
      </c>
      <c r="B133" s="1728" t="s">
        <v>1280</v>
      </c>
      <c r="C133" s="1729">
        <v>0.13</v>
      </c>
      <c r="D133" s="1729">
        <v>0.13</v>
      </c>
      <c r="E133" s="1729">
        <v>0.129</v>
      </c>
      <c r="F133" s="1737"/>
    </row>
    <row r="134" spans="1:6" ht="15" thickBot="1">
      <c r="A134" s="1724" t="s">
        <v>1388</v>
      </c>
      <c r="B134" s="1728" t="s">
        <v>1899</v>
      </c>
      <c r="C134" s="1729">
        <v>6.8000000000000005E-2</v>
      </c>
      <c r="D134" s="1729">
        <v>6.5000000000000002E-2</v>
      </c>
      <c r="E134" s="1729">
        <v>6.5000000000000002E-2</v>
      </c>
      <c r="F134" s="1730">
        <v>0.13</v>
      </c>
    </row>
    <row r="135" spans="1:6" ht="15" thickBot="1">
      <c r="A135" s="1724" t="s">
        <v>1388</v>
      </c>
      <c r="B135" s="1728" t="s">
        <v>1294</v>
      </c>
      <c r="C135" s="1729">
        <v>0.123</v>
      </c>
      <c r="D135" s="1729">
        <v>0.123</v>
      </c>
      <c r="E135" s="1729">
        <v>0.11</v>
      </c>
      <c r="F135" s="1737"/>
    </row>
    <row r="136" spans="1:6" ht="15" thickBot="1">
      <c r="A136" s="1724" t="s">
        <v>1388</v>
      </c>
      <c r="B136" s="1728" t="s">
        <v>1301</v>
      </c>
      <c r="C136" s="1729">
        <v>0.13</v>
      </c>
      <c r="D136" s="1729">
        <v>0.13</v>
      </c>
      <c r="E136" s="1729">
        <v>0.125</v>
      </c>
      <c r="F136" s="1737"/>
    </row>
    <row r="137" spans="1:6" ht="15" thickBot="1">
      <c r="A137" s="1724" t="s">
        <v>1388</v>
      </c>
      <c r="B137" s="1728" t="s">
        <v>1308</v>
      </c>
      <c r="C137" s="1729">
        <v>0.121</v>
      </c>
      <c r="D137" s="1729">
        <v>0.122</v>
      </c>
      <c r="E137" s="1729">
        <v>0.115</v>
      </c>
      <c r="F137" s="1737"/>
    </row>
    <row r="138" spans="1:6" ht="15" thickBot="1">
      <c r="A138" s="1724" t="s">
        <v>1388</v>
      </c>
      <c r="B138" s="1728" t="s">
        <v>1900</v>
      </c>
      <c r="C138" s="1729">
        <v>0.105</v>
      </c>
      <c r="D138" s="1729">
        <v>0.125</v>
      </c>
      <c r="E138" s="1729">
        <v>0.112</v>
      </c>
      <c r="F138" s="1737"/>
    </row>
    <row r="139" spans="1:6" ht="15" thickBot="1">
      <c r="A139" s="1724" t="s">
        <v>1388</v>
      </c>
      <c r="B139" s="1728" t="s">
        <v>1901</v>
      </c>
      <c r="C139" s="1729">
        <v>0.127</v>
      </c>
      <c r="D139" s="1729">
        <v>0.127</v>
      </c>
      <c r="E139" s="1729">
        <v>0.122</v>
      </c>
      <c r="F139" s="1730">
        <v>0.13</v>
      </c>
    </row>
    <row r="140" spans="1:6" ht="15" thickBot="1">
      <c r="A140" s="1724" t="s">
        <v>1388</v>
      </c>
      <c r="B140" s="1728" t="s">
        <v>1902</v>
      </c>
      <c r="C140" s="1729">
        <v>0.125</v>
      </c>
      <c r="D140" s="1729">
        <v>0.125</v>
      </c>
      <c r="E140" s="1729">
        <v>0.11899999999999999</v>
      </c>
      <c r="F140" s="1730">
        <v>0.13</v>
      </c>
    </row>
    <row r="141" spans="1:6" ht="15" thickBot="1">
      <c r="A141" s="1724" t="s">
        <v>1388</v>
      </c>
      <c r="B141" s="1728" t="s">
        <v>1327</v>
      </c>
      <c r="C141" s="1729">
        <v>0.125</v>
      </c>
      <c r="D141" s="1729">
        <v>0.125</v>
      </c>
      <c r="E141" s="1729">
        <v>0.11700000000000001</v>
      </c>
      <c r="F141" s="1737"/>
    </row>
    <row r="142" spans="1:6" ht="15" thickBot="1">
      <c r="A142" s="1724" t="s">
        <v>1388</v>
      </c>
      <c r="B142" s="1728" t="s">
        <v>1332</v>
      </c>
      <c r="C142" s="1729">
        <v>0.125</v>
      </c>
      <c r="D142" s="1729">
        <v>0.125</v>
      </c>
      <c r="E142" s="1729">
        <v>0.115</v>
      </c>
      <c r="F142" s="1737"/>
    </row>
    <row r="143" spans="1:6" ht="15" thickBot="1">
      <c r="A143" s="1724" t="s">
        <v>1388</v>
      </c>
      <c r="B143" s="1728" t="s">
        <v>1337</v>
      </c>
      <c r="C143" s="1729">
        <v>0.121</v>
      </c>
      <c r="D143" s="1729">
        <v>0.121</v>
      </c>
      <c r="E143" s="1729">
        <v>0.108</v>
      </c>
      <c r="F143" s="1737"/>
    </row>
    <row r="144" spans="1:6" ht="15" thickBot="1">
      <c r="A144" s="1724" t="s">
        <v>1388</v>
      </c>
      <c r="B144" s="1741" t="s">
        <v>1903</v>
      </c>
      <c r="C144" s="1742">
        <v>0.126</v>
      </c>
      <c r="D144" s="1742">
        <v>0.126</v>
      </c>
      <c r="E144" s="1742">
        <v>0.121</v>
      </c>
      <c r="F144" s="1737"/>
    </row>
    <row r="145" spans="1:6" ht="15" thickBot="1">
      <c r="A145" s="1732" t="s">
        <v>1388</v>
      </c>
      <c r="B145" s="1743" t="s">
        <v>1904</v>
      </c>
      <c r="C145" s="1744"/>
      <c r="D145" s="1744"/>
      <c r="E145" s="1744"/>
      <c r="F145" s="1745">
        <v>0.05</v>
      </c>
    </row>
    <row r="146" spans="1:6" ht="24.6" thickBot="1">
      <c r="A146" s="1746" t="s">
        <v>1388</v>
      </c>
      <c r="B146" s="1731" t="s">
        <v>1905</v>
      </c>
      <c r="C146" s="1738"/>
      <c r="D146" s="1738"/>
      <c r="E146" s="1738"/>
      <c r="F146" s="1747">
        <v>0.05</v>
      </c>
    </row>
    <row r="147" spans="1:6" ht="24.6" thickBot="1">
      <c r="A147" s="1724" t="s">
        <v>1388</v>
      </c>
      <c r="B147" s="1728" t="s">
        <v>1906</v>
      </c>
      <c r="C147" s="1738"/>
      <c r="D147" s="1738"/>
      <c r="E147" s="1738"/>
      <c r="F147" s="1730">
        <v>0.05</v>
      </c>
    </row>
    <row r="148" spans="1:6" ht="24.6" thickBot="1">
      <c r="A148" s="1724" t="s">
        <v>1388</v>
      </c>
      <c r="B148" s="1728" t="s">
        <v>1907</v>
      </c>
      <c r="C148" s="1738"/>
      <c r="D148" s="1738"/>
      <c r="E148" s="1738"/>
      <c r="F148" s="1730">
        <v>0.05</v>
      </c>
    </row>
    <row r="149" spans="1:6" ht="24.6" thickBot="1">
      <c r="A149" s="1724" t="s">
        <v>1388</v>
      </c>
      <c r="B149" s="1728" t="s">
        <v>1908</v>
      </c>
      <c r="C149" s="1738"/>
      <c r="D149" s="1738"/>
      <c r="E149" s="1738"/>
      <c r="F149" s="1730">
        <v>0.05</v>
      </c>
    </row>
    <row r="150" spans="1:6" ht="24.6" thickBot="1">
      <c r="A150" s="1724" t="s">
        <v>1388</v>
      </c>
      <c r="B150" s="1728" t="s">
        <v>1909</v>
      </c>
      <c r="C150" s="1738"/>
      <c r="D150" s="1738"/>
      <c r="E150" s="1738"/>
      <c r="F150" s="1730">
        <v>0.05</v>
      </c>
    </row>
    <row r="151" spans="1:6" ht="24.6" thickBot="1">
      <c r="A151" s="1724" t="s">
        <v>1388</v>
      </c>
      <c r="B151" s="1728" t="s">
        <v>1910</v>
      </c>
      <c r="C151" s="1738"/>
      <c r="D151" s="1738"/>
      <c r="E151" s="1738"/>
      <c r="F151" s="1730">
        <v>0.05</v>
      </c>
    </row>
    <row r="152" spans="1:6" ht="24.6" thickBot="1">
      <c r="A152" s="1724" t="s">
        <v>1388</v>
      </c>
      <c r="B152" s="1728" t="s">
        <v>1370</v>
      </c>
      <c r="C152" s="1738"/>
      <c r="D152" s="1738"/>
      <c r="E152" s="1738"/>
      <c r="F152" s="1730">
        <v>0.05</v>
      </c>
    </row>
    <row r="153" spans="1:6" ht="15" thickBot="1">
      <c r="A153" s="1724" t="s">
        <v>1388</v>
      </c>
      <c r="B153" s="1728" t="s">
        <v>1911</v>
      </c>
      <c r="C153" s="1738"/>
      <c r="D153" s="1738"/>
      <c r="E153" s="1738"/>
      <c r="F153" s="1730">
        <v>0.05</v>
      </c>
    </row>
    <row r="154" spans="1:6" ht="15" thickBot="1">
      <c r="A154" s="1724" t="s">
        <v>1388</v>
      </c>
      <c r="B154" s="1728" t="s">
        <v>1912</v>
      </c>
      <c r="C154" s="1738"/>
      <c r="D154" s="1738"/>
      <c r="E154" s="1738"/>
      <c r="F154" s="1730">
        <v>0.05</v>
      </c>
    </row>
    <row r="155" spans="1:6" ht="24.6" thickBot="1">
      <c r="A155" s="1724" t="s">
        <v>1388</v>
      </c>
      <c r="B155" s="1728" t="s">
        <v>1913</v>
      </c>
      <c r="C155" s="1738"/>
      <c r="D155" s="1738"/>
      <c r="E155" s="1738"/>
      <c r="F155" s="1730">
        <v>0.05</v>
      </c>
    </row>
    <row r="156" spans="1:6" ht="24.6" thickBot="1">
      <c r="A156" s="1724" t="s">
        <v>1388</v>
      </c>
      <c r="B156" s="1728" t="s">
        <v>1914</v>
      </c>
      <c r="C156" s="1738"/>
      <c r="D156" s="1738"/>
      <c r="E156" s="1738"/>
      <c r="F156" s="1730">
        <v>0.05</v>
      </c>
    </row>
    <row r="157" spans="1:6" ht="24.6" thickBot="1">
      <c r="A157" s="1732" t="s">
        <v>1388</v>
      </c>
      <c r="B157" s="1739" t="s">
        <v>1915</v>
      </c>
      <c r="C157" s="1735"/>
      <c r="D157" s="1735"/>
      <c r="E157" s="1735"/>
      <c r="F157" s="1740">
        <v>0.05</v>
      </c>
    </row>
    <row r="158" spans="1:6" ht="15" thickBot="1">
      <c r="A158" s="1724" t="s">
        <v>1390</v>
      </c>
      <c r="B158" s="1725" t="s">
        <v>1916</v>
      </c>
      <c r="C158" s="1726">
        <v>0.13</v>
      </c>
      <c r="D158" s="1726">
        <v>0.13</v>
      </c>
      <c r="E158" s="1726">
        <v>0.13</v>
      </c>
      <c r="F158" s="1727">
        <v>0.13</v>
      </c>
    </row>
    <row r="159" spans="1:6" ht="15" thickBot="1">
      <c r="A159" s="1724" t="s">
        <v>1390</v>
      </c>
      <c r="B159" s="1728" t="s">
        <v>1055</v>
      </c>
      <c r="C159" s="1729">
        <v>0.13</v>
      </c>
      <c r="D159" s="1729">
        <v>0.13</v>
      </c>
      <c r="E159" s="1729">
        <v>0.13</v>
      </c>
      <c r="F159" s="1730">
        <v>0.13</v>
      </c>
    </row>
    <row r="160" spans="1:6" ht="15" thickBot="1">
      <c r="A160" s="1724" t="s">
        <v>1390</v>
      </c>
      <c r="B160" s="1728" t="s">
        <v>1069</v>
      </c>
      <c r="C160" s="1729">
        <v>0.13</v>
      </c>
      <c r="D160" s="1729">
        <v>0.13</v>
      </c>
      <c r="E160" s="1729">
        <v>0.129</v>
      </c>
      <c r="F160" s="1730">
        <v>0.13</v>
      </c>
    </row>
    <row r="161" spans="1:6" ht="15" thickBot="1">
      <c r="A161" s="1724" t="s">
        <v>1390</v>
      </c>
      <c r="B161" s="1728" t="s">
        <v>1082</v>
      </c>
      <c r="C161" s="1729">
        <v>0.128</v>
      </c>
      <c r="D161" s="1729">
        <v>0.128</v>
      </c>
      <c r="E161" s="1729">
        <v>0.125</v>
      </c>
      <c r="F161" s="1730">
        <v>0.13</v>
      </c>
    </row>
    <row r="162" spans="1:6" ht="15" thickBot="1">
      <c r="A162" s="1724" t="s">
        <v>1390</v>
      </c>
      <c r="B162" s="1728" t="s">
        <v>1096</v>
      </c>
      <c r="C162" s="1729">
        <v>0.122</v>
      </c>
      <c r="D162" s="1729">
        <v>0.122</v>
      </c>
      <c r="E162" s="1729">
        <v>0.126</v>
      </c>
      <c r="F162" s="1730">
        <v>0.122</v>
      </c>
    </row>
    <row r="163" spans="1:6" ht="15" thickBot="1">
      <c r="A163" s="1724" t="s">
        <v>1390</v>
      </c>
      <c r="B163" s="1728" t="s">
        <v>1107</v>
      </c>
      <c r="C163" s="1729">
        <v>0.13</v>
      </c>
      <c r="D163" s="1729">
        <v>0.13</v>
      </c>
      <c r="E163" s="1729">
        <v>0.125</v>
      </c>
      <c r="F163" s="1730">
        <v>0.13</v>
      </c>
    </row>
    <row r="164" spans="1:6" ht="15" thickBot="1">
      <c r="A164" s="1724" t="s">
        <v>1390</v>
      </c>
      <c r="B164" s="1728" t="s">
        <v>1118</v>
      </c>
      <c r="C164" s="1729">
        <v>0.13</v>
      </c>
      <c r="D164" s="1729">
        <v>0.13</v>
      </c>
      <c r="E164" s="1729">
        <v>0.13</v>
      </c>
      <c r="F164" s="1730">
        <v>0.13</v>
      </c>
    </row>
    <row r="165" spans="1:6" ht="15" thickBot="1">
      <c r="A165" s="1724" t="s">
        <v>1390</v>
      </c>
      <c r="B165" s="1728" t="s">
        <v>1129</v>
      </c>
      <c r="C165" s="1729">
        <v>0.13</v>
      </c>
      <c r="D165" s="1729">
        <v>0.13</v>
      </c>
      <c r="E165" s="1729">
        <v>0.124</v>
      </c>
      <c r="F165" s="1730">
        <v>0.13</v>
      </c>
    </row>
    <row r="166" spans="1:6" ht="15" thickBot="1">
      <c r="A166" s="1724" t="s">
        <v>1390</v>
      </c>
      <c r="B166" s="1728" t="s">
        <v>1141</v>
      </c>
      <c r="C166" s="1729">
        <v>0.13</v>
      </c>
      <c r="D166" s="1729">
        <v>0.13</v>
      </c>
      <c r="E166" s="1729">
        <v>0.13</v>
      </c>
      <c r="F166" s="1730">
        <v>0.13</v>
      </c>
    </row>
    <row r="167" spans="1:6" ht="15" thickBot="1">
      <c r="A167" s="1724" t="s">
        <v>1390</v>
      </c>
      <c r="B167" s="1728" t="s">
        <v>1151</v>
      </c>
      <c r="C167" s="1729">
        <v>0.125</v>
      </c>
      <c r="D167" s="1729">
        <v>0.125</v>
      </c>
      <c r="E167" s="1729">
        <v>0.121</v>
      </c>
      <c r="F167" s="1737"/>
    </row>
    <row r="168" spans="1:6" ht="15" thickBot="1">
      <c r="A168" s="1724" t="s">
        <v>1390</v>
      </c>
      <c r="B168" s="1728" t="s">
        <v>1161</v>
      </c>
      <c r="C168" s="1729">
        <v>0.13</v>
      </c>
      <c r="D168" s="1729">
        <v>0.13</v>
      </c>
      <c r="E168" s="1729">
        <v>0.126</v>
      </c>
      <c r="F168" s="1737"/>
    </row>
    <row r="169" spans="1:6" ht="15" thickBot="1">
      <c r="A169" s="1724" t="s">
        <v>1390</v>
      </c>
      <c r="B169" s="1728" t="s">
        <v>1171</v>
      </c>
      <c r="C169" s="1729">
        <v>0.128</v>
      </c>
      <c r="D169" s="1729">
        <v>0.129</v>
      </c>
      <c r="E169" s="1729">
        <v>0.13</v>
      </c>
      <c r="F169" s="1737"/>
    </row>
    <row r="170" spans="1:6" ht="15" thickBot="1">
      <c r="A170" s="1724" t="s">
        <v>1390</v>
      </c>
      <c r="B170" s="1728" t="s">
        <v>1181</v>
      </c>
      <c r="C170" s="1729">
        <v>0.14099999999999999</v>
      </c>
      <c r="D170" s="1729">
        <v>0.13</v>
      </c>
      <c r="E170" s="1729">
        <v>0.125</v>
      </c>
      <c r="F170" s="1737"/>
    </row>
    <row r="171" spans="1:6" ht="15" thickBot="1">
      <c r="A171" s="1724" t="s">
        <v>1390</v>
      </c>
      <c r="B171" s="1728" t="s">
        <v>1917</v>
      </c>
      <c r="C171" s="1729">
        <v>0.127</v>
      </c>
      <c r="D171" s="1729">
        <v>0.126</v>
      </c>
      <c r="E171" s="1729">
        <v>0.126</v>
      </c>
      <c r="F171" s="1730">
        <v>0.11799999999999999</v>
      </c>
    </row>
    <row r="172" spans="1:6" ht="15" thickBot="1">
      <c r="A172" s="1724" t="s">
        <v>1390</v>
      </c>
      <c r="B172" s="1728" t="s">
        <v>1918</v>
      </c>
      <c r="C172" s="1729">
        <v>0.13</v>
      </c>
      <c r="D172" s="1729">
        <v>0.13</v>
      </c>
      <c r="E172" s="1729">
        <v>0.13</v>
      </c>
      <c r="F172" s="1737"/>
    </row>
    <row r="173" spans="1:6" ht="15" thickBot="1">
      <c r="A173" s="1724" t="s">
        <v>1390</v>
      </c>
      <c r="B173" s="1728" t="s">
        <v>1211</v>
      </c>
      <c r="C173" s="1729">
        <v>0.13</v>
      </c>
      <c r="D173" s="1729">
        <v>0.13</v>
      </c>
      <c r="E173" s="1729">
        <v>0.13</v>
      </c>
      <c r="F173" s="1737"/>
    </row>
    <row r="174" spans="1:6" ht="15" thickBot="1">
      <c r="A174" s="1724" t="s">
        <v>1390</v>
      </c>
      <c r="B174" s="1728" t="s">
        <v>1919</v>
      </c>
      <c r="C174" s="1729">
        <v>0.13</v>
      </c>
      <c r="D174" s="1729">
        <v>0.13</v>
      </c>
      <c r="E174" s="1729">
        <v>0.13</v>
      </c>
      <c r="F174" s="1730">
        <v>0.13</v>
      </c>
    </row>
    <row r="175" spans="1:6" ht="15" thickBot="1">
      <c r="A175" s="1724" t="s">
        <v>1390</v>
      </c>
      <c r="B175" s="1728" t="s">
        <v>1920</v>
      </c>
      <c r="C175" s="1729">
        <v>0.13</v>
      </c>
      <c r="D175" s="1729">
        <v>0.13</v>
      </c>
      <c r="E175" s="1729">
        <v>0.13</v>
      </c>
      <c r="F175" s="1730">
        <v>0.13</v>
      </c>
    </row>
    <row r="176" spans="1:6" ht="15" thickBot="1">
      <c r="A176" s="1724" t="s">
        <v>1390</v>
      </c>
      <c r="B176" s="1728" t="s">
        <v>1241</v>
      </c>
      <c r="C176" s="1729">
        <v>0.13</v>
      </c>
      <c r="D176" s="1729">
        <v>0.13</v>
      </c>
      <c r="E176" s="1729">
        <v>0.13</v>
      </c>
      <c r="F176" s="1730">
        <v>0.13</v>
      </c>
    </row>
    <row r="177" spans="1:6" ht="15" thickBot="1">
      <c r="A177" s="1724" t="s">
        <v>1390</v>
      </c>
      <c r="B177" s="1728" t="s">
        <v>1921</v>
      </c>
      <c r="C177" s="1729">
        <v>0.13</v>
      </c>
      <c r="D177" s="1729">
        <v>0.13</v>
      </c>
      <c r="E177" s="1729">
        <v>0.13</v>
      </c>
      <c r="F177" s="1730">
        <v>0.13</v>
      </c>
    </row>
    <row r="178" spans="1:6" ht="15" thickBot="1">
      <c r="A178" s="1724" t="s">
        <v>1390</v>
      </c>
      <c r="B178" s="1728" t="s">
        <v>1259</v>
      </c>
      <c r="C178" s="1729">
        <v>0.13</v>
      </c>
      <c r="D178" s="1729">
        <v>0.13</v>
      </c>
      <c r="E178" s="1729">
        <v>0.13</v>
      </c>
      <c r="F178" s="1730">
        <v>0.127</v>
      </c>
    </row>
    <row r="179" spans="1:6" ht="15" thickBot="1">
      <c r="A179" s="1724" t="s">
        <v>1390</v>
      </c>
      <c r="B179" s="1728" t="s">
        <v>1267</v>
      </c>
      <c r="C179" s="1729">
        <v>0.13</v>
      </c>
      <c r="D179" s="1729">
        <v>0.13</v>
      </c>
      <c r="E179" s="1729">
        <v>0.13</v>
      </c>
      <c r="F179" s="1737"/>
    </row>
    <row r="180" spans="1:6" ht="15" thickBot="1">
      <c r="A180" s="1724" t="s">
        <v>1390</v>
      </c>
      <c r="B180" s="1728" t="s">
        <v>1922</v>
      </c>
      <c r="C180" s="1729">
        <v>0.13</v>
      </c>
      <c r="D180" s="1729">
        <v>0.13</v>
      </c>
      <c r="E180" s="1729">
        <v>0.125</v>
      </c>
      <c r="F180" s="1730">
        <v>0.13</v>
      </c>
    </row>
    <row r="181" spans="1:6" ht="15" thickBot="1">
      <c r="A181" s="1724" t="s">
        <v>1390</v>
      </c>
      <c r="B181" s="1728" t="s">
        <v>1281</v>
      </c>
      <c r="C181" s="1729">
        <v>0.122</v>
      </c>
      <c r="D181" s="1729">
        <v>0.123</v>
      </c>
      <c r="E181" s="1729">
        <v>0.126</v>
      </c>
      <c r="F181" s="1730">
        <v>0.121</v>
      </c>
    </row>
    <row r="182" spans="1:6" ht="15" thickBot="1">
      <c r="A182" s="1724" t="s">
        <v>1390</v>
      </c>
      <c r="B182" s="1728" t="s">
        <v>1288</v>
      </c>
      <c r="C182" s="1729">
        <v>0.125</v>
      </c>
      <c r="D182" s="1729">
        <v>0.125</v>
      </c>
      <c r="E182" s="1729">
        <v>0.11700000000000001</v>
      </c>
      <c r="F182" s="1730">
        <v>0.13</v>
      </c>
    </row>
    <row r="183" spans="1:6" ht="15" thickBot="1">
      <c r="A183" s="1724" t="s">
        <v>1390</v>
      </c>
      <c r="B183" s="1728" t="s">
        <v>1295</v>
      </c>
      <c r="C183" s="1729">
        <v>0.127</v>
      </c>
      <c r="D183" s="1729">
        <v>0.127</v>
      </c>
      <c r="E183" s="1729">
        <v>0.128</v>
      </c>
      <c r="F183" s="1737"/>
    </row>
    <row r="184" spans="1:6" ht="15" thickBot="1">
      <c r="A184" s="1724" t="s">
        <v>1390</v>
      </c>
      <c r="B184" s="1728" t="s">
        <v>1302</v>
      </c>
      <c r="C184" s="1729">
        <v>0.125</v>
      </c>
      <c r="D184" s="1729">
        <v>0.125</v>
      </c>
      <c r="E184" s="1729">
        <v>0.127</v>
      </c>
      <c r="F184" s="1737"/>
    </row>
    <row r="185" spans="1:6" ht="15" thickBot="1">
      <c r="A185" s="1724" t="s">
        <v>1390</v>
      </c>
      <c r="B185" s="1728" t="s">
        <v>1923</v>
      </c>
      <c r="C185" s="1729">
        <v>0.127</v>
      </c>
      <c r="D185" s="1729">
        <v>0.127</v>
      </c>
      <c r="E185" s="1729">
        <v>0.128</v>
      </c>
      <c r="F185" s="1730">
        <v>0.13</v>
      </c>
    </row>
    <row r="186" spans="1:6" ht="24.6" thickBot="1">
      <c r="A186" s="1724" t="s">
        <v>1390</v>
      </c>
      <c r="B186" s="1728" t="s">
        <v>1924</v>
      </c>
      <c r="C186" s="1738"/>
      <c r="D186" s="1738"/>
      <c r="E186" s="1738"/>
      <c r="F186" s="1730">
        <v>0.05</v>
      </c>
    </row>
    <row r="187" spans="1:6" ht="15" thickBot="1">
      <c r="A187" s="1724" t="s">
        <v>1390</v>
      </c>
      <c r="B187" s="1728" t="s">
        <v>1925</v>
      </c>
      <c r="C187" s="1738"/>
      <c r="D187" s="1738"/>
      <c r="E187" s="1738"/>
      <c r="F187" s="1730">
        <v>0.05</v>
      </c>
    </row>
    <row r="188" spans="1:6" ht="24.6" thickBot="1">
      <c r="A188" s="1724" t="s">
        <v>1390</v>
      </c>
      <c r="B188" s="1728" t="s">
        <v>1926</v>
      </c>
      <c r="C188" s="1738"/>
      <c r="D188" s="1738"/>
      <c r="E188" s="1738"/>
      <c r="F188" s="1730">
        <v>0.05</v>
      </c>
    </row>
    <row r="189" spans="1:6" ht="24.6" thickBot="1">
      <c r="A189" s="1724" t="s">
        <v>1390</v>
      </c>
      <c r="B189" s="1728" t="s">
        <v>1927</v>
      </c>
      <c r="C189" s="1738"/>
      <c r="D189" s="1738"/>
      <c r="E189" s="1738"/>
      <c r="F189" s="1730">
        <v>0.05</v>
      </c>
    </row>
    <row r="190" spans="1:6" ht="24.6" thickBot="1">
      <c r="A190" s="1724" t="s">
        <v>1390</v>
      </c>
      <c r="B190" s="1728" t="s">
        <v>1928</v>
      </c>
      <c r="C190" s="1738"/>
      <c r="D190" s="1738"/>
      <c r="E190" s="1738"/>
      <c r="F190" s="1730">
        <v>0.05</v>
      </c>
    </row>
    <row r="191" spans="1:6" ht="24.6" thickBot="1">
      <c r="A191" s="1724" t="s">
        <v>1390</v>
      </c>
      <c r="B191" s="1728" t="s">
        <v>1929</v>
      </c>
      <c r="C191" s="1738"/>
      <c r="D191" s="1738"/>
      <c r="E191" s="1738"/>
      <c r="F191" s="1730">
        <v>0.05</v>
      </c>
    </row>
    <row r="192" spans="1:6" ht="24.6" thickBot="1">
      <c r="A192" s="1724" t="s">
        <v>1390</v>
      </c>
      <c r="B192" s="1728" t="s">
        <v>1930</v>
      </c>
      <c r="C192" s="1738"/>
      <c r="D192" s="1738"/>
      <c r="E192" s="1738"/>
      <c r="F192" s="1730">
        <v>0.05</v>
      </c>
    </row>
    <row r="193" spans="1:6" ht="24.6" thickBot="1">
      <c r="A193" s="1724" t="s">
        <v>1390</v>
      </c>
      <c r="B193" s="1728" t="s">
        <v>1931</v>
      </c>
      <c r="C193" s="1738"/>
      <c r="D193" s="1738"/>
      <c r="E193" s="1738"/>
      <c r="F193" s="1730">
        <v>0.05</v>
      </c>
    </row>
    <row r="194" spans="1:6" ht="24.6" thickBot="1">
      <c r="A194" s="1724" t="s">
        <v>1390</v>
      </c>
      <c r="B194" s="1728" t="s">
        <v>1932</v>
      </c>
      <c r="C194" s="1738"/>
      <c r="D194" s="1738"/>
      <c r="E194" s="1738"/>
      <c r="F194" s="1730">
        <v>0.05</v>
      </c>
    </row>
    <row r="195" spans="1:6" ht="15" thickBot="1">
      <c r="A195" s="1724" t="s">
        <v>1390</v>
      </c>
      <c r="B195" s="1728" t="s">
        <v>1933</v>
      </c>
      <c r="C195" s="1738"/>
      <c r="D195" s="1738"/>
      <c r="E195" s="1738"/>
      <c r="F195" s="1730">
        <v>0.05</v>
      </c>
    </row>
    <row r="196" spans="1:6" ht="24.6" thickBot="1">
      <c r="A196" s="1724" t="s">
        <v>1390</v>
      </c>
      <c r="B196" s="1728" t="s">
        <v>1934</v>
      </c>
      <c r="C196" s="1738"/>
      <c r="D196" s="1738"/>
      <c r="E196" s="1738"/>
      <c r="F196" s="1730">
        <v>0.05</v>
      </c>
    </row>
    <row r="197" spans="1:6" ht="24.6" thickBot="1">
      <c r="A197" s="1724" t="s">
        <v>1390</v>
      </c>
      <c r="B197" s="1728" t="s">
        <v>1935</v>
      </c>
      <c r="C197" s="1738"/>
      <c r="D197" s="1738"/>
      <c r="E197" s="1738"/>
      <c r="F197" s="1730">
        <v>0.05</v>
      </c>
    </row>
    <row r="198" spans="1:6" ht="24.6" thickBot="1">
      <c r="A198" s="1724" t="s">
        <v>1390</v>
      </c>
      <c r="B198" s="1728" t="s">
        <v>1936</v>
      </c>
      <c r="C198" s="1738"/>
      <c r="D198" s="1738"/>
      <c r="E198" s="1738"/>
      <c r="F198" s="1730">
        <v>0.05</v>
      </c>
    </row>
    <row r="199" spans="1:6" ht="24.6" thickBot="1">
      <c r="A199" s="1724" t="s">
        <v>1390</v>
      </c>
      <c r="B199" s="1728" t="s">
        <v>1937</v>
      </c>
      <c r="C199" s="1738"/>
      <c r="D199" s="1738"/>
      <c r="E199" s="1738"/>
      <c r="F199" s="1730">
        <v>0.05</v>
      </c>
    </row>
    <row r="200" spans="1:6" ht="24.6" thickBot="1">
      <c r="A200" s="1724" t="s">
        <v>1390</v>
      </c>
      <c r="B200" s="1728" t="s">
        <v>1938</v>
      </c>
      <c r="C200" s="1738"/>
      <c r="D200" s="1738"/>
      <c r="E200" s="1738"/>
      <c r="F200" s="1730">
        <v>0.05</v>
      </c>
    </row>
    <row r="201" spans="1:6" ht="24.6" thickBot="1">
      <c r="A201" s="1724" t="s">
        <v>1390</v>
      </c>
      <c r="B201" s="1728" t="s">
        <v>1939</v>
      </c>
      <c r="C201" s="1738"/>
      <c r="D201" s="1738"/>
      <c r="E201" s="1738"/>
      <c r="F201" s="1730">
        <v>0.05</v>
      </c>
    </row>
    <row r="202" spans="1:6" ht="24.6" thickBot="1">
      <c r="A202" s="1724" t="s">
        <v>1390</v>
      </c>
      <c r="B202" s="1728" t="s">
        <v>1940</v>
      </c>
      <c r="C202" s="1738"/>
      <c r="D202" s="1738"/>
      <c r="E202" s="1738"/>
      <c r="F202" s="1730">
        <v>0.05</v>
      </c>
    </row>
    <row r="203" spans="1:6" ht="24.6" thickBot="1">
      <c r="A203" s="1724" t="s">
        <v>1390</v>
      </c>
      <c r="B203" s="1728" t="s">
        <v>1941</v>
      </c>
      <c r="C203" s="1738"/>
      <c r="D203" s="1738"/>
      <c r="E203" s="1738"/>
      <c r="F203" s="1730">
        <v>0.05</v>
      </c>
    </row>
    <row r="204" spans="1:6" ht="15" thickBot="1">
      <c r="A204" s="1724" t="s">
        <v>1390</v>
      </c>
      <c r="B204" s="1728" t="s">
        <v>1942</v>
      </c>
      <c r="C204" s="1738"/>
      <c r="D204" s="1738"/>
      <c r="E204" s="1738"/>
      <c r="F204" s="1730">
        <v>0.05</v>
      </c>
    </row>
    <row r="205" spans="1:6" ht="15" thickBot="1">
      <c r="A205" s="1732" t="s">
        <v>1390</v>
      </c>
      <c r="B205" s="1739" t="s">
        <v>1943</v>
      </c>
      <c r="C205" s="1735"/>
      <c r="D205" s="1735"/>
      <c r="E205" s="1735"/>
      <c r="F205" s="1740">
        <v>0.05</v>
      </c>
    </row>
    <row r="206" spans="1:6" ht="15" thickBot="1">
      <c r="A206" s="1724" t="s">
        <v>1392</v>
      </c>
      <c r="B206" s="1725" t="s">
        <v>1944</v>
      </c>
      <c r="C206" s="1726">
        <v>0.15</v>
      </c>
      <c r="D206" s="1726">
        <v>0.15</v>
      </c>
      <c r="E206" s="1726">
        <v>0.15</v>
      </c>
      <c r="F206" s="1727">
        <v>0.15</v>
      </c>
    </row>
    <row r="207" spans="1:6" ht="15" thickBot="1">
      <c r="A207" s="1724" t="s">
        <v>1392</v>
      </c>
      <c r="B207" s="1728" t="s">
        <v>1056</v>
      </c>
      <c r="C207" s="1729">
        <v>0.15</v>
      </c>
      <c r="D207" s="1729">
        <v>0.15</v>
      </c>
      <c r="E207" s="1729">
        <v>0.15</v>
      </c>
      <c r="F207" s="1730">
        <v>0.14399999999999999</v>
      </c>
    </row>
    <row r="208" spans="1:6" ht="15" thickBot="1">
      <c r="A208" s="1724" t="s">
        <v>1392</v>
      </c>
      <c r="B208" s="1728" t="s">
        <v>1070</v>
      </c>
      <c r="C208" s="1729">
        <v>0.15</v>
      </c>
      <c r="D208" s="1729">
        <v>0.15</v>
      </c>
      <c r="E208" s="1729">
        <v>0.15</v>
      </c>
      <c r="F208" s="1730">
        <v>0.15</v>
      </c>
    </row>
    <row r="209" spans="1:6" ht="15" thickBot="1">
      <c r="A209" s="1724" t="s">
        <v>1392</v>
      </c>
      <c r="B209" s="1728" t="s">
        <v>1083</v>
      </c>
      <c r="C209" s="1729">
        <v>0.13700000000000001</v>
      </c>
      <c r="D209" s="1729">
        <v>0.13700000000000001</v>
      </c>
      <c r="E209" s="1729">
        <v>0.14000000000000001</v>
      </c>
      <c r="F209" s="1730">
        <v>0.11700000000000001</v>
      </c>
    </row>
    <row r="210" spans="1:6" ht="15" thickBot="1">
      <c r="A210" s="1724" t="s">
        <v>1392</v>
      </c>
      <c r="B210" s="1728" t="s">
        <v>1945</v>
      </c>
      <c r="C210" s="1729">
        <v>0.15</v>
      </c>
      <c r="D210" s="1729">
        <v>0.15</v>
      </c>
      <c r="E210" s="1729">
        <v>0.15</v>
      </c>
      <c r="F210" s="1730">
        <v>0.13800000000000001</v>
      </c>
    </row>
    <row r="211" spans="1:6" ht="15" thickBot="1">
      <c r="A211" s="1724" t="s">
        <v>1392</v>
      </c>
      <c r="B211" s="1728" t="s">
        <v>1946</v>
      </c>
      <c r="C211" s="1729">
        <v>0.13700000000000001</v>
      </c>
      <c r="D211" s="1729">
        <v>0.13500000000000001</v>
      </c>
      <c r="E211" s="1729">
        <v>0.13600000000000001</v>
      </c>
      <c r="F211" s="1730">
        <v>0.1</v>
      </c>
    </row>
    <row r="212" spans="1:6" ht="15" thickBot="1">
      <c r="A212" s="1724" t="s">
        <v>1392</v>
      </c>
      <c r="B212" s="1728" t="s">
        <v>1947</v>
      </c>
      <c r="C212" s="1729">
        <v>0.15</v>
      </c>
      <c r="D212" s="1729">
        <v>0.15</v>
      </c>
      <c r="E212" s="1729">
        <v>0.14799999999999999</v>
      </c>
      <c r="F212" s="1730">
        <v>0.13600000000000001</v>
      </c>
    </row>
    <row r="213" spans="1:6" ht="15" thickBot="1">
      <c r="A213" s="1724" t="s">
        <v>1392</v>
      </c>
      <c r="B213" s="1728" t="s">
        <v>1130</v>
      </c>
      <c r="C213" s="1729">
        <v>0.15</v>
      </c>
      <c r="D213" s="1729">
        <v>0.15</v>
      </c>
      <c r="E213" s="1729">
        <v>0.15</v>
      </c>
      <c r="F213" s="1730">
        <v>0.13800000000000001</v>
      </c>
    </row>
    <row r="214" spans="1:6" ht="15" thickBot="1">
      <c r="A214" s="1724" t="s">
        <v>1392</v>
      </c>
      <c r="B214" s="1728" t="s">
        <v>1142</v>
      </c>
      <c r="C214" s="1729">
        <v>9.0999999999999998E-2</v>
      </c>
      <c r="D214" s="1729">
        <v>0.09</v>
      </c>
      <c r="E214" s="1729">
        <v>9.1999999999999998E-2</v>
      </c>
      <c r="F214" s="1737"/>
    </row>
    <row r="215" spans="1:6" ht="15" thickBot="1">
      <c r="A215" s="1724" t="s">
        <v>1392</v>
      </c>
      <c r="B215" s="1728" t="s">
        <v>1948</v>
      </c>
      <c r="C215" s="1729">
        <v>0.15</v>
      </c>
      <c r="D215" s="1729">
        <v>0.15</v>
      </c>
      <c r="E215" s="1729">
        <v>0.15</v>
      </c>
      <c r="F215" s="1730">
        <v>0.15</v>
      </c>
    </row>
    <row r="216" spans="1:6" ht="15" thickBot="1">
      <c r="A216" s="1724" t="s">
        <v>1392</v>
      </c>
      <c r="B216" s="1728" t="s">
        <v>1162</v>
      </c>
      <c r="C216" s="1729">
        <v>0.14699999999999999</v>
      </c>
      <c r="D216" s="1729">
        <v>0.14699999999999999</v>
      </c>
      <c r="E216" s="1729">
        <v>0.15</v>
      </c>
      <c r="F216" s="1730">
        <v>0.14000000000000001</v>
      </c>
    </row>
    <row r="217" spans="1:6" ht="15" thickBot="1">
      <c r="A217" s="1724" t="s">
        <v>1392</v>
      </c>
      <c r="B217" s="1728" t="s">
        <v>1172</v>
      </c>
      <c r="C217" s="1729">
        <v>0.15</v>
      </c>
      <c r="D217" s="1729">
        <v>0.15</v>
      </c>
      <c r="E217" s="1729">
        <v>0.15</v>
      </c>
      <c r="F217" s="1730">
        <v>0.15</v>
      </c>
    </row>
    <row r="218" spans="1:6" ht="15" thickBot="1">
      <c r="A218" s="1724" t="s">
        <v>1392</v>
      </c>
      <c r="B218" s="1728" t="s">
        <v>1949</v>
      </c>
      <c r="C218" s="1729">
        <v>0.15</v>
      </c>
      <c r="D218" s="1729">
        <v>0.15</v>
      </c>
      <c r="E218" s="1729">
        <v>0.15</v>
      </c>
      <c r="F218" s="1730">
        <v>0.15</v>
      </c>
    </row>
    <row r="219" spans="1:6" ht="15" thickBot="1">
      <c r="A219" s="1724" t="s">
        <v>1392</v>
      </c>
      <c r="B219" s="1728" t="s">
        <v>1192</v>
      </c>
      <c r="C219" s="1729">
        <v>0.15</v>
      </c>
      <c r="D219" s="1729">
        <v>0.15</v>
      </c>
      <c r="E219" s="1729">
        <v>0.15</v>
      </c>
      <c r="F219" s="1730">
        <v>0.14799999999999999</v>
      </c>
    </row>
    <row r="220" spans="1:6" ht="15" thickBot="1">
      <c r="A220" s="1724" t="s">
        <v>1392</v>
      </c>
      <c r="B220" s="1728" t="s">
        <v>1950</v>
      </c>
      <c r="C220" s="1729">
        <v>0.15</v>
      </c>
      <c r="D220" s="1729">
        <v>0.15</v>
      </c>
      <c r="E220" s="1729">
        <v>0.15</v>
      </c>
      <c r="F220" s="1730">
        <v>0.15</v>
      </c>
    </row>
    <row r="221" spans="1:6" ht="15" thickBot="1">
      <c r="A221" s="1724" t="s">
        <v>1392</v>
      </c>
      <c r="B221" s="1728" t="s">
        <v>1212</v>
      </c>
      <c r="C221" s="1729"/>
      <c r="D221" s="1738"/>
      <c r="E221" s="1738"/>
      <c r="F221" s="1730">
        <v>0.14799999999999999</v>
      </c>
    </row>
    <row r="222" spans="1:6" ht="15" thickBot="1">
      <c r="A222" s="1724" t="s">
        <v>1392</v>
      </c>
      <c r="B222" s="1728" t="s">
        <v>1222</v>
      </c>
      <c r="C222" s="1729"/>
      <c r="D222" s="1738"/>
      <c r="E222" s="1738"/>
      <c r="F222" s="1730">
        <v>0.1</v>
      </c>
    </row>
    <row r="223" spans="1:6" ht="15" thickBot="1">
      <c r="A223" s="1724" t="s">
        <v>1392</v>
      </c>
      <c r="B223" s="1728" t="s">
        <v>1232</v>
      </c>
      <c r="C223" s="1729"/>
      <c r="D223" s="1738"/>
      <c r="E223" s="1738"/>
      <c r="F223" s="1730">
        <v>0.15</v>
      </c>
    </row>
    <row r="224" spans="1:6" ht="15" thickBot="1">
      <c r="A224" s="1724" t="s">
        <v>1392</v>
      </c>
      <c r="B224" s="1728" t="s">
        <v>1242</v>
      </c>
      <c r="C224" s="1729"/>
      <c r="D224" s="1738"/>
      <c r="E224" s="1738"/>
      <c r="F224" s="1730">
        <v>0.15</v>
      </c>
    </row>
    <row r="225" spans="1:6" ht="15" thickBot="1">
      <c r="A225" s="1724" t="s">
        <v>1392</v>
      </c>
      <c r="B225" s="1728" t="s">
        <v>1951</v>
      </c>
      <c r="C225" s="1729">
        <v>0.15</v>
      </c>
      <c r="D225" s="1729">
        <v>0.15</v>
      </c>
      <c r="E225" s="1729">
        <v>0.15</v>
      </c>
      <c r="F225" s="1730">
        <v>0.15</v>
      </c>
    </row>
    <row r="226" spans="1:6" ht="15" thickBot="1">
      <c r="A226" s="1724" t="s">
        <v>1392</v>
      </c>
      <c r="B226" s="1728" t="s">
        <v>1260</v>
      </c>
      <c r="C226" s="1729">
        <v>0.15</v>
      </c>
      <c r="D226" s="1729">
        <v>0.15</v>
      </c>
      <c r="E226" s="1729">
        <v>0.15</v>
      </c>
      <c r="F226" s="1730">
        <v>0.14799999999999999</v>
      </c>
    </row>
    <row r="227" spans="1:6" ht="15" thickBot="1">
      <c r="A227" s="1724" t="s">
        <v>1392</v>
      </c>
      <c r="B227" s="1728" t="s">
        <v>1952</v>
      </c>
      <c r="C227" s="1729">
        <v>0.15</v>
      </c>
      <c r="D227" s="1729">
        <v>0.15</v>
      </c>
      <c r="E227" s="1729">
        <v>0.15</v>
      </c>
      <c r="F227" s="1730">
        <v>0.15</v>
      </c>
    </row>
    <row r="228" spans="1:6" ht="15" thickBot="1">
      <c r="A228" s="1724" t="s">
        <v>1392</v>
      </c>
      <c r="B228" s="1728" t="s">
        <v>1275</v>
      </c>
      <c r="C228" s="1729">
        <v>0.15</v>
      </c>
      <c r="D228" s="1729">
        <v>0.15</v>
      </c>
      <c r="E228" s="1729">
        <v>0.15</v>
      </c>
      <c r="F228" s="1730">
        <v>0.15</v>
      </c>
    </row>
    <row r="229" spans="1:6" ht="15" thickBot="1">
      <c r="A229" s="1724" t="s">
        <v>1392</v>
      </c>
      <c r="B229" s="1728" t="s">
        <v>1282</v>
      </c>
      <c r="C229" s="1729">
        <v>0.15</v>
      </c>
      <c r="D229" s="1729">
        <v>0.15</v>
      </c>
      <c r="E229" s="1729">
        <v>0.15</v>
      </c>
      <c r="F229" s="1737"/>
    </row>
    <row r="230" spans="1:6" ht="15" thickBot="1">
      <c r="A230" s="1724" t="s">
        <v>1392</v>
      </c>
      <c r="B230" s="1728" t="s">
        <v>1289</v>
      </c>
      <c r="C230" s="1729">
        <v>0.14499999999999999</v>
      </c>
      <c r="D230" s="1729">
        <v>0.14499999999999999</v>
      </c>
      <c r="E230" s="1729">
        <v>0.14399999999999999</v>
      </c>
      <c r="F230" s="1737"/>
    </row>
    <row r="231" spans="1:6" ht="15" thickBot="1">
      <c r="A231" s="1724" t="s">
        <v>1392</v>
      </c>
      <c r="B231" s="1728" t="s">
        <v>1953</v>
      </c>
      <c r="C231" s="1729">
        <v>0.128</v>
      </c>
      <c r="D231" s="1729">
        <v>0.125</v>
      </c>
      <c r="E231" s="1729">
        <v>0.13200000000000001</v>
      </c>
      <c r="F231" s="1737"/>
    </row>
    <row r="232" spans="1:6" ht="15" thickBot="1">
      <c r="A232" s="1724" t="s">
        <v>1392</v>
      </c>
      <c r="B232" s="1728" t="s">
        <v>1954</v>
      </c>
      <c r="C232" s="1729">
        <v>0.14499999999999999</v>
      </c>
      <c r="D232" s="1729">
        <v>0.14399999999999999</v>
      </c>
      <c r="E232" s="1729">
        <v>0.14599999999999999</v>
      </c>
      <c r="F232" s="1730">
        <v>0.13800000000000001</v>
      </c>
    </row>
    <row r="233" spans="1:6" ht="15" thickBot="1">
      <c r="A233" s="1724" t="s">
        <v>1392</v>
      </c>
      <c r="B233" s="1728" t="s">
        <v>1955</v>
      </c>
      <c r="C233" s="1729">
        <v>0.14499999999999999</v>
      </c>
      <c r="D233" s="1729">
        <v>0.14299999999999999</v>
      </c>
      <c r="E233" s="1729">
        <v>0.14199999999999999</v>
      </c>
      <c r="F233" s="1737"/>
    </row>
    <row r="234" spans="1:6" ht="15" thickBot="1">
      <c r="A234" s="1724" t="s">
        <v>1392</v>
      </c>
      <c r="B234" s="1728" t="s">
        <v>1956</v>
      </c>
      <c r="C234" s="1729">
        <v>0.14000000000000001</v>
      </c>
      <c r="D234" s="1729">
        <v>0.14000000000000001</v>
      </c>
      <c r="E234" s="1729">
        <v>0.14399999999999999</v>
      </c>
      <c r="F234" s="1737"/>
    </row>
    <row r="235" spans="1:6" ht="15" thickBot="1">
      <c r="A235" s="1724" t="s">
        <v>1392</v>
      </c>
      <c r="B235" s="1728" t="s">
        <v>1957</v>
      </c>
      <c r="C235" s="1729">
        <v>0.14099999999999999</v>
      </c>
      <c r="D235" s="1729">
        <v>0.14199999999999999</v>
      </c>
      <c r="E235" s="1729">
        <v>0.14499999999999999</v>
      </c>
      <c r="F235" s="1730">
        <v>0.15</v>
      </c>
    </row>
    <row r="236" spans="1:6" ht="15" thickBot="1">
      <c r="A236" s="1724" t="s">
        <v>1392</v>
      </c>
      <c r="B236" s="1728" t="s">
        <v>1324</v>
      </c>
      <c r="C236" s="1738"/>
      <c r="D236" s="1738"/>
      <c r="E236" s="1738"/>
      <c r="F236" s="1730">
        <v>0.14299999999999999</v>
      </c>
    </row>
    <row r="237" spans="1:6" ht="24.6" thickBot="1">
      <c r="A237" s="1724" t="s">
        <v>1392</v>
      </c>
      <c r="B237" s="1728" t="s">
        <v>1958</v>
      </c>
      <c r="C237" s="1738"/>
      <c r="D237" s="1738"/>
      <c r="E237" s="1738"/>
      <c r="F237" s="1730">
        <v>0.05</v>
      </c>
    </row>
    <row r="238" spans="1:6" ht="24.6" thickBot="1">
      <c r="A238" s="1724" t="s">
        <v>1392</v>
      </c>
      <c r="B238" s="1728" t="s">
        <v>1959</v>
      </c>
      <c r="C238" s="1738"/>
      <c r="D238" s="1738"/>
      <c r="E238" s="1738"/>
      <c r="F238" s="1730">
        <v>0.05</v>
      </c>
    </row>
    <row r="239" spans="1:6" ht="24.6" thickBot="1">
      <c r="A239" s="1724" t="s">
        <v>1392</v>
      </c>
      <c r="B239" s="1728" t="s">
        <v>1960</v>
      </c>
      <c r="C239" s="1738"/>
      <c r="D239" s="1738"/>
      <c r="E239" s="1738"/>
      <c r="F239" s="1730">
        <v>0.05</v>
      </c>
    </row>
    <row r="240" spans="1:6" ht="24.6" thickBot="1">
      <c r="A240" s="1724" t="s">
        <v>1392</v>
      </c>
      <c r="B240" s="1728" t="s">
        <v>1961</v>
      </c>
      <c r="C240" s="1738"/>
      <c r="D240" s="1738"/>
      <c r="E240" s="1738"/>
      <c r="F240" s="1730">
        <v>0.05</v>
      </c>
    </row>
    <row r="241" spans="1:6" ht="24.6" thickBot="1">
      <c r="A241" s="1724" t="s">
        <v>1392</v>
      </c>
      <c r="B241" s="1728" t="s">
        <v>1962</v>
      </c>
      <c r="C241" s="1738"/>
      <c r="D241" s="1738"/>
      <c r="E241" s="1738"/>
      <c r="F241" s="1730">
        <v>0.05</v>
      </c>
    </row>
    <row r="242" spans="1:6" ht="24.6" thickBot="1">
      <c r="A242" s="1724" t="s">
        <v>1392</v>
      </c>
      <c r="B242" s="1728" t="s">
        <v>1963</v>
      </c>
      <c r="C242" s="1738"/>
      <c r="D242" s="1738"/>
      <c r="E242" s="1738"/>
      <c r="F242" s="1730">
        <v>0.05</v>
      </c>
    </row>
    <row r="243" spans="1:6" ht="24.6" thickBot="1">
      <c r="A243" s="1724" t="s">
        <v>1392</v>
      </c>
      <c r="B243" s="1728" t="s">
        <v>1964</v>
      </c>
      <c r="C243" s="1738"/>
      <c r="D243" s="1738"/>
      <c r="E243" s="1738"/>
      <c r="F243" s="1730">
        <v>0.05</v>
      </c>
    </row>
    <row r="244" spans="1:6" ht="24.6" thickBot="1">
      <c r="A244" s="1732" t="s">
        <v>1392</v>
      </c>
      <c r="B244" s="1739" t="s">
        <v>1965</v>
      </c>
      <c r="C244" s="1735"/>
      <c r="D244" s="1735"/>
      <c r="E244" s="1735"/>
      <c r="F244" s="1740">
        <v>0.05</v>
      </c>
    </row>
    <row r="245" spans="1:6" ht="15" thickBot="1">
      <c r="A245" s="1724" t="s">
        <v>1394</v>
      </c>
      <c r="B245" s="1725" t="s">
        <v>1966</v>
      </c>
      <c r="C245" s="1726">
        <v>0.15</v>
      </c>
      <c r="D245" s="1726">
        <v>0.15</v>
      </c>
      <c r="E245" s="1726">
        <v>0.15</v>
      </c>
      <c r="F245" s="1727">
        <v>0.14299999999999999</v>
      </c>
    </row>
    <row r="246" spans="1:6" ht="15" thickBot="1">
      <c r="A246" s="1724" t="s">
        <v>1394</v>
      </c>
      <c r="B246" s="1728" t="s">
        <v>1057</v>
      </c>
      <c r="C246" s="1729">
        <v>0.15</v>
      </c>
      <c r="D246" s="1729">
        <v>0.15</v>
      </c>
      <c r="E246" s="1729">
        <v>0.15</v>
      </c>
      <c r="F246" s="1730">
        <v>0.114</v>
      </c>
    </row>
    <row r="247" spans="1:6" ht="15" thickBot="1">
      <c r="A247" s="1724" t="s">
        <v>1394</v>
      </c>
      <c r="B247" s="1728" t="s">
        <v>1967</v>
      </c>
      <c r="C247" s="1729">
        <v>0.15</v>
      </c>
      <c r="D247" s="1729">
        <v>0.15</v>
      </c>
      <c r="E247" s="1729">
        <v>0.15</v>
      </c>
      <c r="F247" s="1730">
        <v>0.15</v>
      </c>
    </row>
    <row r="248" spans="1:6" ht="15" thickBot="1">
      <c r="A248" s="1724" t="s">
        <v>1394</v>
      </c>
      <c r="B248" s="1728" t="s">
        <v>1968</v>
      </c>
      <c r="C248" s="1729">
        <v>0.15</v>
      </c>
      <c r="D248" s="1729">
        <v>0.15</v>
      </c>
      <c r="E248" s="1729">
        <v>0.15</v>
      </c>
      <c r="F248" s="1730">
        <v>0.14000000000000001</v>
      </c>
    </row>
    <row r="249" spans="1:6" ht="15" thickBot="1">
      <c r="A249" s="1724" t="s">
        <v>1394</v>
      </c>
      <c r="B249" s="1728" t="s">
        <v>1969</v>
      </c>
      <c r="C249" s="1729">
        <v>0.15</v>
      </c>
      <c r="D249" s="1729">
        <v>0.14899999999999999</v>
      </c>
      <c r="E249" s="1729">
        <v>0.15</v>
      </c>
      <c r="F249" s="1730">
        <v>0.1</v>
      </c>
    </row>
    <row r="250" spans="1:6" ht="15" thickBot="1">
      <c r="A250" s="1724" t="s">
        <v>1394</v>
      </c>
      <c r="B250" s="1728" t="s">
        <v>1970</v>
      </c>
      <c r="C250" s="1729">
        <v>0.15</v>
      </c>
      <c r="D250" s="1729">
        <v>0.15</v>
      </c>
      <c r="E250" s="1729">
        <v>0.15</v>
      </c>
      <c r="F250" s="1730">
        <v>0.14399999999999999</v>
      </c>
    </row>
    <row r="251" spans="1:6" ht="15" thickBot="1">
      <c r="A251" s="1724" t="s">
        <v>1394</v>
      </c>
      <c r="B251" s="1728" t="s">
        <v>1120</v>
      </c>
      <c r="C251" s="1729">
        <v>0.15</v>
      </c>
      <c r="D251" s="1729">
        <v>0.15</v>
      </c>
      <c r="E251" s="1729">
        <v>0.15</v>
      </c>
      <c r="F251" s="1730">
        <v>0.14299999999999999</v>
      </c>
    </row>
    <row r="252" spans="1:6" ht="15" thickBot="1">
      <c r="A252" s="1724" t="s">
        <v>1394</v>
      </c>
      <c r="B252" s="1728" t="s">
        <v>1131</v>
      </c>
      <c r="C252" s="1729">
        <v>0.15</v>
      </c>
      <c r="D252" s="1729">
        <v>0.15</v>
      </c>
      <c r="E252" s="1729">
        <v>0.15</v>
      </c>
      <c r="F252" s="1730">
        <v>0.1</v>
      </c>
    </row>
    <row r="253" spans="1:6" ht="15" thickBot="1">
      <c r="A253" s="1724" t="s">
        <v>1394</v>
      </c>
      <c r="B253" s="1728" t="s">
        <v>1143</v>
      </c>
      <c r="C253" s="1729">
        <v>0.15</v>
      </c>
      <c r="D253" s="1729">
        <v>0.15</v>
      </c>
      <c r="E253" s="1729">
        <v>0.15</v>
      </c>
      <c r="F253" s="1730">
        <v>0.1</v>
      </c>
    </row>
    <row r="254" spans="1:6" ht="15" thickBot="1">
      <c r="A254" s="1724" t="s">
        <v>1394</v>
      </c>
      <c r="B254" s="1728" t="s">
        <v>1153</v>
      </c>
      <c r="C254" s="1738"/>
      <c r="D254" s="1738"/>
      <c r="E254" s="1738"/>
      <c r="F254" s="1730">
        <v>0.15</v>
      </c>
    </row>
    <row r="255" spans="1:6" ht="15" thickBot="1">
      <c r="A255" s="1724" t="s">
        <v>1394</v>
      </c>
      <c r="B255" s="1728" t="s">
        <v>1163</v>
      </c>
      <c r="C255" s="1738"/>
      <c r="D255" s="1738"/>
      <c r="E255" s="1738"/>
      <c r="F255" s="1730">
        <v>0.14299999999999999</v>
      </c>
    </row>
    <row r="256" spans="1:6" ht="15" thickBot="1">
      <c r="A256" s="1724" t="s">
        <v>1394</v>
      </c>
      <c r="B256" s="1728" t="s">
        <v>1971</v>
      </c>
      <c r="C256" s="1729">
        <v>0.14599999999999999</v>
      </c>
      <c r="D256" s="1729">
        <v>0.14699999999999999</v>
      </c>
      <c r="E256" s="1729">
        <v>0.15</v>
      </c>
      <c r="F256" s="1730">
        <v>0.13200000000000001</v>
      </c>
    </row>
    <row r="257" spans="1:6" ht="15" thickBot="1">
      <c r="A257" s="1724" t="s">
        <v>1394</v>
      </c>
      <c r="B257" s="1728" t="s">
        <v>1183</v>
      </c>
      <c r="C257" s="1729">
        <v>0.15</v>
      </c>
      <c r="D257" s="1729">
        <v>0.15</v>
      </c>
      <c r="E257" s="1729">
        <v>0.15</v>
      </c>
      <c r="F257" s="1730">
        <v>0.13900000000000001</v>
      </c>
    </row>
    <row r="258" spans="1:6" ht="15" thickBot="1">
      <c r="A258" s="1724" t="s">
        <v>1394</v>
      </c>
      <c r="B258" s="1728" t="s">
        <v>1193</v>
      </c>
      <c r="C258" s="1729">
        <v>0.15</v>
      </c>
      <c r="D258" s="1729">
        <v>0.15</v>
      </c>
      <c r="E258" s="1729">
        <v>0.15</v>
      </c>
      <c r="F258" s="1730">
        <v>0.13</v>
      </c>
    </row>
    <row r="259" spans="1:6" ht="15" thickBot="1">
      <c r="A259" s="1724" t="s">
        <v>1394</v>
      </c>
      <c r="B259" s="1728" t="s">
        <v>1972</v>
      </c>
      <c r="C259" s="1729">
        <v>0.14799999999999999</v>
      </c>
      <c r="D259" s="1729">
        <v>0.14899999999999999</v>
      </c>
      <c r="E259" s="1729">
        <v>0.15</v>
      </c>
      <c r="F259" s="1730">
        <v>0.13700000000000001</v>
      </c>
    </row>
    <row r="260" spans="1:6" ht="15" thickBot="1">
      <c r="A260" s="1724" t="s">
        <v>1394</v>
      </c>
      <c r="B260" s="1728" t="s">
        <v>1213</v>
      </c>
      <c r="C260" s="1729">
        <v>0.15</v>
      </c>
      <c r="D260" s="1729">
        <v>0.15</v>
      </c>
      <c r="E260" s="1729">
        <v>0.15</v>
      </c>
      <c r="F260" s="1730">
        <v>0.14199999999999999</v>
      </c>
    </row>
    <row r="261" spans="1:6" ht="15" thickBot="1">
      <c r="A261" s="1724" t="s">
        <v>1394</v>
      </c>
      <c r="B261" s="1728" t="s">
        <v>1223</v>
      </c>
      <c r="C261" s="1729">
        <v>0.15</v>
      </c>
      <c r="D261" s="1729">
        <v>0.15</v>
      </c>
      <c r="E261" s="1729">
        <v>0.14899999999999999</v>
      </c>
      <c r="F261" s="1730">
        <v>0.14799999999999999</v>
      </c>
    </row>
    <row r="262" spans="1:6" ht="15" thickBot="1">
      <c r="A262" s="1724" t="s">
        <v>1394</v>
      </c>
      <c r="B262" s="1728" t="s">
        <v>1233</v>
      </c>
      <c r="C262" s="1729">
        <v>0.15</v>
      </c>
      <c r="D262" s="1729">
        <v>0.15</v>
      </c>
      <c r="E262" s="1729">
        <v>0.15</v>
      </c>
      <c r="F262" s="1737"/>
    </row>
    <row r="263" spans="1:6" ht="15" thickBot="1">
      <c r="A263" s="1724" t="s">
        <v>1394</v>
      </c>
      <c r="B263" s="1728" t="s">
        <v>1973</v>
      </c>
      <c r="C263" s="1729">
        <v>0.14899999999999999</v>
      </c>
      <c r="D263" s="1729">
        <v>0.14899999999999999</v>
      </c>
      <c r="E263" s="1729">
        <v>0.15</v>
      </c>
      <c r="F263" s="1730">
        <v>0.13</v>
      </c>
    </row>
    <row r="264" spans="1:6" ht="15" thickBot="1">
      <c r="A264" s="1724" t="s">
        <v>1394</v>
      </c>
      <c r="B264" s="1728" t="s">
        <v>1252</v>
      </c>
      <c r="C264" s="1729">
        <v>0.14799999999999999</v>
      </c>
      <c r="D264" s="1729">
        <v>0.14699999999999999</v>
      </c>
      <c r="E264" s="1729">
        <v>0.15</v>
      </c>
      <c r="F264" s="1730">
        <v>7.8E-2</v>
      </c>
    </row>
    <row r="265" spans="1:6" ht="15" thickBot="1">
      <c r="A265" s="1724" t="s">
        <v>1394</v>
      </c>
      <c r="B265" s="1728" t="s">
        <v>1261</v>
      </c>
      <c r="C265" s="1729">
        <v>0.15</v>
      </c>
      <c r="D265" s="1729">
        <v>0.15</v>
      </c>
      <c r="E265" s="1729">
        <v>0.15</v>
      </c>
      <c r="F265" s="1730">
        <v>7.3999999999999996E-2</v>
      </c>
    </row>
    <row r="266" spans="1:6" ht="15" thickBot="1">
      <c r="A266" s="1724" t="s">
        <v>1394</v>
      </c>
      <c r="B266" s="1728" t="s">
        <v>1269</v>
      </c>
      <c r="C266" s="1729">
        <v>0.14699999999999999</v>
      </c>
      <c r="D266" s="1729">
        <v>0.14699999999999999</v>
      </c>
      <c r="E266" s="1729">
        <v>0.15</v>
      </c>
      <c r="F266" s="1730">
        <v>0.14299999999999999</v>
      </c>
    </row>
    <row r="267" spans="1:6" ht="15" thickBot="1">
      <c r="A267" s="1724" t="s">
        <v>1394</v>
      </c>
      <c r="B267" s="1728" t="s">
        <v>1276</v>
      </c>
      <c r="C267" s="1729">
        <v>0.14199999999999999</v>
      </c>
      <c r="D267" s="1729">
        <v>0.14299999999999999</v>
      </c>
      <c r="E267" s="1729">
        <v>0.15</v>
      </c>
      <c r="F267" s="1737"/>
    </row>
    <row r="268" spans="1:6" ht="15" thickBot="1">
      <c r="A268" s="1724" t="s">
        <v>1394</v>
      </c>
      <c r="B268" s="1728" t="s">
        <v>1974</v>
      </c>
      <c r="C268" s="1729">
        <v>0.15</v>
      </c>
      <c r="D268" s="1729">
        <v>0.15</v>
      </c>
      <c r="E268" s="1729">
        <v>0.15</v>
      </c>
      <c r="F268" s="1730">
        <v>0.13</v>
      </c>
    </row>
    <row r="269" spans="1:6" ht="15" thickBot="1">
      <c r="A269" s="1724" t="s">
        <v>1394</v>
      </c>
      <c r="B269" s="1728" t="s">
        <v>1290</v>
      </c>
      <c r="C269" s="1729">
        <v>0.15</v>
      </c>
      <c r="D269" s="1729">
        <v>0.15</v>
      </c>
      <c r="E269" s="1729">
        <v>0.15</v>
      </c>
      <c r="F269" s="1730">
        <v>0.14299999999999999</v>
      </c>
    </row>
    <row r="270" spans="1:6" ht="15" thickBot="1">
      <c r="A270" s="1724" t="s">
        <v>1394</v>
      </c>
      <c r="B270" s="1728" t="s">
        <v>1297</v>
      </c>
      <c r="C270" s="1729">
        <v>0.14499999999999999</v>
      </c>
      <c r="D270" s="1729">
        <v>0.14499999999999999</v>
      </c>
      <c r="E270" s="1729">
        <v>0.15</v>
      </c>
      <c r="F270" s="1730">
        <v>0.14699999999999999</v>
      </c>
    </row>
    <row r="271" spans="1:6" ht="15" thickBot="1">
      <c r="A271" s="1724" t="s">
        <v>1394</v>
      </c>
      <c r="B271" s="1728" t="s">
        <v>1304</v>
      </c>
      <c r="C271" s="1729">
        <v>0.15</v>
      </c>
      <c r="D271" s="1729">
        <v>0.15</v>
      </c>
      <c r="E271" s="1729">
        <v>0.15</v>
      </c>
      <c r="F271" s="1730">
        <v>0.13800000000000001</v>
      </c>
    </row>
    <row r="272" spans="1:6" ht="15" thickBot="1">
      <c r="A272" s="1724" t="s">
        <v>1394</v>
      </c>
      <c r="B272" s="1728" t="s">
        <v>1311</v>
      </c>
      <c r="C272" s="1738"/>
      <c r="D272" s="1738"/>
      <c r="E272" s="1738"/>
      <c r="F272" s="1730">
        <v>0.14000000000000001</v>
      </c>
    </row>
    <row r="273" spans="1:6" ht="15" thickBot="1">
      <c r="A273" s="1724" t="s">
        <v>1394</v>
      </c>
      <c r="B273" s="1728" t="s">
        <v>1975</v>
      </c>
      <c r="C273" s="1729">
        <v>0.14199999999999999</v>
      </c>
      <c r="D273" s="1729">
        <v>0.14299999999999999</v>
      </c>
      <c r="E273" s="1729">
        <v>0.15</v>
      </c>
      <c r="F273" s="1730">
        <v>0.1</v>
      </c>
    </row>
    <row r="274" spans="1:6" ht="15" thickBot="1">
      <c r="A274" s="1724" t="s">
        <v>1394</v>
      </c>
      <c r="B274" s="1728" t="s">
        <v>1976</v>
      </c>
      <c r="C274" s="1729">
        <v>0.14799999999999999</v>
      </c>
      <c r="D274" s="1729">
        <v>0.14799999999999999</v>
      </c>
      <c r="E274" s="1729">
        <v>0.15</v>
      </c>
      <c r="F274" s="1730">
        <v>6.7000000000000004E-2</v>
      </c>
    </row>
    <row r="275" spans="1:6" ht="15" thickBot="1">
      <c r="A275" s="1724" t="s">
        <v>1394</v>
      </c>
      <c r="B275" s="1728" t="s">
        <v>1977</v>
      </c>
      <c r="C275" s="1729">
        <v>0.15</v>
      </c>
      <c r="D275" s="1729">
        <v>0.15</v>
      </c>
      <c r="E275" s="1729">
        <v>0.15</v>
      </c>
      <c r="F275" s="1730">
        <v>0.15</v>
      </c>
    </row>
    <row r="276" spans="1:6" ht="15" thickBot="1">
      <c r="A276" s="1724" t="s">
        <v>1394</v>
      </c>
      <c r="B276" s="1728" t="s">
        <v>1978</v>
      </c>
      <c r="C276" s="1729">
        <v>0.14499999999999999</v>
      </c>
      <c r="D276" s="1729">
        <v>0.14299999999999999</v>
      </c>
      <c r="E276" s="1729">
        <v>0.15</v>
      </c>
      <c r="F276" s="1730">
        <v>5.8999999999999997E-2</v>
      </c>
    </row>
    <row r="277" spans="1:6" ht="15" thickBot="1">
      <c r="A277" s="1724" t="s">
        <v>1394</v>
      </c>
      <c r="B277" s="1728" t="s">
        <v>1979</v>
      </c>
      <c r="C277" s="1729">
        <v>0.15</v>
      </c>
      <c r="D277" s="1729">
        <v>0.15</v>
      </c>
      <c r="E277" s="1729">
        <v>0.15</v>
      </c>
      <c r="F277" s="1730">
        <v>0.121</v>
      </c>
    </row>
    <row r="278" spans="1:6" ht="15" thickBot="1">
      <c r="A278" s="1724" t="s">
        <v>1394</v>
      </c>
      <c r="B278" s="1728" t="s">
        <v>1980</v>
      </c>
      <c r="C278" s="1729">
        <v>0.15</v>
      </c>
      <c r="D278" s="1729">
        <v>0.15</v>
      </c>
      <c r="E278" s="1729">
        <v>0.15</v>
      </c>
      <c r="F278" s="1730">
        <v>0.13800000000000001</v>
      </c>
    </row>
    <row r="279" spans="1:6" ht="24.6" thickBot="1">
      <c r="A279" s="1724" t="s">
        <v>1394</v>
      </c>
      <c r="B279" s="1728" t="s">
        <v>1981</v>
      </c>
      <c r="C279" s="1738"/>
      <c r="D279" s="1738"/>
      <c r="E279" s="1738"/>
      <c r="F279" s="1730">
        <v>0.05</v>
      </c>
    </row>
    <row r="280" spans="1:6" ht="24.6" thickBot="1">
      <c r="A280" s="1724" t="s">
        <v>1394</v>
      </c>
      <c r="B280" s="1728" t="s">
        <v>1982</v>
      </c>
      <c r="C280" s="1738"/>
      <c r="D280" s="1738"/>
      <c r="E280" s="1738"/>
      <c r="F280" s="1730">
        <v>0.05</v>
      </c>
    </row>
    <row r="281" spans="1:6" ht="24.6" thickBot="1">
      <c r="A281" s="1724" t="s">
        <v>1394</v>
      </c>
      <c r="B281" s="1728" t="s">
        <v>1983</v>
      </c>
      <c r="C281" s="1738"/>
      <c r="D281" s="1738"/>
      <c r="E281" s="1738"/>
      <c r="F281" s="1730">
        <v>0.05</v>
      </c>
    </row>
    <row r="282" spans="1:6" ht="24.6" thickBot="1">
      <c r="A282" s="1724" t="s">
        <v>1394</v>
      </c>
      <c r="B282" s="1728" t="s">
        <v>1984</v>
      </c>
      <c r="C282" s="1738"/>
      <c r="D282" s="1738"/>
      <c r="E282" s="1738"/>
      <c r="F282" s="1730">
        <v>0.05</v>
      </c>
    </row>
    <row r="283" spans="1:6" ht="24.6" thickBot="1">
      <c r="A283" s="1724" t="s">
        <v>1394</v>
      </c>
      <c r="B283" s="1728" t="s">
        <v>1985</v>
      </c>
      <c r="C283" s="1738"/>
      <c r="D283" s="1738"/>
      <c r="E283" s="1738"/>
      <c r="F283" s="1730">
        <v>0.05</v>
      </c>
    </row>
    <row r="284" spans="1:6" ht="24.6" thickBot="1">
      <c r="A284" s="1724" t="s">
        <v>1394</v>
      </c>
      <c r="B284" s="1728" t="s">
        <v>1986</v>
      </c>
      <c r="C284" s="1738"/>
      <c r="D284" s="1738"/>
      <c r="E284" s="1738"/>
      <c r="F284" s="1730">
        <v>0.05</v>
      </c>
    </row>
    <row r="285" spans="1:6" ht="24.6" thickBot="1">
      <c r="A285" s="1724" t="s">
        <v>1394</v>
      </c>
      <c r="B285" s="1728" t="s">
        <v>1987</v>
      </c>
      <c r="C285" s="1738"/>
      <c r="D285" s="1738"/>
      <c r="E285" s="1738"/>
      <c r="F285" s="1730">
        <v>0.05</v>
      </c>
    </row>
    <row r="286" spans="1:6" ht="24.6" thickBot="1">
      <c r="A286" s="1724" t="s">
        <v>1394</v>
      </c>
      <c r="B286" s="1728" t="s">
        <v>1988</v>
      </c>
      <c r="C286" s="1738"/>
      <c r="D286" s="1738"/>
      <c r="E286" s="1738"/>
      <c r="F286" s="1730">
        <v>0.05</v>
      </c>
    </row>
    <row r="287" spans="1:6" ht="24.6" thickBot="1">
      <c r="A287" s="1724" t="s">
        <v>1394</v>
      </c>
      <c r="B287" s="1728" t="s">
        <v>1989</v>
      </c>
      <c r="C287" s="1738"/>
      <c r="D287" s="1738"/>
      <c r="E287" s="1738"/>
      <c r="F287" s="1730">
        <v>0.05</v>
      </c>
    </row>
    <row r="288" spans="1:6" ht="24.6" thickBot="1">
      <c r="A288" s="1724" t="s">
        <v>1394</v>
      </c>
      <c r="B288" s="1728" t="s">
        <v>1990</v>
      </c>
      <c r="C288" s="1738"/>
      <c r="D288" s="1738"/>
      <c r="E288" s="1738"/>
      <c r="F288" s="1730">
        <v>0.05</v>
      </c>
    </row>
    <row r="289" spans="1:6" ht="24.6" thickBot="1">
      <c r="A289" s="1732" t="s">
        <v>1394</v>
      </c>
      <c r="B289" s="1739" t="s">
        <v>1991</v>
      </c>
      <c r="C289" s="1735"/>
      <c r="D289" s="1735"/>
      <c r="E289" s="1735"/>
      <c r="F289" s="1740">
        <v>0.05</v>
      </c>
    </row>
    <row r="290" spans="1:6" ht="15" thickBot="1">
      <c r="A290" s="1724" t="s">
        <v>1398</v>
      </c>
      <c r="B290" s="1725" t="s">
        <v>1992</v>
      </c>
      <c r="C290" s="1726">
        <v>0.15</v>
      </c>
      <c r="D290" s="1726">
        <v>0.15</v>
      </c>
      <c r="E290" s="1726">
        <v>0.15</v>
      </c>
      <c r="F290" s="1748"/>
    </row>
    <row r="291" spans="1:6" ht="15" thickBot="1">
      <c r="A291" s="1724" t="s">
        <v>1398</v>
      </c>
      <c r="B291" s="1728" t="s">
        <v>1058</v>
      </c>
      <c r="C291" s="1729">
        <v>0.15</v>
      </c>
      <c r="D291" s="1729">
        <v>0.15</v>
      </c>
      <c r="E291" s="1729">
        <v>0.15</v>
      </c>
      <c r="F291" s="1737"/>
    </row>
    <row r="292" spans="1:6" ht="15" thickBot="1">
      <c r="A292" s="1724" t="s">
        <v>1398</v>
      </c>
      <c r="B292" s="1728" t="s">
        <v>1993</v>
      </c>
      <c r="C292" s="1729">
        <v>0.15</v>
      </c>
      <c r="D292" s="1729">
        <v>0.15</v>
      </c>
      <c r="E292" s="1729">
        <v>0.15</v>
      </c>
      <c r="F292" s="1730">
        <v>0.14699999999999999</v>
      </c>
    </row>
    <row r="293" spans="1:6" ht="15" thickBot="1">
      <c r="A293" s="1724" t="s">
        <v>1398</v>
      </c>
      <c r="B293" s="1728" t="s">
        <v>1994</v>
      </c>
      <c r="C293" s="1738"/>
      <c r="D293" s="1738"/>
      <c r="E293" s="1738"/>
      <c r="F293" s="1730">
        <v>0.1</v>
      </c>
    </row>
    <row r="294" spans="1:6" ht="15" thickBot="1">
      <c r="A294" s="1724" t="s">
        <v>1398</v>
      </c>
      <c r="B294" s="1728" t="s">
        <v>1995</v>
      </c>
      <c r="C294" s="1729">
        <v>0.15</v>
      </c>
      <c r="D294" s="1729">
        <v>0.15</v>
      </c>
      <c r="E294" s="1729">
        <v>0.15</v>
      </c>
      <c r="F294" s="1730">
        <v>0.15</v>
      </c>
    </row>
    <row r="295" spans="1:6" ht="15" thickBot="1">
      <c r="A295" s="1724" t="s">
        <v>1398</v>
      </c>
      <c r="B295" s="1728" t="s">
        <v>1099</v>
      </c>
      <c r="C295" s="1729">
        <v>0.15</v>
      </c>
      <c r="D295" s="1729">
        <v>0.15</v>
      </c>
      <c r="E295" s="1729">
        <v>0.15</v>
      </c>
      <c r="F295" s="1730">
        <v>0.15</v>
      </c>
    </row>
    <row r="296" spans="1:6" ht="15" thickBot="1">
      <c r="A296" s="1724" t="s">
        <v>1398</v>
      </c>
      <c r="B296" s="1728" t="s">
        <v>1996</v>
      </c>
      <c r="C296" s="1729">
        <v>0.15</v>
      </c>
      <c r="D296" s="1729">
        <v>0.15</v>
      </c>
      <c r="E296" s="1729">
        <v>0.15</v>
      </c>
      <c r="F296" s="1730">
        <v>0.15</v>
      </c>
    </row>
    <row r="297" spans="1:6" ht="15" thickBot="1">
      <c r="A297" s="1724" t="s">
        <v>1398</v>
      </c>
      <c r="B297" s="1728" t="s">
        <v>1997</v>
      </c>
      <c r="C297" s="1729">
        <v>0.14799999999999999</v>
      </c>
      <c r="D297" s="1729">
        <v>0.14899999999999999</v>
      </c>
      <c r="E297" s="1729">
        <v>0.15</v>
      </c>
      <c r="F297" s="1730">
        <v>0.13700000000000001</v>
      </c>
    </row>
    <row r="298" spans="1:6" ht="15" thickBot="1">
      <c r="A298" s="1724" t="s">
        <v>1398</v>
      </c>
      <c r="B298" s="1728" t="s">
        <v>1132</v>
      </c>
      <c r="C298" s="1729">
        <v>0.13400000000000001</v>
      </c>
      <c r="D298" s="1729">
        <v>0.13400000000000001</v>
      </c>
      <c r="E298" s="1729">
        <v>0.14499999999999999</v>
      </c>
      <c r="F298" s="1730">
        <v>0.14799999999999999</v>
      </c>
    </row>
    <row r="299" spans="1:6" ht="15" thickBot="1">
      <c r="A299" s="1724" t="s">
        <v>1398</v>
      </c>
      <c r="B299" s="1728" t="s">
        <v>1144</v>
      </c>
      <c r="C299" s="1729">
        <v>0.15</v>
      </c>
      <c r="D299" s="1729">
        <v>0.15</v>
      </c>
      <c r="E299" s="1729">
        <v>0.15</v>
      </c>
      <c r="F299" s="1737"/>
    </row>
    <row r="300" spans="1:6" ht="15" thickBot="1">
      <c r="A300" s="1724" t="s">
        <v>1398</v>
      </c>
      <c r="B300" s="1728" t="s">
        <v>1998</v>
      </c>
      <c r="C300" s="1729">
        <v>0.15</v>
      </c>
      <c r="D300" s="1729">
        <v>0.15</v>
      </c>
      <c r="E300" s="1729">
        <v>0.15</v>
      </c>
      <c r="F300" s="1730">
        <v>0.15</v>
      </c>
    </row>
    <row r="301" spans="1:6" ht="15" thickBot="1">
      <c r="A301" s="1724" t="s">
        <v>1398</v>
      </c>
      <c r="B301" s="1728" t="s">
        <v>1164</v>
      </c>
      <c r="C301" s="1729">
        <v>0.15</v>
      </c>
      <c r="D301" s="1729">
        <v>0.15</v>
      </c>
      <c r="E301" s="1729">
        <v>0.15</v>
      </c>
      <c r="F301" s="1737"/>
    </row>
    <row r="302" spans="1:6" ht="15" thickBot="1">
      <c r="A302" s="1724" t="s">
        <v>1398</v>
      </c>
      <c r="B302" s="1728" t="s">
        <v>1999</v>
      </c>
      <c r="C302" s="1729">
        <v>0.15</v>
      </c>
      <c r="D302" s="1729">
        <v>0.15</v>
      </c>
      <c r="E302" s="1729">
        <v>0.15</v>
      </c>
      <c r="F302" s="1730">
        <v>0.15</v>
      </c>
    </row>
    <row r="303" spans="1:6" ht="15" thickBot="1">
      <c r="A303" s="1724" t="s">
        <v>1398</v>
      </c>
      <c r="B303" s="1728" t="s">
        <v>1184</v>
      </c>
      <c r="C303" s="1729">
        <v>0.15</v>
      </c>
      <c r="D303" s="1729">
        <v>0.15</v>
      </c>
      <c r="E303" s="1729">
        <v>0.15</v>
      </c>
      <c r="F303" s="1730">
        <v>0.15</v>
      </c>
    </row>
    <row r="304" spans="1:6" ht="15" thickBot="1">
      <c r="A304" s="1724" t="s">
        <v>1398</v>
      </c>
      <c r="B304" s="1728" t="s">
        <v>1194</v>
      </c>
      <c r="C304" s="1729">
        <v>0.15</v>
      </c>
      <c r="D304" s="1729">
        <v>0.15</v>
      </c>
      <c r="E304" s="1729">
        <v>0.15</v>
      </c>
      <c r="F304" s="1737"/>
    </row>
    <row r="305" spans="1:6" ht="15" thickBot="1">
      <c r="A305" s="1724" t="s">
        <v>1398</v>
      </c>
      <c r="B305" s="1728" t="s">
        <v>2000</v>
      </c>
      <c r="C305" s="1729">
        <v>0.15</v>
      </c>
      <c r="D305" s="1729">
        <v>0.15</v>
      </c>
      <c r="E305" s="1729">
        <v>0.15</v>
      </c>
      <c r="F305" s="1730">
        <v>0.14000000000000001</v>
      </c>
    </row>
    <row r="306" spans="1:6" ht="15" thickBot="1">
      <c r="A306" s="1724" t="s">
        <v>1398</v>
      </c>
      <c r="B306" s="1728" t="s">
        <v>1214</v>
      </c>
      <c r="C306" s="1729">
        <v>0.15</v>
      </c>
      <c r="D306" s="1729">
        <v>0.15</v>
      </c>
      <c r="E306" s="1729">
        <v>0.15</v>
      </c>
      <c r="F306" s="1737"/>
    </row>
    <row r="307" spans="1:6" ht="15" thickBot="1">
      <c r="A307" s="1724" t="s">
        <v>1398</v>
      </c>
      <c r="B307" s="1728" t="s">
        <v>2001</v>
      </c>
      <c r="C307" s="1729">
        <v>0.15</v>
      </c>
      <c r="D307" s="1729">
        <v>0.15</v>
      </c>
      <c r="E307" s="1729">
        <v>0.15</v>
      </c>
      <c r="F307" s="1730">
        <v>0.14299999999999999</v>
      </c>
    </row>
    <row r="308" spans="1:6" ht="15" thickBot="1">
      <c r="A308" s="1724" t="s">
        <v>1398</v>
      </c>
      <c r="B308" s="1728" t="s">
        <v>1234</v>
      </c>
      <c r="C308" s="1729">
        <v>0.15</v>
      </c>
      <c r="D308" s="1729">
        <v>0.15</v>
      </c>
      <c r="E308" s="1729">
        <v>0.15</v>
      </c>
      <c r="F308" s="1730">
        <v>0.15</v>
      </c>
    </row>
    <row r="309" spans="1:6" ht="15" thickBot="1">
      <c r="A309" s="1724" t="s">
        <v>1398</v>
      </c>
      <c r="B309" s="1728" t="s">
        <v>1244</v>
      </c>
      <c r="C309" s="1729">
        <v>0.15</v>
      </c>
      <c r="D309" s="1729">
        <v>0.15</v>
      </c>
      <c r="E309" s="1729">
        <v>0.15</v>
      </c>
      <c r="F309" s="1737"/>
    </row>
    <row r="310" spans="1:6" ht="15" thickBot="1">
      <c r="A310" s="1724" t="s">
        <v>1398</v>
      </c>
      <c r="B310" s="1728" t="s">
        <v>2002</v>
      </c>
      <c r="C310" s="1729">
        <v>0.15</v>
      </c>
      <c r="D310" s="1729">
        <v>0.15</v>
      </c>
      <c r="E310" s="1729">
        <v>0.15</v>
      </c>
      <c r="F310" s="1730">
        <v>0.13700000000000001</v>
      </c>
    </row>
    <row r="311" spans="1:6" ht="15" thickBot="1">
      <c r="A311" s="1724" t="s">
        <v>1398</v>
      </c>
      <c r="B311" s="1728" t="s">
        <v>2003</v>
      </c>
      <c r="C311" s="1729">
        <v>0.15</v>
      </c>
      <c r="D311" s="1729">
        <v>0.15</v>
      </c>
      <c r="E311" s="1729">
        <v>0.15</v>
      </c>
      <c r="F311" s="1730">
        <v>0.15</v>
      </c>
    </row>
    <row r="312" spans="1:6" ht="15" thickBot="1">
      <c r="A312" s="1724" t="s">
        <v>1398</v>
      </c>
      <c r="B312" s="1728" t="s">
        <v>1270</v>
      </c>
      <c r="C312" s="1729">
        <v>0.15</v>
      </c>
      <c r="D312" s="1729">
        <v>0.15</v>
      </c>
      <c r="E312" s="1729">
        <v>0.15</v>
      </c>
      <c r="F312" s="1730">
        <v>0.1</v>
      </c>
    </row>
    <row r="313" spans="1:6" ht="15" thickBot="1">
      <c r="A313" s="1724" t="s">
        <v>1398</v>
      </c>
      <c r="B313" s="1728" t="s">
        <v>2004</v>
      </c>
      <c r="C313" s="1729">
        <v>0.15</v>
      </c>
      <c r="D313" s="1729">
        <v>0.15</v>
      </c>
      <c r="E313" s="1729">
        <v>0.15</v>
      </c>
      <c r="F313" s="1730">
        <v>0.15</v>
      </c>
    </row>
    <row r="314" spans="1:6" ht="24.6" thickBot="1">
      <c r="A314" s="1724" t="s">
        <v>1398</v>
      </c>
      <c r="B314" s="1728" t="s">
        <v>2005</v>
      </c>
      <c r="C314" s="1738"/>
      <c r="D314" s="1738"/>
      <c r="E314" s="1738"/>
      <c r="F314" s="1730">
        <v>0.05</v>
      </c>
    </row>
    <row r="315" spans="1:6" ht="24.6" thickBot="1">
      <c r="A315" s="1724" t="s">
        <v>1398</v>
      </c>
      <c r="B315" s="1728" t="s">
        <v>2006</v>
      </c>
      <c r="C315" s="1738"/>
      <c r="D315" s="1738"/>
      <c r="E315" s="1738"/>
      <c r="F315" s="1730">
        <v>0.05</v>
      </c>
    </row>
    <row r="316" spans="1:6" ht="24.6" thickBot="1">
      <c r="A316" s="1732" t="s">
        <v>1398</v>
      </c>
      <c r="B316" s="1739" t="s">
        <v>2007</v>
      </c>
      <c r="C316" s="1735"/>
      <c r="D316" s="1735"/>
      <c r="E316" s="1735"/>
      <c r="F316" s="1740">
        <v>0.05</v>
      </c>
    </row>
    <row r="317" spans="1:6" ht="15" thickBot="1">
      <c r="A317" s="1724" t="s">
        <v>2008</v>
      </c>
      <c r="B317" s="1725" t="s">
        <v>2009</v>
      </c>
      <c r="C317" s="1726">
        <v>0.15</v>
      </c>
      <c r="D317" s="1726">
        <v>0.15</v>
      </c>
      <c r="E317" s="1726">
        <v>0.15</v>
      </c>
      <c r="F317" s="1727">
        <v>0.15</v>
      </c>
    </row>
    <row r="318" spans="1:6" ht="15" thickBot="1">
      <c r="A318" s="1724" t="s">
        <v>2008</v>
      </c>
      <c r="B318" s="1728" t="s">
        <v>2010</v>
      </c>
      <c r="C318" s="1729">
        <v>0.107</v>
      </c>
      <c r="D318" s="1729">
        <v>0.11</v>
      </c>
      <c r="E318" s="1729">
        <v>0.112</v>
      </c>
      <c r="F318" s="1737"/>
    </row>
    <row r="319" spans="1:6" ht="15" thickBot="1">
      <c r="A319" s="1724" t="s">
        <v>2008</v>
      </c>
      <c r="B319" s="1728" t="s">
        <v>2011</v>
      </c>
      <c r="C319" s="1729">
        <v>0.15</v>
      </c>
      <c r="D319" s="1729">
        <v>0.15</v>
      </c>
      <c r="E319" s="1729">
        <v>0.15</v>
      </c>
      <c r="F319" s="1730">
        <v>0.15</v>
      </c>
    </row>
    <row r="320" spans="1:6" ht="15" thickBot="1">
      <c r="A320" s="1724" t="s">
        <v>2008</v>
      </c>
      <c r="B320" s="1728" t="s">
        <v>1086</v>
      </c>
      <c r="C320" s="1729">
        <v>0.15</v>
      </c>
      <c r="D320" s="1729">
        <v>0.15</v>
      </c>
      <c r="E320" s="1729">
        <v>0.15</v>
      </c>
      <c r="F320" s="1737"/>
    </row>
    <row r="321" spans="1:6" ht="15" thickBot="1">
      <c r="A321" s="1724" t="s">
        <v>2008</v>
      </c>
      <c r="B321" s="1728" t="s">
        <v>2012</v>
      </c>
      <c r="C321" s="1729">
        <v>0.15</v>
      </c>
      <c r="D321" s="1729">
        <v>0.15</v>
      </c>
      <c r="E321" s="1729">
        <v>0.15</v>
      </c>
      <c r="F321" s="1737"/>
    </row>
    <row r="322" spans="1:6" ht="15" thickBot="1">
      <c r="A322" s="1724" t="s">
        <v>2008</v>
      </c>
      <c r="B322" s="1728" t="s">
        <v>2013</v>
      </c>
      <c r="C322" s="1729">
        <v>0.15</v>
      </c>
      <c r="D322" s="1729">
        <v>0.15</v>
      </c>
      <c r="E322" s="1729">
        <v>0.15</v>
      </c>
      <c r="F322" s="1730">
        <v>0.15</v>
      </c>
    </row>
    <row r="323" spans="1:6" ht="15" thickBot="1">
      <c r="A323" s="1724" t="s">
        <v>2008</v>
      </c>
      <c r="B323" s="1728" t="s">
        <v>2014</v>
      </c>
      <c r="C323" s="1729">
        <v>0.15</v>
      </c>
      <c r="D323" s="1729">
        <v>0.15</v>
      </c>
      <c r="E323" s="1729">
        <v>0.15</v>
      </c>
      <c r="F323" s="1737"/>
    </row>
    <row r="324" spans="1:6" ht="15" thickBot="1">
      <c r="A324" s="1724" t="s">
        <v>2008</v>
      </c>
      <c r="B324" s="1728" t="s">
        <v>2015</v>
      </c>
      <c r="C324" s="1729">
        <v>0.15</v>
      </c>
      <c r="D324" s="1729">
        <v>0.15</v>
      </c>
      <c r="E324" s="1729">
        <v>0.15</v>
      </c>
      <c r="F324" s="1737"/>
    </row>
    <row r="325" spans="1:6" ht="15" thickBot="1">
      <c r="A325" s="1724" t="s">
        <v>2008</v>
      </c>
      <c r="B325" s="1728" t="s">
        <v>2016</v>
      </c>
      <c r="C325" s="1729">
        <v>0.15</v>
      </c>
      <c r="D325" s="1729">
        <v>0.15</v>
      </c>
      <c r="E325" s="1729">
        <v>0.15</v>
      </c>
      <c r="F325" s="1730">
        <v>0.14699999999999999</v>
      </c>
    </row>
    <row r="326" spans="1:6" ht="15" thickBot="1">
      <c r="A326" s="1724" t="s">
        <v>2008</v>
      </c>
      <c r="B326" s="1728" t="s">
        <v>1155</v>
      </c>
      <c r="C326" s="1729">
        <v>0.15</v>
      </c>
      <c r="D326" s="1729">
        <v>0.15</v>
      </c>
      <c r="E326" s="1729">
        <v>0.15</v>
      </c>
      <c r="F326" s="1737"/>
    </row>
    <row r="327" spans="1:6" ht="15" thickBot="1">
      <c r="A327" s="1724" t="s">
        <v>2008</v>
      </c>
      <c r="B327" s="1728" t="s">
        <v>2017</v>
      </c>
      <c r="C327" s="1729">
        <v>0.15</v>
      </c>
      <c r="D327" s="1729">
        <v>0.15</v>
      </c>
      <c r="E327" s="1729">
        <v>0.15</v>
      </c>
      <c r="F327" s="1730">
        <v>0.15</v>
      </c>
    </row>
    <row r="328" spans="1:6" ht="15" thickBot="1">
      <c r="A328" s="1724" t="s">
        <v>2008</v>
      </c>
      <c r="B328" s="1728" t="s">
        <v>1175</v>
      </c>
      <c r="C328" s="1729">
        <v>0.15</v>
      </c>
      <c r="D328" s="1729">
        <v>0.15</v>
      </c>
      <c r="E328" s="1729">
        <v>0.15</v>
      </c>
      <c r="F328" s="1730">
        <v>0.14099999999999999</v>
      </c>
    </row>
    <row r="329" spans="1:6" ht="15" thickBot="1">
      <c r="A329" s="1724" t="s">
        <v>2008</v>
      </c>
      <c r="B329" s="1728" t="s">
        <v>1185</v>
      </c>
      <c r="C329" s="1729">
        <v>0.15</v>
      </c>
      <c r="D329" s="1729">
        <v>0.15</v>
      </c>
      <c r="E329" s="1729">
        <v>0.15</v>
      </c>
      <c r="F329" s="1730">
        <v>0.15</v>
      </c>
    </row>
    <row r="330" spans="1:6" ht="15" thickBot="1">
      <c r="A330" s="1724" t="s">
        <v>2008</v>
      </c>
      <c r="B330" s="1728" t="s">
        <v>1195</v>
      </c>
      <c r="C330" s="1729">
        <v>0.15</v>
      </c>
      <c r="D330" s="1729">
        <v>0.15</v>
      </c>
      <c r="E330" s="1729">
        <v>0.15</v>
      </c>
      <c r="F330" s="1737"/>
    </row>
    <row r="331" spans="1:6" ht="15" thickBot="1">
      <c r="A331" s="1724" t="s">
        <v>2008</v>
      </c>
      <c r="B331" s="1728" t="s">
        <v>2018</v>
      </c>
      <c r="C331" s="1729">
        <v>0.15</v>
      </c>
      <c r="D331" s="1729">
        <v>0.15</v>
      </c>
      <c r="E331" s="1729">
        <v>0.15</v>
      </c>
      <c r="F331" s="1730">
        <v>0.15</v>
      </c>
    </row>
    <row r="332" spans="1:6" ht="15" thickBot="1">
      <c r="A332" s="1724" t="s">
        <v>2008</v>
      </c>
      <c r="B332" s="1728" t="s">
        <v>1215</v>
      </c>
      <c r="C332" s="1729">
        <v>0.15</v>
      </c>
      <c r="D332" s="1729">
        <v>0.15</v>
      </c>
      <c r="E332" s="1729">
        <v>0.15</v>
      </c>
      <c r="F332" s="1730">
        <v>0.15</v>
      </c>
    </row>
    <row r="333" spans="1:6" ht="15" thickBot="1">
      <c r="A333" s="1724" t="s">
        <v>2008</v>
      </c>
      <c r="B333" s="1728" t="s">
        <v>2019</v>
      </c>
      <c r="C333" s="1729">
        <v>0.15</v>
      </c>
      <c r="D333" s="1729">
        <v>0.15</v>
      </c>
      <c r="E333" s="1729">
        <v>0.15</v>
      </c>
      <c r="F333" s="1730">
        <v>0.14099999999999999</v>
      </c>
    </row>
    <row r="334" spans="1:6" ht="15" thickBot="1">
      <c r="A334" s="1724" t="s">
        <v>2008</v>
      </c>
      <c r="B334" s="1728" t="s">
        <v>1235</v>
      </c>
      <c r="C334" s="1729">
        <v>0.15</v>
      </c>
      <c r="D334" s="1729">
        <v>0.15</v>
      </c>
      <c r="E334" s="1729">
        <v>0.15</v>
      </c>
      <c r="F334" s="1730">
        <v>0.15</v>
      </c>
    </row>
    <row r="335" spans="1:6" ht="15" thickBot="1">
      <c r="A335" s="1724" t="s">
        <v>2008</v>
      </c>
      <c r="B335" s="1728" t="s">
        <v>1245</v>
      </c>
      <c r="C335" s="1729">
        <v>0.15</v>
      </c>
      <c r="D335" s="1729">
        <v>0.15</v>
      </c>
      <c r="E335" s="1729">
        <v>0.15</v>
      </c>
      <c r="F335" s="1737"/>
    </row>
    <row r="336" spans="1:6" ht="15" thickBot="1">
      <c r="A336" s="1724" t="s">
        <v>2008</v>
      </c>
      <c r="B336" s="1728" t="s">
        <v>2020</v>
      </c>
      <c r="C336" s="1729">
        <v>0.15</v>
      </c>
      <c r="D336" s="1729">
        <v>0.15</v>
      </c>
      <c r="E336" s="1729">
        <v>0.15</v>
      </c>
      <c r="F336" s="1730">
        <v>0.11799999999999999</v>
      </c>
    </row>
    <row r="337" spans="1:6" ht="15" thickBot="1">
      <c r="A337" s="1732" t="s">
        <v>2008</v>
      </c>
      <c r="B337" s="1739" t="s">
        <v>1263</v>
      </c>
      <c r="C337" s="1735"/>
      <c r="D337" s="1735"/>
      <c r="E337" s="1735"/>
      <c r="F337" s="1740">
        <v>0.14299999999999999</v>
      </c>
    </row>
    <row r="338" spans="1:6" ht="15" thickBot="1">
      <c r="A338" s="1724" t="s">
        <v>2021</v>
      </c>
      <c r="B338" s="1725" t="s">
        <v>2022</v>
      </c>
      <c r="C338" s="1726">
        <v>0.15</v>
      </c>
      <c r="D338" s="1726">
        <v>0.15</v>
      </c>
      <c r="E338" s="1726">
        <v>0.15</v>
      </c>
      <c r="F338" s="1748"/>
    </row>
    <row r="339" spans="1:6" ht="15" thickBot="1">
      <c r="A339" s="1724" t="s">
        <v>2021</v>
      </c>
      <c r="B339" s="1728" t="s">
        <v>2023</v>
      </c>
      <c r="C339" s="1729">
        <v>0.15</v>
      </c>
      <c r="D339" s="1729">
        <v>0.15</v>
      </c>
      <c r="E339" s="1729">
        <v>0.15</v>
      </c>
      <c r="F339" s="1737"/>
    </row>
    <row r="340" spans="1:6" ht="15" thickBot="1">
      <c r="A340" s="1724" t="s">
        <v>2021</v>
      </c>
      <c r="B340" s="1728" t="s">
        <v>2024</v>
      </c>
      <c r="C340" s="1729">
        <v>0.15</v>
      </c>
      <c r="D340" s="1729">
        <v>0.15</v>
      </c>
      <c r="E340" s="1729">
        <v>0.15</v>
      </c>
      <c r="F340" s="1737"/>
    </row>
    <row r="341" spans="1:6" ht="15" thickBot="1">
      <c r="A341" s="1724" t="s">
        <v>2025</v>
      </c>
      <c r="B341" s="1728" t="s">
        <v>2026</v>
      </c>
      <c r="C341" s="1729">
        <v>0.15</v>
      </c>
      <c r="D341" s="1729">
        <v>0.15</v>
      </c>
      <c r="E341" s="1729">
        <v>0.15</v>
      </c>
      <c r="F341" s="1730">
        <v>0.15</v>
      </c>
    </row>
    <row r="342" spans="1:6" ht="15" thickBot="1">
      <c r="A342" s="1724" t="s">
        <v>2021</v>
      </c>
      <c r="B342" s="1728" t="s">
        <v>2027</v>
      </c>
      <c r="C342" s="1729">
        <v>0.15</v>
      </c>
      <c r="D342" s="1729">
        <v>0.15</v>
      </c>
      <c r="E342" s="1729">
        <v>0.15</v>
      </c>
      <c r="F342" s="1730">
        <v>0.15</v>
      </c>
    </row>
    <row r="343" spans="1:6" ht="15" thickBot="1">
      <c r="A343" s="1724" t="s">
        <v>2021</v>
      </c>
      <c r="B343" s="1728" t="s">
        <v>2028</v>
      </c>
      <c r="C343" s="1729">
        <v>0.15</v>
      </c>
      <c r="D343" s="1729">
        <v>0.15</v>
      </c>
      <c r="E343" s="1729">
        <v>0.15</v>
      </c>
      <c r="F343" s="1730">
        <v>0.15</v>
      </c>
    </row>
    <row r="344" spans="1:6" ht="1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804"/>
    <col min="2" max="6" width="9" style="2804" customWidth="1"/>
    <col min="7" max="7" width="9" style="2832" customWidth="1"/>
    <col min="8" max="12" width="9" style="2804" customWidth="1"/>
    <col min="13" max="13" width="2.21875" style="2804" customWidth="1"/>
    <col min="14" max="14" width="9" style="2832" customWidth="1"/>
    <col min="15" max="17" width="9" style="2804" customWidth="1"/>
    <col min="18" max="18" width="2.33203125" style="2804" customWidth="1"/>
    <col min="19" max="19" width="7.109375" style="2832" customWidth="1"/>
    <col min="20" max="22" width="7.109375" style="2804" customWidth="1"/>
    <col min="23" max="23" width="24" style="2804" customWidth="1"/>
    <col min="24" max="25" width="9" style="2804"/>
    <col min="26" max="27" width="11.6640625" style="2804" customWidth="1"/>
    <col min="28" max="28" width="9" style="2804"/>
    <col min="29" max="29" width="2" style="2804" customWidth="1"/>
    <col min="30" max="16384" width="9" style="2804"/>
  </cols>
  <sheetData>
    <row r="1" spans="1:34" s="2782" customFormat="1">
      <c r="B1" s="3759" t="s">
        <v>2293</v>
      </c>
      <c r="C1" s="3759"/>
      <c r="D1" s="3759"/>
      <c r="E1" s="3759"/>
      <c r="F1" s="3759"/>
      <c r="G1" s="3758" t="s">
        <v>2294</v>
      </c>
      <c r="H1" s="3758"/>
      <c r="I1" s="3758"/>
      <c r="J1" s="3758"/>
      <c r="K1" s="3758"/>
      <c r="L1" s="3758"/>
      <c r="N1" s="3758" t="s">
        <v>2295</v>
      </c>
      <c r="O1" s="3758"/>
      <c r="P1" s="3758"/>
      <c r="Q1" s="3758"/>
      <c r="S1" s="3758" t="s">
        <v>2296</v>
      </c>
      <c r="T1" s="3758"/>
      <c r="U1" s="3758"/>
      <c r="V1" s="3758"/>
      <c r="X1" s="3757" t="s">
        <v>2356</v>
      </c>
      <c r="Y1" s="3758"/>
      <c r="Z1" s="3758"/>
      <c r="AA1" s="3758"/>
      <c r="AB1" s="3758"/>
      <c r="AD1" s="3757" t="s">
        <v>2360</v>
      </c>
      <c r="AE1" s="3758"/>
      <c r="AF1" s="3758"/>
      <c r="AG1" s="3758"/>
      <c r="AH1" s="3758"/>
    </row>
    <row r="2" spans="1:34" s="2783" customFormat="1" ht="1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4">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4">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8"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8"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61">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61"/>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61"/>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67"/>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66">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61"/>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61"/>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67"/>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66">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61"/>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61"/>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8"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62"/>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8" thickBot="1">
      <c r="A34" s="2806" t="s">
        <v>946</v>
      </c>
      <c r="B34" s="2828">
        <v>333</v>
      </c>
      <c r="C34" s="2828">
        <v>277</v>
      </c>
      <c r="D34" s="2828">
        <f t="shared" si="241"/>
        <v>277</v>
      </c>
      <c r="E34" s="2828">
        <v>459</v>
      </c>
      <c r="F34" s="2829">
        <v>249</v>
      </c>
      <c r="G34" s="3760">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61"/>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61"/>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62"/>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8" thickBot="1">
      <c r="A38" s="2806" t="s">
        <v>942</v>
      </c>
      <c r="B38" s="2835">
        <v>318</v>
      </c>
      <c r="C38" s="2835">
        <v>268</v>
      </c>
      <c r="D38" s="2835">
        <f t="shared" si="241"/>
        <v>268</v>
      </c>
      <c r="E38" s="2835">
        <v>437</v>
      </c>
      <c r="F38" s="2836">
        <v>237</v>
      </c>
      <c r="G38" s="3760">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61"/>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8"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61"/>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8"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62"/>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8" thickBot="1">
      <c r="A42" s="2806" t="s">
        <v>2300</v>
      </c>
      <c r="B42" s="2828">
        <v>299</v>
      </c>
      <c r="C42" s="2828">
        <v>252</v>
      </c>
      <c r="D42" s="2828">
        <f t="shared" si="241"/>
        <v>252</v>
      </c>
      <c r="E42" s="2828">
        <v>409</v>
      </c>
      <c r="F42" s="2829">
        <v>227</v>
      </c>
      <c r="G42" s="3763">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64"/>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64"/>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65"/>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8" thickBot="1">
      <c r="A46" s="2806" t="s">
        <v>2304</v>
      </c>
      <c r="B46" s="2856">
        <v>278</v>
      </c>
      <c r="C46" s="2856">
        <v>234</v>
      </c>
      <c r="D46" s="2856">
        <f t="shared" si="241"/>
        <v>234</v>
      </c>
      <c r="E46" s="2856">
        <v>379</v>
      </c>
      <c r="F46" s="2857">
        <v>220</v>
      </c>
      <c r="G46" s="3760">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61"/>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61"/>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8" thickBot="1">
      <c r="A49" s="2806" t="s">
        <v>2307</v>
      </c>
      <c r="B49" s="2807">
        <f>B48/(1+N48)</f>
        <v>275.19025476197027</v>
      </c>
      <c r="C49" s="2858">
        <v>232</v>
      </c>
      <c r="D49" s="2858">
        <f t="shared" si="241"/>
        <v>232</v>
      </c>
      <c r="E49" s="2807">
        <f t="shared" si="252"/>
        <v>375.65990977608692</v>
      </c>
      <c r="F49" s="2807">
        <f t="shared" si="252"/>
        <v>214.12518283971252</v>
      </c>
      <c r="G49" s="3762"/>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8" thickBot="1">
      <c r="A50" s="2806" t="s">
        <v>2308</v>
      </c>
      <c r="B50" s="2828">
        <v>275</v>
      </c>
      <c r="C50" s="2828">
        <v>232</v>
      </c>
      <c r="D50" s="2828">
        <f t="shared" si="241"/>
        <v>232</v>
      </c>
      <c r="E50" s="2828">
        <v>376</v>
      </c>
      <c r="F50" s="2829">
        <v>213</v>
      </c>
      <c r="G50" s="3760">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61">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61">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8"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62">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8" thickBot="1">
      <c r="A54" s="2806" t="s">
        <v>2312</v>
      </c>
      <c r="B54" s="2828">
        <v>269</v>
      </c>
      <c r="C54" s="2828">
        <v>221</v>
      </c>
      <c r="D54" s="2828">
        <f t="shared" si="241"/>
        <v>221</v>
      </c>
      <c r="E54" s="2828">
        <v>373</v>
      </c>
      <c r="F54" s="2829">
        <v>196</v>
      </c>
      <c r="G54" s="3760">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61">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61">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8"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62">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8" thickBot="1">
      <c r="A58" s="2806" t="s">
        <v>2316</v>
      </c>
      <c r="B58" s="2828">
        <v>220</v>
      </c>
      <c r="C58" s="2828">
        <v>187</v>
      </c>
      <c r="D58" s="2828">
        <f t="shared" si="241"/>
        <v>187</v>
      </c>
      <c r="E58" s="2828">
        <v>301</v>
      </c>
      <c r="F58" s="2829">
        <v>168</v>
      </c>
      <c r="G58" s="3760">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61">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61">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62">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8" thickBot="1">
      <c r="A62" s="2806" t="s">
        <v>2320</v>
      </c>
      <c r="B62" s="2856">
        <v>214</v>
      </c>
      <c r="C62" s="2856">
        <v>188</v>
      </c>
      <c r="D62" s="2856">
        <f t="shared" si="241"/>
        <v>188</v>
      </c>
      <c r="E62" s="2856">
        <v>289</v>
      </c>
      <c r="F62" s="2857">
        <v>166</v>
      </c>
      <c r="G62" s="3760">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61">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61">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8"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62">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8" thickBot="1">
      <c r="A66" s="2806" t="s">
        <v>2324</v>
      </c>
      <c r="B66" s="2828">
        <v>188</v>
      </c>
      <c r="C66" s="2828">
        <v>165</v>
      </c>
      <c r="D66" s="2828">
        <f t="shared" si="241"/>
        <v>165</v>
      </c>
      <c r="E66" s="2828">
        <v>254</v>
      </c>
      <c r="F66" s="2829">
        <v>148</v>
      </c>
      <c r="G66" s="3760">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61">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61">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62">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8" thickBot="1">
      <c r="A70" s="2806" t="s">
        <v>2328</v>
      </c>
      <c r="B70" s="2835">
        <v>159</v>
      </c>
      <c r="C70" s="2835">
        <v>141</v>
      </c>
      <c r="D70" s="2835">
        <f t="shared" si="241"/>
        <v>141</v>
      </c>
      <c r="E70" s="2835">
        <v>195</v>
      </c>
      <c r="F70" s="2836">
        <v>122</v>
      </c>
      <c r="G70" s="3760">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61">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61">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62">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8" thickBot="1">
      <c r="A74" s="2806" t="s">
        <v>2332</v>
      </c>
      <c r="B74" s="2835">
        <v>138</v>
      </c>
      <c r="C74" s="2835">
        <v>131</v>
      </c>
      <c r="D74" s="2835">
        <f t="shared" si="241"/>
        <v>131</v>
      </c>
      <c r="E74" s="2835">
        <v>155</v>
      </c>
      <c r="F74" s="2836">
        <v>114</v>
      </c>
      <c r="G74" s="3760">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61">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61">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62">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8" thickBot="1">
      <c r="A78" s="2806" t="s">
        <v>2336</v>
      </c>
      <c r="B78" s="2856">
        <v>121</v>
      </c>
      <c r="C78" s="2856">
        <v>122</v>
      </c>
      <c r="D78" s="2856">
        <f t="shared" si="241"/>
        <v>122</v>
      </c>
      <c r="E78" s="2856">
        <v>124</v>
      </c>
      <c r="F78" s="2857">
        <v>107</v>
      </c>
      <c r="G78" s="3760">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61">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61">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8"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62">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8" thickBot="1">
      <c r="A82" s="2806" t="s">
        <v>2340</v>
      </c>
      <c r="B82" s="2876">
        <v>111</v>
      </c>
      <c r="C82" s="2876">
        <v>114</v>
      </c>
      <c r="D82" s="2876">
        <f t="shared" si="241"/>
        <v>114</v>
      </c>
      <c r="E82" s="2876">
        <v>108</v>
      </c>
      <c r="F82" s="2877">
        <v>104</v>
      </c>
      <c r="G82" s="3760">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61">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61">
        <v>2003</v>
      </c>
      <c r="H84" s="2821">
        <v>2</v>
      </c>
      <c r="I84" s="2878"/>
      <c r="J84" s="2878"/>
      <c r="K84" s="2878"/>
      <c r="L84" s="2878"/>
      <c r="X84" s="2870"/>
      <c r="Y84" s="2870"/>
      <c r="Z84" s="2870"/>
    </row>
    <row r="85" spans="1:26" ht="13.8" thickBot="1">
      <c r="A85" s="2806" t="s">
        <v>2343</v>
      </c>
      <c r="B85" s="2880">
        <f t="shared" si="277"/>
        <v>107.25</v>
      </c>
      <c r="C85" s="2880">
        <f t="shared" si="277"/>
        <v>108.75</v>
      </c>
      <c r="D85" s="2880">
        <f t="shared" si="241"/>
        <v>108.75</v>
      </c>
      <c r="E85" s="2880">
        <f t="shared" si="278"/>
        <v>105.75</v>
      </c>
      <c r="F85" s="2880">
        <f t="shared" si="278"/>
        <v>102.5</v>
      </c>
      <c r="G85" s="3762">
        <v>2003</v>
      </c>
      <c r="H85" s="2881">
        <v>1</v>
      </c>
      <c r="I85" s="2878"/>
      <c r="J85" s="2878"/>
      <c r="K85" s="2878"/>
      <c r="L85" s="2878"/>
      <c r="S85" s="2809"/>
      <c r="T85" s="2805"/>
      <c r="U85" s="2805"/>
      <c r="X85" s="2870"/>
      <c r="Y85" s="2870"/>
      <c r="Z85" s="2870"/>
    </row>
    <row r="86" spans="1:26" ht="13.8" thickBot="1">
      <c r="A86" s="2806" t="s">
        <v>2344</v>
      </c>
      <c r="B86" s="2882">
        <v>106</v>
      </c>
      <c r="C86" s="2882">
        <v>107</v>
      </c>
      <c r="D86" s="2882">
        <f t="shared" si="241"/>
        <v>107</v>
      </c>
      <c r="E86" s="2882">
        <v>105</v>
      </c>
      <c r="F86" s="2883">
        <v>102</v>
      </c>
      <c r="G86" s="3760">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61">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61">
        <v>2002</v>
      </c>
      <c r="H88" s="2821">
        <v>2</v>
      </c>
      <c r="I88" s="2878"/>
      <c r="J88" s="2878"/>
      <c r="K88" s="2878"/>
      <c r="L88" s="2878"/>
      <c r="X88" s="2870"/>
      <c r="Y88" s="2870"/>
      <c r="Z88" s="2870"/>
    </row>
    <row r="89" spans="1:26" s="2843" customFormat="1" ht="13.8" thickBot="1">
      <c r="A89" s="2839" t="s">
        <v>2347</v>
      </c>
      <c r="B89" s="2846">
        <f t="shared" si="279"/>
        <v>103</v>
      </c>
      <c r="C89" s="2846">
        <f t="shared" si="279"/>
        <v>104</v>
      </c>
      <c r="D89" s="2846">
        <f t="shared" si="241"/>
        <v>104</v>
      </c>
      <c r="E89" s="2846">
        <f t="shared" si="280"/>
        <v>103.5</v>
      </c>
      <c r="F89" s="2846">
        <f t="shared" si="280"/>
        <v>100.5</v>
      </c>
      <c r="G89" s="3762">
        <v>2002</v>
      </c>
      <c r="H89" s="2884">
        <v>1</v>
      </c>
      <c r="I89" s="2885"/>
      <c r="J89" s="2885"/>
      <c r="K89" s="2885"/>
      <c r="L89" s="2885"/>
      <c r="N89" s="2886"/>
      <c r="S89" s="2886"/>
      <c r="X89" s="2887"/>
      <c r="Y89" s="2887"/>
      <c r="Z89" s="2887"/>
    </row>
    <row r="90" spans="1:26" ht="13.8"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8"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8"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156" customWidth="1"/>
    <col min="2" max="2" width="12.44140625" style="3156" customWidth="1"/>
    <col min="3" max="3" width="12.109375" style="3156" customWidth="1"/>
    <col min="4" max="4" width="16.6640625" style="3156" customWidth="1"/>
    <col min="5" max="5" width="12.44140625" style="3156" customWidth="1"/>
    <col min="6" max="6" width="12.77734375" style="3156" customWidth="1"/>
    <col min="7" max="16384" width="8.88671875" style="3156"/>
  </cols>
  <sheetData>
    <row r="1" spans="1:14" ht="20.399999999999999">
      <c r="A1" s="3159" t="s">
        <v>2650</v>
      </c>
      <c r="B1" s="3154"/>
      <c r="C1" s="3154"/>
      <c r="D1" s="3154"/>
      <c r="E1" s="3154"/>
      <c r="F1" s="3154"/>
      <c r="G1" s="3155"/>
      <c r="H1" s="3155"/>
      <c r="I1" s="3155"/>
      <c r="J1" s="3155"/>
      <c r="K1" s="3155"/>
      <c r="L1" s="3155"/>
      <c r="M1" s="3155"/>
      <c r="N1" s="3155"/>
    </row>
    <row r="2" spans="1:14" ht="15.6">
      <c r="A2" s="3160" t="s">
        <v>2645</v>
      </c>
      <c r="B2" s="3165">
        <f ca="1">SUMIF(B7:B14,"&lt;&gt;#ref!",B7:B14)</f>
        <v>0</v>
      </c>
      <c r="C2" s="3160" t="s">
        <v>2646</v>
      </c>
      <c r="D2" s="3157"/>
      <c r="E2" s="3157"/>
      <c r="F2" s="3157"/>
      <c r="G2" s="3155"/>
      <c r="H2" s="3155"/>
      <c r="I2" s="3155"/>
      <c r="J2" s="3155"/>
      <c r="K2" s="3155"/>
      <c r="L2" s="3155"/>
      <c r="M2" s="3155"/>
      <c r="N2" s="3155"/>
    </row>
    <row r="3" spans="1:14" ht="15.6">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5.6">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5.6">
      <c r="A5" s="3161"/>
      <c r="B5" s="3157"/>
      <c r="C5" s="3157"/>
      <c r="D5" s="3157"/>
      <c r="E5" s="3157"/>
      <c r="F5" s="3157"/>
      <c r="G5" s="3155"/>
      <c r="H5" s="3155"/>
      <c r="I5" s="3155"/>
      <c r="J5" s="3155"/>
      <c r="K5" s="3155"/>
      <c r="L5" s="3155"/>
      <c r="M5" s="3155"/>
      <c r="N5" s="3155"/>
    </row>
    <row r="6" spans="1:14" ht="31.2">
      <c r="A6" s="3162" t="s">
        <v>2651</v>
      </c>
      <c r="B6" s="3160" t="s">
        <v>2648</v>
      </c>
      <c r="C6" s="2708"/>
      <c r="D6" s="3157"/>
      <c r="E6" s="3160" t="s">
        <v>2649</v>
      </c>
      <c r="F6" s="3160" t="s">
        <v>2652</v>
      </c>
      <c r="G6" s="3155"/>
      <c r="H6" s="3155"/>
      <c r="I6" s="3155"/>
      <c r="J6" s="3155"/>
      <c r="K6" s="3155"/>
      <c r="L6" s="3155"/>
      <c r="M6" s="3155"/>
      <c r="N6" s="3155"/>
    </row>
    <row r="7" spans="1:14" ht="15.6">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5.6">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5.6">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5.6">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5.6">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5.6">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5.6">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5.6">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640625" style="1935" customWidth="1"/>
    <col min="3" max="3" width="11.88671875" style="1935" customWidth="1"/>
    <col min="4" max="4" width="40.44140625" style="1897" customWidth="1"/>
    <col min="5" max="5" width="15.77734375" style="1897" customWidth="1"/>
    <col min="6" max="6" width="10.6640625" style="1897" customWidth="1"/>
    <col min="7" max="7" width="4.88671875" style="1897" customWidth="1"/>
    <col min="8" max="8" width="8.44140625" style="1897" customWidth="1"/>
    <col min="9" max="9" width="21.21875" style="1897" customWidth="1"/>
    <col min="10" max="10" width="12.21875" style="1897" customWidth="1"/>
    <col min="11" max="11" width="40.109375" style="1936" customWidth="1"/>
    <col min="12" max="12" width="18.33203125" style="1897" customWidth="1"/>
    <col min="13" max="13" width="13" style="1897" customWidth="1"/>
    <col min="14" max="14" width="9.44140625" style="1896" bestFit="1" customWidth="1"/>
    <col min="15" max="15" width="8.33203125" style="1896" customWidth="1"/>
    <col min="16" max="16" width="30.21875" style="1896" customWidth="1"/>
    <col min="17" max="17" width="13.77734375" style="1896" customWidth="1"/>
    <col min="18" max="18" width="22.21875" style="1896" customWidth="1"/>
    <col min="19" max="19" width="1.44140625" style="1896" customWidth="1"/>
    <col min="20" max="25" width="9" style="1896"/>
    <col min="26" max="16384" width="9" style="1897"/>
  </cols>
  <sheetData>
    <row r="1" spans="1:25" s="1891" customFormat="1" ht="21.6">
      <c r="A1" s="745" t="s">
        <v>610</v>
      </c>
      <c r="B1" s="713"/>
      <c r="C1" s="746"/>
      <c r="D1" s="1887"/>
      <c r="E1" s="2196" t="s">
        <v>2161</v>
      </c>
      <c r="F1" s="2197">
        <f ca="1">J54</f>
        <v>-2</v>
      </c>
      <c r="G1" s="747">
        <f>MATCH(C1,'数据-取费表'!A6:A16,0)+5</f>
        <v>8</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69" t="s">
        <v>2242</v>
      </c>
      <c r="C8" s="1695">
        <f ca="1">ROUND(F8*F10*F9*(1-F11)/10000,0)</f>
        <v>0</v>
      </c>
      <c r="D8" s="1692" t="s">
        <v>2252</v>
      </c>
      <c r="E8" s="61" t="s">
        <v>619</v>
      </c>
      <c r="F8" s="758">
        <f ca="1">INDIRECT("'数据-取费表'!u"&amp;$G$1)</f>
        <v>0</v>
      </c>
      <c r="G8" s="1482"/>
      <c r="H8" s="2309" t="s">
        <v>1624</v>
      </c>
      <c r="I8" s="3769" t="s">
        <v>2242</v>
      </c>
      <c r="J8" s="756">
        <f ca="1">ROUND(M8*M10*M9*(1-M11)/10000,0)</f>
        <v>0</v>
      </c>
      <c r="K8" s="339" t="s">
        <v>2252</v>
      </c>
      <c r="L8" s="757" t="s">
        <v>1538</v>
      </c>
      <c r="M8" s="758">
        <f ca="1">INDIRECT("'数据-取费表'!z"&amp;$G$1)</f>
        <v>0</v>
      </c>
    </row>
    <row r="9" spans="1:25" ht="18" customHeight="1">
      <c r="A9" s="2305"/>
      <c r="B9" s="3770"/>
      <c r="C9" s="1696"/>
      <c r="D9" s="1693"/>
      <c r="E9" s="61" t="s">
        <v>620</v>
      </c>
      <c r="F9" s="758">
        <f ca="1">IF(INDIRECT("'数据-取费表'!ah"&amp;$G$1)="",INDIRECT("'数据-取费表'!k"&amp;$G$1),INDIRECT("'数据-取费表'!ah"&amp;$G$1))</f>
        <v>0</v>
      </c>
      <c r="G9" s="1482"/>
      <c r="H9" s="2294"/>
      <c r="I9" s="3770"/>
      <c r="J9" s="761"/>
      <c r="K9" s="762"/>
      <c r="L9" s="757" t="s">
        <v>1539</v>
      </c>
      <c r="M9" s="758">
        <f ca="1">F9</f>
        <v>0</v>
      </c>
    </row>
    <row r="10" spans="1:25" ht="18" customHeight="1">
      <c r="A10" s="2298"/>
      <c r="B10" s="3771"/>
      <c r="C10" s="1696"/>
      <c r="D10" s="1693"/>
      <c r="E10" s="61" t="s">
        <v>621</v>
      </c>
      <c r="F10" s="758">
        <f ca="1">INDIRECT("'数据-取费表'!ai"&amp;$G$1)</f>
        <v>0</v>
      </c>
      <c r="G10" s="1482"/>
      <c r="H10" s="2294"/>
      <c r="I10" s="3771"/>
      <c r="J10" s="761"/>
      <c r="K10" s="762"/>
      <c r="L10" s="757" t="s">
        <v>1540</v>
      </c>
      <c r="M10" s="758">
        <f ca="1">INDIRECT("'数据-取费表'!ai"&amp;$G$1)</f>
        <v>0</v>
      </c>
    </row>
    <row r="11" spans="1:25" ht="18" customHeight="1">
      <c r="A11" s="759"/>
      <c r="B11" s="3772"/>
      <c r="C11" s="1696"/>
      <c r="D11" s="1693"/>
      <c r="E11" s="61" t="s">
        <v>622</v>
      </c>
      <c r="F11" s="767">
        <f ca="1">INDIRECT("'数据-取费表'!w"&amp;$G$1)</f>
        <v>0</v>
      </c>
      <c r="G11" s="1482"/>
      <c r="H11" s="2310"/>
      <c r="I11" s="3771"/>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2671</v>
      </c>
      <c r="E12" s="2303" t="s">
        <v>2243</v>
      </c>
      <c r="F12" s="2387"/>
      <c r="G12" s="1482"/>
      <c r="H12" s="2337" t="s">
        <v>1625</v>
      </c>
      <c r="I12" s="2342" t="s">
        <v>2238</v>
      </c>
      <c r="J12" s="756">
        <f ca="1">ROUND(IF(M12="押一",J8/12*M13,IF(M12="押二",J8/12*2*M13,IF(M12="押三",J8/12*3*M13,J13*M13))),0)</f>
        <v>0</v>
      </c>
      <c r="K12" s="2306" t="s">
        <v>2671</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2</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8.0000000000000004E-4</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68"/>
      <c r="J36" s="1916"/>
      <c r="K36" s="1917"/>
      <c r="L36" s="1916"/>
      <c r="M36" s="1916"/>
    </row>
    <row r="37" spans="1:18" ht="18" customHeight="1">
      <c r="A37" s="787"/>
      <c r="B37" s="766"/>
      <c r="C37" s="69"/>
      <c r="D37" s="788"/>
      <c r="E37" s="757" t="s">
        <v>656</v>
      </c>
      <c r="F37" s="758">
        <f ca="1">INDIRECT("'数据-取费表'!r"&amp;$G$1)</f>
        <v>0</v>
      </c>
      <c r="G37" s="1899"/>
      <c r="H37" s="1902"/>
      <c r="I37" s="3768"/>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2661</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2664</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31.8" thickBot="1">
      <c r="A54" s="1932"/>
      <c r="I54" s="2723" t="s">
        <v>2675</v>
      </c>
      <c r="J54" s="2776">
        <f ca="1">IF(M48="住宅",MAX(J52,L49-'数据-取费表'!B20),MIN(J52,L49-'数据-取费表'!B20))</f>
        <v>-2</v>
      </c>
      <c r="K54" s="3773"/>
      <c r="L54" s="3774"/>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2"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7.4"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31.8"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31.8"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31.8"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6.2"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19.2" thickBot="1">
      <c r="A62" s="1932"/>
      <c r="B62" s="1933"/>
      <c r="C62" s="1933"/>
      <c r="K62" s="1922"/>
      <c r="O62" s="2210" t="s">
        <v>2173</v>
      </c>
      <c r="P62" s="2208" t="s">
        <v>2181</v>
      </c>
      <c r="Q62" s="2209">
        <f ca="1">L59</f>
        <v>0</v>
      </c>
      <c r="R62" s="2212" t="s">
        <v>2182</v>
      </c>
    </row>
    <row r="63" spans="1:18" s="1896" customFormat="1" ht="19.2"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6.2"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2" thickBot="1">
      <c r="A65" s="1932"/>
      <c r="B65" s="1933"/>
      <c r="C65" s="1933"/>
      <c r="I65" s="2742" t="s">
        <v>2158</v>
      </c>
      <c r="J65" s="2743">
        <v>50</v>
      </c>
      <c r="K65" s="2743">
        <v>35</v>
      </c>
      <c r="L65" s="2743">
        <v>60</v>
      </c>
      <c r="M65" s="818">
        <v>0</v>
      </c>
      <c r="O65" s="2213" t="s">
        <v>2202</v>
      </c>
      <c r="P65" s="1482"/>
      <c r="Q65" s="1490"/>
      <c r="R65" s="1482"/>
    </row>
    <row r="66" spans="1:18" s="1896" customFormat="1" ht="16.2"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6.2" thickBot="1">
      <c r="A67" s="1932"/>
      <c r="B67" s="1933"/>
      <c r="C67" s="1933"/>
      <c r="K67" s="1922"/>
      <c r="O67" s="2207" t="s">
        <v>2166</v>
      </c>
      <c r="P67" s="2208" t="s">
        <v>2192</v>
      </c>
      <c r="Q67" s="2209">
        <f ca="1">C41+J31</f>
        <v>0</v>
      </c>
      <c r="R67" s="2208" t="s">
        <v>2167</v>
      </c>
    </row>
    <row r="68" spans="1:18" s="1896" customFormat="1" ht="19.2" thickBot="1">
      <c r="A68" s="1932"/>
      <c r="B68" s="1933"/>
      <c r="C68" s="1933"/>
      <c r="K68" s="1922"/>
      <c r="O68" s="2207" t="s">
        <v>2168</v>
      </c>
      <c r="P68" s="2208" t="s">
        <v>2199</v>
      </c>
      <c r="Q68" s="2209" t="e">
        <f ca="1">L61</f>
        <v>#DIV/0!</v>
      </c>
      <c r="R68" s="2212" t="s">
        <v>2201</v>
      </c>
    </row>
    <row r="69" spans="1:18" s="1896" customFormat="1" ht="20.399999999999999" thickBot="1">
      <c r="A69" s="1932"/>
      <c r="B69" s="1933"/>
      <c r="C69" s="1933"/>
      <c r="K69" s="1922"/>
      <c r="O69" s="2210" t="s">
        <v>2170</v>
      </c>
      <c r="P69" s="2208" t="s">
        <v>2200</v>
      </c>
      <c r="Q69" s="2214">
        <f ca="1">L52</f>
        <v>0</v>
      </c>
      <c r="R69" s="2215" t="s">
        <v>2203</v>
      </c>
    </row>
    <row r="70" spans="1:18" s="1896" customFormat="1" ht="19.2" thickBot="1">
      <c r="A70" s="1932"/>
      <c r="B70" s="1933"/>
      <c r="C70" s="1933"/>
      <c r="K70" s="1922"/>
      <c r="O70" s="2210" t="s">
        <v>2171</v>
      </c>
      <c r="P70" s="2216" t="s">
        <v>2185</v>
      </c>
      <c r="Q70" s="2209">
        <f ca="1">ROUND(Q71-Q72*Q73,0)</f>
        <v>0</v>
      </c>
      <c r="R70" s="2212"/>
    </row>
    <row r="71" spans="1:18" s="1896" customFormat="1" ht="16.2" thickBot="1">
      <c r="A71" s="1932"/>
      <c r="B71" s="1933"/>
      <c r="C71" s="1933"/>
      <c r="K71" s="1922"/>
      <c r="O71" s="2210" t="s">
        <v>2186</v>
      </c>
      <c r="P71" s="2216" t="s">
        <v>2187</v>
      </c>
      <c r="Q71" s="2209">
        <f ca="1">C42</f>
        <v>0</v>
      </c>
      <c r="R71" s="2208" t="s">
        <v>2167</v>
      </c>
    </row>
    <row r="72" spans="1:18" s="1896" customFormat="1" ht="16.2" thickBot="1">
      <c r="A72" s="1932"/>
      <c r="B72" s="1933"/>
      <c r="C72" s="1933"/>
      <c r="K72" s="1922"/>
      <c r="O72" s="2210" t="s">
        <v>2188</v>
      </c>
      <c r="P72" s="2216" t="s">
        <v>2189</v>
      </c>
      <c r="Q72" s="2209">
        <f ca="1">C15</f>
        <v>0</v>
      </c>
      <c r="R72" s="2208" t="s">
        <v>2167</v>
      </c>
    </row>
    <row r="73" spans="1:18" s="1896" customFormat="1" ht="16.2" thickBot="1">
      <c r="A73" s="1932"/>
      <c r="B73" s="1933"/>
      <c r="C73" s="1933"/>
      <c r="K73" s="1922"/>
      <c r="O73" s="2210" t="s">
        <v>2190</v>
      </c>
      <c r="P73" s="2216" t="s">
        <v>2191</v>
      </c>
      <c r="Q73" s="2211">
        <f ca="1">F43</f>
        <v>0</v>
      </c>
      <c r="R73" s="2212"/>
    </row>
    <row r="74" spans="1:18" s="1896" customFormat="1" ht="16.2" thickBot="1">
      <c r="A74" s="1932"/>
      <c r="B74" s="1933"/>
      <c r="C74" s="1933"/>
      <c r="K74" s="1922"/>
      <c r="O74" s="2210" t="s">
        <v>2173</v>
      </c>
      <c r="P74" s="2208" t="s">
        <v>2180</v>
      </c>
      <c r="Q74" s="2211">
        <f>L53</f>
        <v>0</v>
      </c>
      <c r="R74" s="2212"/>
    </row>
    <row r="75" spans="1:18" s="1896" customFormat="1" ht="19.2" thickBot="1">
      <c r="A75" s="1932"/>
      <c r="B75" s="1933"/>
      <c r="C75" s="1933"/>
      <c r="K75" s="1922"/>
      <c r="O75" s="2210" t="s">
        <v>2175</v>
      </c>
      <c r="P75" s="2208" t="s">
        <v>2181</v>
      </c>
      <c r="Q75" s="2209">
        <f ca="1">L59</f>
        <v>0</v>
      </c>
      <c r="R75" s="2212" t="s">
        <v>2182</v>
      </c>
    </row>
    <row r="76" spans="1:18" s="1896" customFormat="1" ht="19.2" thickBot="1">
      <c r="A76" s="1932"/>
      <c r="B76" s="1933"/>
      <c r="C76" s="1933"/>
      <c r="K76" s="1922"/>
      <c r="O76" s="2210" t="s">
        <v>2204</v>
      </c>
      <c r="P76" s="2208" t="s">
        <v>2183</v>
      </c>
      <c r="Q76" s="2209">
        <f ca="1">L60</f>
        <v>0</v>
      </c>
      <c r="R76" s="2212" t="s">
        <v>2184</v>
      </c>
    </row>
    <row r="77" spans="1:18" s="1896" customFormat="1" ht="16.2"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7" priority="6">
      <formula>$F$12="自定义"</formula>
    </cfRule>
  </conditionalFormatting>
  <conditionalFormatting sqref="J13">
    <cfRule type="expression" dxfId="156" priority="5">
      <formula>$M$10="自定义"</formula>
    </cfRule>
  </conditionalFormatting>
  <conditionalFormatting sqref="K56">
    <cfRule type="expression" dxfId="155" priority="3">
      <formula>$L$48&gt;$J$51</formula>
    </cfRule>
  </conditionalFormatting>
  <conditionalFormatting sqref="I56">
    <cfRule type="expression" dxfId="154" priority="4">
      <formula>$J$51&gt;$L$48</formula>
    </cfRule>
  </conditionalFormatting>
  <conditionalFormatting sqref="I61">
    <cfRule type="expression" dxfId="153" priority="2">
      <formula>$J$51&gt;$L$48</formula>
    </cfRule>
  </conditionalFormatting>
  <conditionalFormatting sqref="K61">
    <cfRule type="expression" dxfId="15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E19" sqref="A19:E19"/>
    </sheetView>
  </sheetViews>
  <sheetFormatPr defaultColWidth="6.6640625" defaultRowHeight="13.2"/>
  <cols>
    <col min="1" max="1" width="9.77734375" style="1960" customWidth="1"/>
    <col min="2" max="2" width="25.77734375" style="1950" customWidth="1"/>
    <col min="3" max="3" width="10.33203125" style="1961" customWidth="1"/>
    <col min="4" max="4" width="12" style="1950" customWidth="1"/>
    <col min="5" max="5" width="9.44140625" style="1960" customWidth="1"/>
    <col min="6" max="6" width="10.109375" style="1950" customWidth="1"/>
    <col min="7" max="7" width="11.6640625" style="1950" customWidth="1"/>
    <col min="8" max="8" width="10" style="1950" customWidth="1"/>
    <col min="9" max="11" width="9.44140625" style="1950" customWidth="1"/>
    <col min="12" max="12" width="9" style="1951" customWidth="1"/>
    <col min="13" max="13" width="10.44140625" style="1951" bestFit="1" customWidth="1"/>
    <col min="14" max="26" width="9" style="1951" customWidth="1"/>
    <col min="27" max="254" width="9" style="1950" customWidth="1"/>
    <col min="255" max="16384" width="6.6640625" style="1950"/>
  </cols>
  <sheetData>
    <row r="1" spans="1:31" s="1878" customFormat="1" ht="21">
      <c r="A1" s="1939"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31" s="1878" customFormat="1" ht="18" customHeight="1">
      <c r="A2" s="1937" t="s">
        <v>461</v>
      </c>
      <c r="B2" s="1941">
        <f ca="1">C36</f>
        <v>153092</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15469</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47404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3160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260219</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4.4">
      <c r="A7" s="2471" t="s">
        <v>464</v>
      </c>
      <c r="B7" s="2472" t="s">
        <v>465</v>
      </c>
      <c r="C7" s="430" t="s">
        <v>902</v>
      </c>
      <c r="D7" s="430" t="s">
        <v>35</v>
      </c>
      <c r="E7" s="430"/>
      <c r="F7" s="430"/>
      <c r="G7" s="430"/>
      <c r="H7" s="430"/>
      <c r="I7" s="430"/>
      <c r="J7" s="430"/>
      <c r="K7" s="431"/>
      <c r="AA7" s="1948"/>
      <c r="AB7" s="1948"/>
      <c r="AC7" s="1948"/>
      <c r="AD7" s="1948"/>
      <c r="AE7" s="1948"/>
    </row>
    <row r="8" spans="1:31" s="1951" customFormat="1" ht="13.5" customHeight="1">
      <c r="A8" s="776" t="s">
        <v>1645</v>
      </c>
      <c r="B8" s="259" t="s">
        <v>466</v>
      </c>
      <c r="C8" s="2473">
        <f>'不动产比较法-新房'!B3</f>
        <v>41677</v>
      </c>
      <c r="D8" s="2473">
        <f ca="1">'不动产收益法-车位'!B3</f>
        <v>3371</v>
      </c>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60651.07</v>
      </c>
      <c r="D9" s="435">
        <f>SUMIF('数据-汇总表'!$C19:$C33,'剩余法-待开发'!D7,'数据-汇总表'!$E19:$E33)</f>
        <v>22085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'不动产比较法-新房'!B2</f>
        <v>252775</v>
      </c>
      <c r="D10" s="2663">
        <f ca="1">'不动产收益法-车位'!B2</f>
        <v>7444</v>
      </c>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40621</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1219</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1516</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1979</v>
      </c>
      <c r="D16" s="2483">
        <f ca="1">IF(B1="",'数据-汇总表'!E3,INDIRECT("'数据-取费表'!K"&amp;$K$1)+INDIRECT("'数据-取费表'!S"&amp;$K$1))</f>
        <v>98965.430000000008</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609</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45944</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1188</v>
      </c>
      <c r="D19" s="2493">
        <f ca="1">D16</f>
        <v>98965.430000000008</v>
      </c>
      <c r="E19" s="2447">
        <f>'数据-取费表'!B32</f>
        <v>120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1736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970</v>
      </c>
      <c r="D21" s="2483">
        <f ca="1">IF(B1="",'数据-汇总表'!E5,IF(INDIRECT("'数据-取费表'!c"&amp;$K$1)="住宅",INDIRECT("'数据-取费表'!k"&amp;$K$1),0))</f>
        <v>60651.07</v>
      </c>
      <c r="E21" s="53">
        <f>'数据-取费表'!B27</f>
        <v>160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766</v>
      </c>
      <c r="D22" s="2483">
        <f ca="1">IF(B1="",'数据-汇总表'!E6,IF(INDIRECT("'数据-取费表'!c"&amp;$K$1)="住宅",INDIRECT("'数据-取费表'!s"&amp;$K$1),INDIRECT("'数据-取费表'!k"&amp;$K$1)+INDIRECT("'数据-取费表'!s"&amp;$K$1)))</f>
        <v>38314.360000000008</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977</v>
      </c>
      <c r="D23" s="461"/>
      <c r="E23" s="461"/>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 ca="1">ROUND(C6*F24,0)</f>
        <v>5204</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60">
        <f ca="1">C27</f>
        <v>0</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0</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13631</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68680</v>
      </c>
      <c r="D30" s="470">
        <f ca="1">C32</f>
        <v>2.9000000000000001E-2</v>
      </c>
      <c r="E30" s="462" t="s">
        <v>489</v>
      </c>
      <c r="F30" s="464"/>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68680</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2.9000000000000001E-2</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8808</v>
      </c>
      <c r="D33" s="460">
        <f ca="1">C34</f>
        <v>0.1646</v>
      </c>
      <c r="E33" s="462" t="s">
        <v>489</v>
      </c>
      <c r="F33" s="472">
        <f ca="1">IF(B1="",'数据-取费表'!Q16,INDIRECT("'数据-取费表'!q"&amp;$K$1))</f>
        <v>0.16</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0.1646</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8808</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153092</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48" customWidth="1"/>
    <col min="2" max="2" width="9" style="1648"/>
    <col min="3" max="4" width="9.6640625" style="1648" customWidth="1"/>
    <col min="5" max="16384" width="9" style="1648"/>
  </cols>
  <sheetData>
    <row r="1" spans="1:4" ht="22.2">
      <c r="A1" s="1647" t="s">
        <v>1700</v>
      </c>
    </row>
    <row r="2" spans="1:4">
      <c r="A2" s="1649"/>
    </row>
    <row r="3" spans="1:4" ht="17.399999999999999">
      <c r="A3" s="1667" t="str">
        <f>项目基本情况!B5&amp;"："</f>
        <v>：</v>
      </c>
    </row>
    <row r="4" spans="1:4" ht="34.799999999999997">
      <c r="A4" s="1661" t="str">
        <f>"受贵公司委托，我公司对"&amp;项目基本情况!K2&amp;项目基本情况!B9&amp;"进行了预评估。"</f>
        <v>受贵公司委托，我公司对北京市出让国有建设用地使用权抵押价格进行了预评估。</v>
      </c>
    </row>
    <row r="5" spans="1:4" ht="17.399999999999999">
      <c r="A5" s="1664" t="s">
        <v>1701</v>
      </c>
    </row>
    <row r="6" spans="1:4" ht="69.599999999999994">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52.2">
      <c r="A7" s="1665" t="s">
        <v>2464</v>
      </c>
    </row>
    <row r="8" spans="1:4" ht="17.399999999999999">
      <c r="A8" s="1664" t="s">
        <v>1702</v>
      </c>
    </row>
    <row r="9" spans="1:4" ht="69.599999999999994">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67" t="s">
        <v>1818</v>
      </c>
    </row>
    <row r="11" spans="1:4" ht="17.399999999999999">
      <c r="A11" s="1650" t="str">
        <f>TEXT(项目基本情况!D3,"yyyy年m月d日;;")&amp;IF(项目基本情况!B3=项目基本情况!D3,"（评估专业人员勘察现场之日）","")</f>
        <v>2022年7月14日</v>
      </c>
    </row>
    <row r="12" spans="1:4" ht="17.399999999999999">
      <c r="A12" s="1667" t="s">
        <v>1817</v>
      </c>
    </row>
    <row r="13" spans="1:4" ht="17.399999999999999">
      <c r="A13" s="1661" t="s">
        <v>2643</v>
      </c>
    </row>
    <row r="14" spans="1:4" ht="17.399999999999999">
      <c r="A14" s="1661" t="str">
        <f>"根据"&amp;项目基本情况!F12&amp;"，本次评估估价对象证载（地类）用途为"&amp;项目基本情况!B12&amp;"。"</f>
        <v>根据《国有土地使用证》[]，本次评估估价对象证载（地类）用途为。</v>
      </c>
      <c r="C14" s="1651"/>
      <c r="D14" s="1652"/>
    </row>
    <row r="15" spans="1:4" ht="17.399999999999999">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7.399999999999999">
      <c r="A16" s="1661" t="s">
        <v>1864</v>
      </c>
    </row>
    <row r="17" spans="1:1" ht="52.2">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61" t="s">
        <v>1865</v>
      </c>
    </row>
    <row r="20" spans="1:1" ht="52.2">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17.399999999999999">
      <c r="A21" s="1661" t="s">
        <v>1866</v>
      </c>
    </row>
    <row r="22" spans="1:1" ht="87">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23" spans="1:1" ht="17.399999999999999">
      <c r="A23" s="1661" t="str">
        <f>IF(项目基本情况!B16="出让","本次评估设定估价对象剩余土地使用年限为"&amp;项目基本情况!D20&amp;"。","")</f>
        <v>本次评估设定估价对象剩余土地使用年限为。</v>
      </c>
    </row>
    <row r="24" spans="1:1" ht="17.399999999999999">
      <c r="A24" s="1661" t="s">
        <v>1867</v>
      </c>
    </row>
    <row r="25" spans="1:1" ht="87">
      <c r="A25" s="1661"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52.2">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7" t="s">
        <v>1819</v>
      </c>
    </row>
    <row r="30" spans="1:1" ht="69.599999999999994">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7.399999999999999">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40" sqref="C40"/>
    </sheetView>
  </sheetViews>
  <sheetFormatPr defaultColWidth="9" defaultRowHeight="15"/>
  <cols>
    <col min="1" max="1" width="9" style="1897" customWidth="1"/>
    <col min="2" max="2" width="20.6640625" style="1935" customWidth="1"/>
    <col min="3" max="3" width="11.88671875" style="1935" customWidth="1"/>
    <col min="4" max="4" width="40.44140625" style="1897" customWidth="1"/>
    <col min="5" max="5" width="15.77734375" style="1897" customWidth="1"/>
    <col min="6" max="6" width="10.6640625" style="1897" customWidth="1"/>
    <col min="7" max="7" width="4.88671875" style="1897" customWidth="1"/>
    <col min="8" max="8" width="8.44140625" style="1897" customWidth="1"/>
    <col min="9" max="9" width="21.21875" style="1897" customWidth="1"/>
    <col min="10" max="10" width="12.21875" style="1897" customWidth="1"/>
    <col min="11" max="11" width="40.109375" style="1936" customWidth="1"/>
    <col min="12" max="12" width="18.33203125" style="1897" customWidth="1"/>
    <col min="13" max="13" width="13" style="1897" customWidth="1"/>
    <col min="14" max="14" width="9.44140625" style="1896" bestFit="1" customWidth="1"/>
    <col min="15" max="15" width="5.88671875" style="1896" customWidth="1"/>
    <col min="16" max="16" width="27.6640625" style="1896" customWidth="1"/>
    <col min="17" max="17" width="13.77734375" style="1933" customWidth="1"/>
    <col min="18" max="18" width="23.44140625" style="1896" customWidth="1"/>
    <col min="19" max="19" width="1.44140625" style="1896" customWidth="1"/>
    <col min="20" max="33" width="9" style="1896"/>
    <col min="34" max="16384" width="9" style="1897"/>
  </cols>
  <sheetData>
    <row r="1" spans="1:33" s="1891" customFormat="1" ht="21.6">
      <c r="A1" s="804" t="s">
        <v>1525</v>
      </c>
      <c r="B1" s="713"/>
      <c r="C1" s="746" t="s">
        <v>902</v>
      </c>
      <c r="D1" s="2716" t="s">
        <v>3155</v>
      </c>
      <c r="E1" s="2196" t="s">
        <v>2161</v>
      </c>
      <c r="F1" s="2197">
        <f ca="1">J53</f>
        <v>66.87</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38340</v>
      </c>
      <c r="C2" s="3172"/>
      <c r="D2" s="3173"/>
      <c r="E2" s="3174"/>
      <c r="F2" s="3174"/>
      <c r="G2" s="3168"/>
      <c r="H2" s="1894"/>
      <c r="I2" s="1894"/>
      <c r="J2" s="1894"/>
      <c r="K2" s="1895"/>
      <c r="L2" s="1894"/>
      <c r="M2" s="1894"/>
    </row>
    <row r="3" spans="1:33" ht="18" customHeight="1" thickBot="1">
      <c r="A3" s="805" t="s">
        <v>1527</v>
      </c>
      <c r="B3" s="806">
        <f ca="1">IF(ISERROR(B2*10000/F43),0,ROUND(B2*10000/F43,0))</f>
        <v>6321</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3768</v>
      </c>
      <c r="D5" s="2301" t="s">
        <v>2240</v>
      </c>
      <c r="E5" s="2295"/>
      <c r="F5" s="2296"/>
      <c r="G5" s="1899"/>
      <c r="H5" s="754">
        <v>1</v>
      </c>
      <c r="I5" s="755" t="s">
        <v>2237</v>
      </c>
      <c r="J5" s="55">
        <f ca="1">J6+J10+J12</f>
        <v>0</v>
      </c>
      <c r="K5" s="2301" t="s">
        <v>2240</v>
      </c>
      <c r="L5" s="2295"/>
      <c r="M5" s="2296"/>
    </row>
    <row r="6" spans="1:33" ht="18" customHeight="1">
      <c r="A6" s="1700" t="s">
        <v>1624</v>
      </c>
      <c r="B6" s="3769" t="s">
        <v>2242</v>
      </c>
      <c r="C6" s="756">
        <f ca="1">ROUND(F6*F8*F7*(1-F9)/10000,0)</f>
        <v>3763</v>
      </c>
      <c r="D6" s="2302" t="s">
        <v>2241</v>
      </c>
      <c r="E6" s="757" t="s">
        <v>1538</v>
      </c>
      <c r="F6" s="758">
        <f ca="1">INDIRECT("'数据-取费表'!u"&amp;$G$1)</f>
        <v>2</v>
      </c>
      <c r="G6" s="1899"/>
      <c r="H6" s="2309" t="s">
        <v>2247</v>
      </c>
      <c r="I6" s="3769" t="s">
        <v>2242</v>
      </c>
      <c r="J6" s="756">
        <f ca="1">ROUND(M6*M8*M7*(1-M9)/10000,0)</f>
        <v>0</v>
      </c>
      <c r="K6" s="339" t="s">
        <v>1537</v>
      </c>
      <c r="L6" s="757" t="s">
        <v>1538</v>
      </c>
      <c r="M6" s="758">
        <f ca="1">INDIRECT("'数据-取费表'!z"&amp;$G$1)</f>
        <v>0</v>
      </c>
    </row>
    <row r="7" spans="1:33" ht="18" customHeight="1">
      <c r="A7" s="2305"/>
      <c r="B7" s="3770"/>
      <c r="C7" s="761"/>
      <c r="D7" s="762"/>
      <c r="E7" s="757" t="s">
        <v>1539</v>
      </c>
      <c r="F7" s="758">
        <f ca="1">IF(INDIRECT("'数据-取费表'!ah"&amp;$G$1)="",INDIRECT("'数据-取费表'!k"&amp;$G$1),INDIRECT("'数据-取费表'!ah"&amp;$G$1))</f>
        <v>60651.07</v>
      </c>
      <c r="G7" s="1899"/>
      <c r="H7" s="2294"/>
      <c r="I7" s="3770"/>
      <c r="J7" s="761"/>
      <c r="K7" s="762"/>
      <c r="L7" s="757" t="s">
        <v>1539</v>
      </c>
      <c r="M7" s="758">
        <f ca="1">F7</f>
        <v>60651.07</v>
      </c>
    </row>
    <row r="8" spans="1:33" ht="18" customHeight="1">
      <c r="A8" s="2298"/>
      <c r="B8" s="3771"/>
      <c r="C8" s="761"/>
      <c r="D8" s="762"/>
      <c r="E8" s="757" t="s">
        <v>1540</v>
      </c>
      <c r="F8" s="758">
        <f ca="1">INDIRECT("'数据-取费表'!ai"&amp;$G$1)</f>
        <v>365</v>
      </c>
      <c r="G8" s="1899"/>
      <c r="H8" s="2294"/>
      <c r="I8" s="3771"/>
      <c r="J8" s="761"/>
      <c r="K8" s="762"/>
      <c r="L8" s="757" t="s">
        <v>1540</v>
      </c>
      <c r="M8" s="758">
        <f ca="1">INDIRECT("'数据-取费表'!ai"&amp;$G$1)</f>
        <v>365</v>
      </c>
    </row>
    <row r="9" spans="1:33" ht="18" customHeight="1">
      <c r="A9" s="759"/>
      <c r="B9" s="3772"/>
      <c r="C9" s="761"/>
      <c r="D9" s="762"/>
      <c r="E9" s="757" t="s">
        <v>1541</v>
      </c>
      <c r="F9" s="3825">
        <v>0.15</v>
      </c>
      <c r="G9" s="1899"/>
      <c r="H9" s="2310"/>
      <c r="I9" s="3771"/>
      <c r="J9" s="761"/>
      <c r="K9" s="762"/>
      <c r="L9" s="768" t="s">
        <v>1541</v>
      </c>
      <c r="M9" s="769">
        <f ca="1">INDIRECT("'数据-取费表'!ab"&amp;$G$1)</f>
        <v>0</v>
      </c>
    </row>
    <row r="10" spans="1:33" ht="18" customHeight="1">
      <c r="A10" s="1700" t="s">
        <v>2245</v>
      </c>
      <c r="B10" s="2299" t="s">
        <v>2238</v>
      </c>
      <c r="C10" s="772">
        <f ca="1">ROUND(IF(F10="押一",C6/12*F11,IF(F10="押二",C6/12*2*F11,IF(F10="押三",C6/12*3*F11,C11*F11))),0)</f>
        <v>5</v>
      </c>
      <c r="D10" s="2306" t="s">
        <v>2671</v>
      </c>
      <c r="E10" s="2303" t="s">
        <v>2243</v>
      </c>
      <c r="F10" s="2387" t="s">
        <v>3157</v>
      </c>
      <c r="G10" s="1899"/>
      <c r="H10" s="2337" t="s">
        <v>2248</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51356</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33016</v>
      </c>
      <c r="D14" s="1847" t="s">
        <v>1545</v>
      </c>
      <c r="E14" s="1848"/>
      <c r="F14" s="778"/>
      <c r="G14" s="1899"/>
      <c r="H14" s="1532" t="s">
        <v>1630</v>
      </c>
      <c r="I14" s="2065" t="s">
        <v>2542</v>
      </c>
      <c r="J14" s="53">
        <f ca="1">C29</f>
        <v>51356</v>
      </c>
      <c r="K14" s="26"/>
      <c r="L14" s="774"/>
      <c r="M14" s="775"/>
    </row>
    <row r="15" spans="1:33" s="1901" customFormat="1" ht="18" customHeight="1" thickBot="1">
      <c r="A15" s="1531" t="s">
        <v>1681</v>
      </c>
      <c r="B15" s="757" t="s">
        <v>629</v>
      </c>
      <c r="C15" s="53">
        <f ca="1">ROUND(C14*F15,0)</f>
        <v>990</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1516</v>
      </c>
      <c r="D16" s="757" t="s">
        <v>1546</v>
      </c>
      <c r="E16" s="757" t="s">
        <v>1547</v>
      </c>
      <c r="F16" s="782">
        <f ca="1">IF(INDIRECT("'数据-取费表'!c"&amp;$G$1)="住宅",'数据-取费表'!B34,0)</f>
        <v>0.05</v>
      </c>
      <c r="G16" s="1899"/>
      <c r="H16" s="1699" t="s">
        <v>1548</v>
      </c>
      <c r="I16" s="1697" t="s">
        <v>1549</v>
      </c>
      <c r="J16" s="765">
        <f ca="1">ROUND(J17+J22+J23+J24,0)</f>
        <v>4832</v>
      </c>
      <c r="K16" s="1691" t="s">
        <v>1550</v>
      </c>
      <c r="L16" s="2291"/>
      <c r="M16" s="2296"/>
    </row>
    <row r="17" spans="1:33" s="1901" customFormat="1" ht="18" customHeight="1">
      <c r="A17" s="1531" t="s">
        <v>1683</v>
      </c>
      <c r="B17" s="757" t="s">
        <v>635</v>
      </c>
      <c r="C17" s="53">
        <f ca="1">ROUND(F17*(F43+INDIRECT("'数据-取费表'!S"&amp;$G$1))/10000,0)</f>
        <v>1392</v>
      </c>
      <c r="D17" s="757" t="s">
        <v>1551</v>
      </c>
      <c r="E17" s="757" t="s">
        <v>1552</v>
      </c>
      <c r="F17" s="56">
        <f>'数据-取费表'!B35</f>
        <v>200</v>
      </c>
      <c r="G17" s="3169"/>
      <c r="H17" s="1532" t="s">
        <v>1630</v>
      </c>
      <c r="I17" s="757" t="s">
        <v>638</v>
      </c>
      <c r="J17" s="2927">
        <f ca="1">ROUND(IF(AND(项目基本情况!B11="自然人",项目基本情况!B10="北京市"),J6*M17/(1+'数据-取费表'!C42),J18+J19+J20),0)</f>
        <v>4318</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495</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37409</v>
      </c>
      <c r="D19" s="259" t="s">
        <v>1557</v>
      </c>
      <c r="E19" s="1850"/>
      <c r="F19" s="56"/>
      <c r="G19" s="1899"/>
      <c r="H19" s="1531" t="s">
        <v>1681</v>
      </c>
      <c r="I19" s="757" t="s">
        <v>1558</v>
      </c>
      <c r="J19" s="53">
        <f ca="1">IF(K19="按租金收入计税",ROUND(J6*M19/(1+'数据-取费表'!C42),1),ROUND(C29*F33*0.7,1))</f>
        <v>4313.8999999999996</v>
      </c>
      <c r="K19" s="783" t="s">
        <v>647</v>
      </c>
      <c r="L19" s="757" t="s">
        <v>1547</v>
      </c>
      <c r="M19" s="782">
        <f>IF(K19="按租金收入计税",'数据-取费表'!B51,'数据-取费表'!B50)</f>
        <v>1.2E-2</v>
      </c>
    </row>
    <row r="20" spans="1:33" s="1901" customFormat="1" ht="18" customHeight="1">
      <c r="A20" s="1532" t="s">
        <v>1685</v>
      </c>
      <c r="B20" s="757" t="s">
        <v>648</v>
      </c>
      <c r="C20" s="53">
        <f ca="1">ROUND(C19*F20,0)</f>
        <v>748</v>
      </c>
      <c r="D20" s="784" t="s">
        <v>1559</v>
      </c>
      <c r="E20" s="757" t="s">
        <v>1547</v>
      </c>
      <c r="F20" s="782">
        <f>'数据-取费表'!B37</f>
        <v>0.02</v>
      </c>
      <c r="G20" s="3169"/>
      <c r="H20" s="1534" t="s">
        <v>1676</v>
      </c>
      <c r="I20" s="339" t="s">
        <v>1560</v>
      </c>
      <c r="J20" s="54">
        <f ca="1">ROUND(M20*M21/10000,0)</f>
        <v>4</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24022.739999999998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514</v>
      </c>
      <c r="K22" s="2289" t="s">
        <v>1569</v>
      </c>
      <c r="L22" s="757" t="s">
        <v>1547</v>
      </c>
      <c r="M22" s="789">
        <f ca="1">INDIRECT("'数据-取费表'!Ak"&amp;$G$1)</f>
        <v>0.01</v>
      </c>
    </row>
    <row r="23" spans="1:33" s="1901" customFormat="1" ht="18" customHeight="1">
      <c r="A23" s="1531" t="s">
        <v>1631</v>
      </c>
      <c r="B23" s="757" t="s">
        <v>2253</v>
      </c>
      <c r="C23" s="53">
        <f ca="1">ROUND(IF('数据-取费表'!B22&lt;=1,(C19+C20)*F24*F23/2,(C19+C20)*(POWER((1+F24),F23/2)-1)),0)</f>
        <v>1603</v>
      </c>
      <c r="D23" s="2345" t="str">
        <f>IF(F23&lt;=1,"(建造成本+管理费用)×利率×(建设周期÷2)","(建造成本+管理费用)×((1+利率)^(建设周期÷2)-1)")</f>
        <v>(建造成本+管理费用)×((1+利率)^(建设周期÷2)-1)</v>
      </c>
      <c r="E23" s="757" t="s">
        <v>1570</v>
      </c>
      <c r="F23" s="615">
        <f>'数据-取费表'!B20</f>
        <v>2</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8.0000000000000004E-4</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-4832</v>
      </c>
      <c r="K25" s="2324" t="s">
        <v>1577</v>
      </c>
      <c r="L25" s="2325"/>
      <c r="M25" s="2326"/>
    </row>
    <row r="26" spans="1:33" ht="18" customHeight="1">
      <c r="A26" s="1531" t="s">
        <v>1631</v>
      </c>
      <c r="B26" s="757" t="s">
        <v>2220</v>
      </c>
      <c r="C26" s="53">
        <f ca="1">ROUND((C19+C20)*F26,0)</f>
        <v>7631</v>
      </c>
      <c r="D26" s="784" t="s">
        <v>1578</v>
      </c>
      <c r="E26" s="768" t="s">
        <v>1579</v>
      </c>
      <c r="F26" s="767">
        <f ca="1">INDIRECT("'数据-取费表'!q"&amp;$G$1)</f>
        <v>0.2</v>
      </c>
      <c r="G26" s="1899"/>
      <c r="H26" s="2307" t="s">
        <v>1580</v>
      </c>
      <c r="I26" s="2066" t="s">
        <v>2543</v>
      </c>
      <c r="J26" s="756">
        <f ca="1">IF(J5&lt;&gt;0,ROUND(J25*(1-((1+M28)/(1+M26))^M27)/(M26-M28),0),0)</f>
        <v>0</v>
      </c>
      <c r="K26" s="786" t="s">
        <v>1581</v>
      </c>
      <c r="L26" s="757" t="s">
        <v>2206</v>
      </c>
      <c r="M26" s="767">
        <f ca="1">INDIRECT("'数据-取费表'!I"&amp;$G$1)</f>
        <v>5.5E-2</v>
      </c>
    </row>
    <row r="27" spans="1:33" ht="18" customHeight="1">
      <c r="A27" s="1531" t="s">
        <v>1632</v>
      </c>
      <c r="B27" s="757" t="s">
        <v>668</v>
      </c>
      <c r="C27" s="53">
        <f ca="1">ROUND(F21*F26,4)</f>
        <v>4.0000000000000001E-3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51356</v>
      </c>
      <c r="D29" s="2321"/>
      <c r="E29" s="2322"/>
      <c r="F29" s="2323"/>
      <c r="G29" s="3169"/>
      <c r="H29" s="795" t="s">
        <v>1587</v>
      </c>
      <c r="I29" s="796" t="s">
        <v>1588</v>
      </c>
      <c r="J29" s="797">
        <f ca="1">ROUND(J26/(1+F40)^F41,0)</f>
        <v>0</v>
      </c>
      <c r="K29" s="798" t="s">
        <v>1589</v>
      </c>
      <c r="L29" s="799"/>
      <c r="M29" s="800">
        <f ca="1">INDIRECT("'数据-取费表'!k"&amp;$G$1)</f>
        <v>60651.07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1271</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631</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7" t="s">
        <v>1594</v>
      </c>
      <c r="C32" s="53">
        <f ca="1">ROUND(C6*F32/(1+'数据-取费表'!C42),1)</f>
        <v>197.1</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430.1</v>
      </c>
      <c r="D33" s="783" t="s">
        <v>3156</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3.6</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24022.739999999998</v>
      </c>
      <c r="G35" s="1899"/>
      <c r="H35" s="1902"/>
      <c r="I35" s="809" t="s">
        <v>1614</v>
      </c>
      <c r="J35" s="810">
        <f ca="1">ROUND(C13*J36,0)</f>
        <v>3595</v>
      </c>
      <c r="K35" s="1915"/>
      <c r="L35" s="1914"/>
      <c r="M35" s="1914"/>
    </row>
    <row r="36" spans="1:18" ht="18" customHeight="1">
      <c r="A36" s="1532" t="s">
        <v>1685</v>
      </c>
      <c r="B36" s="757" t="s">
        <v>1602</v>
      </c>
      <c r="C36" s="53">
        <f ca="1">ROUND(C29*F36,1)</f>
        <v>513.6</v>
      </c>
      <c r="D36" s="1845" t="s">
        <v>1603</v>
      </c>
      <c r="E36" s="757" t="s">
        <v>1596</v>
      </c>
      <c r="F36" s="789">
        <f ca="1">INDIRECT("'数据-取费表'!Ak"&amp;$G$1)</f>
        <v>0.01</v>
      </c>
      <c r="G36" s="1899"/>
      <c r="H36" s="1914"/>
      <c r="I36" s="811" t="s">
        <v>1615</v>
      </c>
      <c r="J36" s="812">
        <f ca="1">INDIRECT("'数据-取费表'!j"&amp;$G$1)</f>
        <v>7.0000000000000007E-2</v>
      </c>
      <c r="K36" s="1918"/>
      <c r="L36" s="1914"/>
      <c r="M36" s="1914"/>
    </row>
    <row r="37" spans="1:18" ht="18" customHeight="1">
      <c r="A37" s="1532" t="s">
        <v>1686</v>
      </c>
      <c r="B37" s="757" t="s">
        <v>661</v>
      </c>
      <c r="C37" s="53">
        <f ca="1">ROUND(C13*F37,1)</f>
        <v>51.4</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75.400000000000006</v>
      </c>
      <c r="D38" s="2321" t="s">
        <v>1605</v>
      </c>
      <c r="E38" s="2322" t="s">
        <v>1596</v>
      </c>
      <c r="F38" s="2318">
        <f ca="1">INDIRECT("'数据-取费表'!Am"&amp;$G$1)</f>
        <v>0.02</v>
      </c>
      <c r="G38" s="1899"/>
      <c r="H38" s="1914"/>
      <c r="I38" s="815" t="s">
        <v>1617</v>
      </c>
      <c r="J38" s="816"/>
      <c r="K38" s="1919"/>
      <c r="L38" s="1914"/>
      <c r="M38" s="1914"/>
    </row>
    <row r="39" spans="1:18" ht="24.6" customHeight="1" thickTop="1">
      <c r="A39" s="1699" t="s">
        <v>1690</v>
      </c>
      <c r="B39" s="2644" t="s">
        <v>2538</v>
      </c>
      <c r="C39" s="765">
        <f ca="1">C5-C30</f>
        <v>2497</v>
      </c>
      <c r="D39" s="2324" t="s">
        <v>1606</v>
      </c>
      <c r="E39" s="2325"/>
      <c r="F39" s="2326"/>
      <c r="G39" s="1899"/>
      <c r="H39" s="1914"/>
      <c r="I39" s="809" t="s">
        <v>1618</v>
      </c>
      <c r="J39" s="817">
        <f ca="1">ROUND(J35/C39,3)</f>
        <v>1.44</v>
      </c>
      <c r="K39" s="1919"/>
      <c r="L39" s="1914"/>
      <c r="M39" s="1914"/>
    </row>
    <row r="40" spans="1:18" ht="18" customHeight="1">
      <c r="A40" s="754" t="s">
        <v>1691</v>
      </c>
      <c r="B40" s="2066" t="s">
        <v>2091</v>
      </c>
      <c r="C40" s="756">
        <f ca="1">ROUND(C39*(1-((1+F42)/(1+F40))^F41)/(F40-F42),0)</f>
        <v>38340</v>
      </c>
      <c r="D40" s="786" t="s">
        <v>1607</v>
      </c>
      <c r="E40" s="757" t="s">
        <v>2206</v>
      </c>
      <c r="F40" s="3825">
        <v>4.4999999999999998E-2</v>
      </c>
      <c r="G40" s="1899"/>
      <c r="H40" s="1899"/>
      <c r="I40" s="809" t="s">
        <v>1619</v>
      </c>
      <c r="J40" s="817">
        <f ca="1">1-J39</f>
        <v>-0.43999999999999995</v>
      </c>
      <c r="K40" s="1919"/>
      <c r="L40" s="1899"/>
      <c r="M40" s="1899"/>
    </row>
    <row r="41" spans="1:18" ht="18" customHeight="1">
      <c r="A41" s="759"/>
      <c r="B41" s="760"/>
      <c r="C41" s="761"/>
      <c r="D41" s="793" t="s">
        <v>1608</v>
      </c>
      <c r="E41" s="757" t="s">
        <v>2663</v>
      </c>
      <c r="F41" s="3824">
        <v>20</v>
      </c>
      <c r="G41" s="1899"/>
      <c r="H41" s="1854"/>
      <c r="I41" s="815" t="s">
        <v>1620</v>
      </c>
      <c r="J41" s="818"/>
      <c r="K41" s="1918"/>
      <c r="L41" s="1854"/>
      <c r="M41" s="1854"/>
    </row>
    <row r="42" spans="1:18" ht="18" customHeight="1">
      <c r="A42" s="763"/>
      <c r="B42" s="764"/>
      <c r="C42" s="765"/>
      <c r="D42" s="788"/>
      <c r="E42" s="757" t="s">
        <v>1609</v>
      </c>
      <c r="F42" s="3825">
        <v>0.02</v>
      </c>
      <c r="G42" s="1899"/>
      <c r="H42" s="1854"/>
      <c r="I42" s="819" t="s">
        <v>1621</v>
      </c>
      <c r="J42" s="817">
        <f ca="1">ROUND(C13/C40,3)</f>
        <v>1.339</v>
      </c>
      <c r="K42" s="1918"/>
      <c r="L42" s="1854"/>
      <c r="M42" s="1854"/>
    </row>
    <row r="43" spans="1:18" ht="18" customHeight="1" thickBot="1">
      <c r="A43" s="795" t="s">
        <v>1587</v>
      </c>
      <c r="B43" s="796" t="s">
        <v>1610</v>
      </c>
      <c r="C43" s="797">
        <f ca="1">ROUND(C40*10000/F43,0)</f>
        <v>6321</v>
      </c>
      <c r="D43" s="798" t="s">
        <v>1611</v>
      </c>
      <c r="E43" s="799" t="s">
        <v>1612</v>
      </c>
      <c r="F43" s="800">
        <f ca="1">INDIRECT("'数据-取费表'!k"&amp;$G$1)</f>
        <v>60651.07</v>
      </c>
      <c r="G43" s="1899"/>
      <c r="H43" s="1854"/>
      <c r="I43" s="819" t="s">
        <v>1622</v>
      </c>
      <c r="J43" s="820">
        <f ca="1">1-J42</f>
        <v>-0.33899999999999997</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-45742</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3158</v>
      </c>
      <c r="K47" s="2726" t="s">
        <v>2136</v>
      </c>
      <c r="L47" s="2730">
        <f ca="1">INDIRECT("'数据-取费表'!d"&amp;$G$1)</f>
        <v>70</v>
      </c>
      <c r="M47" s="1490" t="str">
        <f>IF(ISNUMBER(FIND("住宅",C1)),"住宅","非住宅")</f>
        <v>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68.87</v>
      </c>
      <c r="M48" s="3171"/>
      <c r="O48" s="2207" t="s">
        <v>2166</v>
      </c>
      <c r="P48" s="2208" t="s">
        <v>2192</v>
      </c>
      <c r="Q48" s="2209">
        <f ca="1">C40+J29</f>
        <v>38340</v>
      </c>
      <c r="R48" s="2208" t="s">
        <v>2167</v>
      </c>
    </row>
    <row r="49" spans="1:18" s="1896" customFormat="1" ht="18" customHeight="1" thickBot="1">
      <c r="A49" s="759"/>
      <c r="B49" s="760"/>
      <c r="C49" s="761"/>
      <c r="D49" s="762"/>
      <c r="E49" s="757" t="s">
        <v>1539</v>
      </c>
      <c r="F49" s="758">
        <f ca="1">F7</f>
        <v>60651.07</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365</v>
      </c>
      <c r="G50" s="1931"/>
      <c r="H50" s="1929"/>
      <c r="I50" s="2717" t="s">
        <v>2134</v>
      </c>
      <c r="J50" s="2724">
        <f>SUMPRODUCT((I63:I65=J47)*(J62:L62=J48)*(J63:L65))</f>
        <v>60</v>
      </c>
      <c r="K50" s="2728" t="s">
        <v>2140</v>
      </c>
      <c r="L50" s="2193"/>
      <c r="M50" s="3171"/>
      <c r="O50" s="2210" t="s">
        <v>2170</v>
      </c>
      <c r="P50" s="2208" t="s">
        <v>2194</v>
      </c>
      <c r="Q50" s="2209">
        <f ca="1">C29</f>
        <v>51356</v>
      </c>
      <c r="R50" s="2208" t="s">
        <v>2167</v>
      </c>
    </row>
    <row r="51" spans="1:18" s="1896" customFormat="1" ht="18" customHeight="1" thickBot="1">
      <c r="A51" s="759"/>
      <c r="B51" s="760"/>
      <c r="C51" s="761"/>
      <c r="D51" s="762"/>
      <c r="E51" s="757" t="s">
        <v>622</v>
      </c>
      <c r="F51" s="2180"/>
      <c r="H51" s="1929"/>
      <c r="I51" s="2721" t="s">
        <v>2135</v>
      </c>
      <c r="J51" s="2725">
        <f>IF(J49="",J50,J49+J50-YEAR('数据-取费表'!B2))</f>
        <v>62</v>
      </c>
      <c r="K51" s="2717" t="s">
        <v>2141</v>
      </c>
      <c r="L51" s="2731">
        <f ca="1">ROUND(-PV(INDIRECT("'数据-取费表'!h"&amp;$G$1),J51,(C39-C13*J36),0),0)</f>
        <v>-20892</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66.87</v>
      </c>
      <c r="K53" s="3775" t="s">
        <v>2665</v>
      </c>
      <c r="L53" s="3776"/>
      <c r="M53" s="3171"/>
      <c r="O53" s="2210" t="s">
        <v>2175</v>
      </c>
      <c r="P53" s="2208" t="s">
        <v>2176</v>
      </c>
      <c r="Q53" s="2209">
        <f ca="1">J53</f>
        <v>66.87</v>
      </c>
      <c r="R53" s="2208" t="s">
        <v>2177</v>
      </c>
    </row>
    <row r="54" spans="1:18" s="1896" customFormat="1" ht="18" customHeight="1" thickBot="1">
      <c r="A54" s="2313" t="s">
        <v>2246</v>
      </c>
      <c r="B54" s="2314" t="s">
        <v>2239</v>
      </c>
      <c r="C54" s="2315"/>
      <c r="D54" s="2306"/>
      <c r="E54" s="2303"/>
      <c r="F54" s="773"/>
      <c r="I54" s="18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2"/>
      <c r="M54" s="3171"/>
      <c r="O54" s="2207" t="s">
        <v>2178</v>
      </c>
      <c r="P54" s="2208" t="s">
        <v>2195</v>
      </c>
      <c r="Q54" s="2209">
        <f ca="1">Q48+Q49</f>
        <v>38340</v>
      </c>
      <c r="R54" s="2212" t="s">
        <v>2179</v>
      </c>
    </row>
    <row r="55" spans="1:18" s="1896" customFormat="1" ht="18" customHeight="1" thickTop="1" thickBot="1">
      <c r="A55" s="770">
        <v>2</v>
      </c>
      <c r="B55" s="771" t="s">
        <v>626</v>
      </c>
      <c r="C55" s="772">
        <f ca="1">C13</f>
        <v>51356</v>
      </c>
      <c r="D55" s="768"/>
      <c r="E55" s="768"/>
      <c r="F55" s="773"/>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51356</v>
      </c>
      <c r="D56" s="2403"/>
      <c r="E56" s="757"/>
      <c r="F56" s="782"/>
      <c r="I56" s="2736" t="s">
        <v>2144</v>
      </c>
      <c r="J56" s="2746" t="s">
        <v>1478</v>
      </c>
      <c r="K56" s="2717" t="s">
        <v>2149</v>
      </c>
      <c r="L56" s="1777">
        <f ca="1">IF(L48&lt;J51,"——",L48-J51)</f>
        <v>6.8700000000000045</v>
      </c>
      <c r="M56" s="3171"/>
      <c r="O56" s="2204" t="s">
        <v>2162</v>
      </c>
      <c r="P56" s="2205" t="s">
        <v>2163</v>
      </c>
      <c r="Q56" s="2206" t="s">
        <v>2164</v>
      </c>
      <c r="R56" s="2205" t="s">
        <v>2165</v>
      </c>
    </row>
    <row r="57" spans="1:18" s="1896" customFormat="1" ht="28.5" customHeight="1" thickBot="1">
      <c r="A57" s="770" t="s">
        <v>1548</v>
      </c>
      <c r="B57" s="771" t="s">
        <v>633</v>
      </c>
      <c r="C57" s="772">
        <f ca="1">ROUND(C58+C63+C64+C65,0)</f>
        <v>569</v>
      </c>
      <c r="D57" s="26" t="s">
        <v>1550</v>
      </c>
      <c r="E57" s="2404"/>
      <c r="F57" s="56"/>
      <c r="I57" s="2737" t="s">
        <v>2145</v>
      </c>
      <c r="J57" s="2738" t="str">
        <f ca="1">IF(OR(M47="住宅",J51&lt;L48,J56="是"),"——",J51-L48)</f>
        <v>——</v>
      </c>
      <c r="K57" s="2717" t="s">
        <v>2150</v>
      </c>
      <c r="L57" s="1777">
        <f ca="1">IF(L48&lt;J51,"——",IF(L55="比较法",L49,IF(L55="基准地价",L50,L51)))</f>
        <v>-20892</v>
      </c>
      <c r="M57" s="3171"/>
      <c r="O57" s="2207" t="s">
        <v>2166</v>
      </c>
      <c r="P57" s="2208" t="s">
        <v>2196</v>
      </c>
      <c r="Q57" s="2209">
        <f ca="1">C40+J29</f>
        <v>38340</v>
      </c>
      <c r="R57" s="2208" t="s">
        <v>2167</v>
      </c>
    </row>
    <row r="58" spans="1:18" s="1896" customFormat="1" ht="28.5" customHeight="1" thickBot="1">
      <c r="A58" s="1532" t="s">
        <v>1624</v>
      </c>
      <c r="B58" s="757" t="s">
        <v>638</v>
      </c>
      <c r="C58" s="2927">
        <f ca="1">ROUND(IF(AND(项目基本情况!B11="自然人",项目基本情况!B10="北京市"),C48*F58/(1+'数据-取费表'!C42),C59+C60+C61),0)</f>
        <v>4</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9" t="s">
        <v>650</v>
      </c>
      <c r="C61" s="54">
        <f ca="1">ROUND(F61*F62/10000,1)</f>
        <v>3.6</v>
      </c>
      <c r="D61" s="786" t="s">
        <v>651</v>
      </c>
      <c r="E61" s="757" t="s">
        <v>652</v>
      </c>
      <c r="F61" s="615">
        <f t="shared" si="0"/>
        <v>1.5</v>
      </c>
      <c r="K61" s="1922"/>
      <c r="O61" s="2210" t="s">
        <v>2173</v>
      </c>
      <c r="P61" s="2208" t="s">
        <v>2181</v>
      </c>
      <c r="Q61" s="2209" t="e">
        <f ca="1">L58</f>
        <v>#DIV/0!</v>
      </c>
      <c r="R61" s="2212" t="s">
        <v>2182</v>
      </c>
    </row>
    <row r="62" spans="1:18" s="1896" customFormat="1" ht="16.2" thickBot="1">
      <c r="A62" s="787"/>
      <c r="B62" s="766"/>
      <c r="C62" s="69"/>
      <c r="D62" s="788"/>
      <c r="E62" s="757" t="s">
        <v>656</v>
      </c>
      <c r="F62" s="758">
        <f t="shared" ca="1" si="0"/>
        <v>24022.739999999998</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6.2" thickBot="1">
      <c r="A63" s="1532" t="s">
        <v>1685</v>
      </c>
      <c r="B63" s="757" t="s">
        <v>658</v>
      </c>
      <c r="C63" s="53">
        <f ca="1">ROUND(C56*F63,1)</f>
        <v>513.6</v>
      </c>
      <c r="D63" s="2403" t="s">
        <v>1603</v>
      </c>
      <c r="E63" s="757" t="s">
        <v>1547</v>
      </c>
      <c r="F63" s="789">
        <f t="shared" ca="1" si="0"/>
        <v>0.01</v>
      </c>
      <c r="I63" s="2742" t="s">
        <v>2157</v>
      </c>
      <c r="J63" s="2743">
        <v>70</v>
      </c>
      <c r="K63" s="2743">
        <v>50</v>
      </c>
      <c r="L63" s="2743">
        <v>80</v>
      </c>
      <c r="M63" s="2745">
        <v>0.02</v>
      </c>
      <c r="O63" s="2207" t="s">
        <v>2178</v>
      </c>
      <c r="P63" s="2208" t="s">
        <v>2195</v>
      </c>
      <c r="Q63" s="2209">
        <f ca="1">Q57+Q58</f>
        <v>38340</v>
      </c>
      <c r="R63" s="2212" t="s">
        <v>2179</v>
      </c>
    </row>
    <row r="64" spans="1:18" s="1896" customFormat="1" ht="16.2" thickBot="1">
      <c r="A64" s="1532" t="s">
        <v>1686</v>
      </c>
      <c r="B64" s="757" t="s">
        <v>661</v>
      </c>
      <c r="C64" s="53">
        <f ca="1">ROUND(C55*F64,1)</f>
        <v>51.4</v>
      </c>
      <c r="D64" s="2403" t="s">
        <v>662</v>
      </c>
      <c r="E64" s="757" t="s">
        <v>1547</v>
      </c>
      <c r="F64" s="790">
        <f t="shared" ca="1" si="0"/>
        <v>1E-3</v>
      </c>
      <c r="I64" s="2742" t="s">
        <v>2158</v>
      </c>
      <c r="J64" s="2743">
        <v>50</v>
      </c>
      <c r="K64" s="2743">
        <v>35</v>
      </c>
      <c r="L64" s="2743">
        <v>60</v>
      </c>
      <c r="M64" s="818">
        <v>0</v>
      </c>
      <c r="O64" s="2213" t="s">
        <v>2202</v>
      </c>
      <c r="P64" s="1482"/>
      <c r="Q64" s="1490"/>
      <c r="R64" s="1482"/>
    </row>
    <row r="65" spans="1:18" s="1896" customFormat="1" ht="16.2" thickBot="1">
      <c r="A65" s="1532" t="s">
        <v>1687</v>
      </c>
      <c r="B65" s="757" t="s">
        <v>648</v>
      </c>
      <c r="C65" s="53">
        <f ca="1">ROUND(C47*F65,1)</f>
        <v>0</v>
      </c>
      <c r="D65" s="2403" t="s">
        <v>665</v>
      </c>
      <c r="E65" s="757" t="s">
        <v>1547</v>
      </c>
      <c r="F65" s="767">
        <f t="shared" ca="1" si="0"/>
        <v>0.02</v>
      </c>
      <c r="I65" s="2742" t="s">
        <v>2159</v>
      </c>
      <c r="J65" s="2743">
        <v>40</v>
      </c>
      <c r="K65" s="2743">
        <v>30</v>
      </c>
      <c r="L65" s="2743">
        <v>50</v>
      </c>
      <c r="M65" s="2745">
        <v>0.02</v>
      </c>
      <c r="O65" s="2204" t="s">
        <v>2162</v>
      </c>
      <c r="P65" s="2205" t="s">
        <v>2163</v>
      </c>
      <c r="Q65" s="2206" t="s">
        <v>2164</v>
      </c>
      <c r="R65" s="2205" t="s">
        <v>2165</v>
      </c>
    </row>
    <row r="66" spans="1:18" s="1896" customFormat="1" ht="24.6" thickBot="1">
      <c r="A66" s="770" t="s">
        <v>1576</v>
      </c>
      <c r="B66" s="2645" t="s">
        <v>2538</v>
      </c>
      <c r="C66" s="772">
        <f ca="1">C47-C57</f>
        <v>-569</v>
      </c>
      <c r="D66" s="2402" t="s">
        <v>682</v>
      </c>
      <c r="E66" s="2401"/>
      <c r="F66" s="792"/>
      <c r="K66" s="1922"/>
      <c r="O66" s="2207" t="s">
        <v>2166</v>
      </c>
      <c r="P66" s="2208" t="s">
        <v>2196</v>
      </c>
      <c r="Q66" s="2209">
        <f ca="1">C40+J29</f>
        <v>38340</v>
      </c>
      <c r="R66" s="2208" t="s">
        <v>2167</v>
      </c>
    </row>
    <row r="67" spans="1:18" s="1896" customFormat="1" ht="19.2" thickBot="1">
      <c r="A67" s="754" t="s">
        <v>1580</v>
      </c>
      <c r="B67" s="2066" t="s">
        <v>2091</v>
      </c>
      <c r="C67" s="756">
        <f ca="1">ROUND(C66*(1-((1+F69)/(1+F67))^F68)/(F67-F69),0)</f>
        <v>-7402</v>
      </c>
      <c r="D67" s="786" t="s">
        <v>686</v>
      </c>
      <c r="E67" s="757" t="s">
        <v>687</v>
      </c>
      <c r="F67" s="767">
        <f>F40</f>
        <v>4.4999999999999998E-2</v>
      </c>
      <c r="K67" s="1922"/>
      <c r="O67" s="2207" t="s">
        <v>2168</v>
      </c>
      <c r="P67" s="2208" t="s">
        <v>2199</v>
      </c>
      <c r="Q67" s="2209">
        <f ca="1">L60</f>
        <v>0</v>
      </c>
      <c r="R67" s="2212" t="s">
        <v>2201</v>
      </c>
    </row>
    <row r="68" spans="1:18" ht="20.399999999999999" thickBot="1">
      <c r="A68" s="759"/>
      <c r="B68" s="760"/>
      <c r="C68" s="761"/>
      <c r="D68" s="793" t="s">
        <v>1608</v>
      </c>
      <c r="E68" s="757" t="s">
        <v>1584</v>
      </c>
      <c r="F68" s="794">
        <f>F41</f>
        <v>20</v>
      </c>
      <c r="O68" s="2210" t="s">
        <v>2170</v>
      </c>
      <c r="P68" s="2208" t="s">
        <v>2200</v>
      </c>
      <c r="Q68" s="2214">
        <f ca="1">L51</f>
        <v>-20892</v>
      </c>
      <c r="R68" s="2215" t="s">
        <v>2203</v>
      </c>
    </row>
    <row r="69" spans="1:18" ht="19.2" thickBot="1">
      <c r="A69" s="763"/>
      <c r="B69" s="764"/>
      <c r="C69" s="765"/>
      <c r="D69" s="788"/>
      <c r="E69" s="757" t="s">
        <v>692</v>
      </c>
      <c r="F69" s="2180"/>
      <c r="O69" s="2210" t="s">
        <v>2171</v>
      </c>
      <c r="P69" s="2216" t="s">
        <v>2185</v>
      </c>
      <c r="Q69" s="2209">
        <f ca="1">ROUND(Q70-Q71*Q72,0)</f>
        <v>-1098</v>
      </c>
      <c r="R69" s="2212"/>
    </row>
    <row r="70" spans="1:18" ht="16.2" thickBot="1">
      <c r="A70" s="795" t="s">
        <v>1587</v>
      </c>
      <c r="B70" s="796" t="s">
        <v>1610</v>
      </c>
      <c r="C70" s="797">
        <f ca="1">ROUND(C67*10000/F70,0)</f>
        <v>-1220</v>
      </c>
      <c r="D70" s="798" t="s">
        <v>1611</v>
      </c>
      <c r="E70" s="799" t="s">
        <v>1612</v>
      </c>
      <c r="F70" s="800">
        <f ca="1">F43</f>
        <v>60651.07</v>
      </c>
      <c r="O70" s="2210" t="s">
        <v>2186</v>
      </c>
      <c r="P70" s="2216" t="s">
        <v>2187</v>
      </c>
      <c r="Q70" s="2209">
        <f ca="1">C39</f>
        <v>2497</v>
      </c>
      <c r="R70" s="2208" t="s">
        <v>2167</v>
      </c>
    </row>
    <row r="71" spans="1:18" ht="16.2" thickBot="1">
      <c r="O71" s="2210" t="s">
        <v>2188</v>
      </c>
      <c r="P71" s="2216" t="s">
        <v>2189</v>
      </c>
      <c r="Q71" s="2209">
        <f ca="1">C13</f>
        <v>51356</v>
      </c>
      <c r="R71" s="2208" t="s">
        <v>2167</v>
      </c>
    </row>
    <row r="72" spans="1:18" ht="16.2" thickBot="1">
      <c r="O72" s="2210" t="s">
        <v>2190</v>
      </c>
      <c r="P72" s="2216" t="s">
        <v>2191</v>
      </c>
      <c r="Q72" s="2211">
        <f ca="1">J36</f>
        <v>7.0000000000000007E-2</v>
      </c>
      <c r="R72" s="2212"/>
    </row>
    <row r="73" spans="1:18" ht="16.2" thickBot="1">
      <c r="O73" s="2210" t="s">
        <v>2173</v>
      </c>
      <c r="P73" s="2208" t="s">
        <v>2180</v>
      </c>
      <c r="Q73" s="2211">
        <f>L52</f>
        <v>0</v>
      </c>
      <c r="R73" s="2212"/>
    </row>
    <row r="74" spans="1:18" ht="19.2" thickBot="1">
      <c r="O74" s="2210" t="s">
        <v>2175</v>
      </c>
      <c r="P74" s="2208" t="s">
        <v>2181</v>
      </c>
      <c r="Q74" s="2209" t="e">
        <f ca="1">L58</f>
        <v>#DIV/0!</v>
      </c>
      <c r="R74" s="2212" t="s">
        <v>2182</v>
      </c>
    </row>
    <row r="75" spans="1:18" ht="16.2" thickBot="1">
      <c r="O75" s="2210" t="s">
        <v>2204</v>
      </c>
      <c r="P75" s="2208" t="str">
        <f>K59</f>
        <v>建设期及建筑物耐用年限下的土地年期修正系数Kn</v>
      </c>
      <c r="Q75" s="2209" t="e">
        <f ca="1">L59</f>
        <v>#DIV/0!</v>
      </c>
      <c r="R75" s="2212" t="s">
        <v>2184</v>
      </c>
    </row>
    <row r="76" spans="1:18" ht="16.2" thickBot="1">
      <c r="O76" s="2207" t="s">
        <v>2178</v>
      </c>
      <c r="P76" s="2208" t="s">
        <v>2195</v>
      </c>
      <c r="Q76" s="2209">
        <f ca="1">Q66+Q67</f>
        <v>38340</v>
      </c>
      <c r="R76" s="2212" t="s">
        <v>2179</v>
      </c>
    </row>
  </sheetData>
  <sheetProtection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35" customWidth="1"/>
    <col min="2" max="2" width="8.88671875" style="3235"/>
    <col min="3" max="5" width="12.88671875" style="3235" customWidth="1"/>
    <col min="6" max="6" width="47.44140625" style="3235" customWidth="1"/>
    <col min="7" max="7" width="13" style="3395" customWidth="1"/>
    <col min="8" max="8" width="8.88671875" style="3229"/>
    <col min="9" max="9" width="8.88671875" style="3230"/>
    <col min="10" max="10" width="5.77734375" style="3396" customWidth="1"/>
    <col min="11" max="11" width="11.77734375" style="3396" customWidth="1"/>
    <col min="12" max="13" width="10.77734375" style="3396" customWidth="1"/>
    <col min="14" max="14" width="10" style="3396" customWidth="1"/>
    <col min="15" max="16" width="10.44140625" style="3396" bestFit="1" customWidth="1"/>
    <col min="17" max="17" width="10" style="3396" customWidth="1"/>
    <col min="18" max="18" width="10.109375" style="3396" customWidth="1"/>
    <col min="19" max="19" width="10" style="3396" customWidth="1"/>
    <col min="20" max="20" width="26.109375" style="3396" customWidth="1"/>
    <col min="21" max="21" width="8.88671875" style="3396"/>
    <col min="22" max="22" width="8.88671875" style="3230"/>
    <col min="23" max="256" width="8.88671875" style="3235"/>
    <col min="257" max="257" width="9.44140625" style="3235" customWidth="1"/>
    <col min="258" max="258" width="8.88671875" style="3235"/>
    <col min="259" max="261" width="12.88671875" style="3235" customWidth="1"/>
    <col min="262" max="262" width="47.44140625" style="3235" customWidth="1"/>
    <col min="263" max="263" width="13" style="3235" customWidth="1"/>
    <col min="264" max="265" width="8.88671875" style="3235"/>
    <col min="266" max="266" width="5.77734375" style="3235" customWidth="1"/>
    <col min="267" max="267" width="11.77734375" style="3235" customWidth="1"/>
    <col min="268" max="269" width="10.77734375" style="3235" customWidth="1"/>
    <col min="270" max="270" width="10" style="3235" customWidth="1"/>
    <col min="271" max="272" width="10.44140625" style="3235" bestFit="1" customWidth="1"/>
    <col min="273" max="273" width="10" style="3235" customWidth="1"/>
    <col min="274" max="274" width="10.109375" style="3235" customWidth="1"/>
    <col min="275" max="275" width="10" style="3235" customWidth="1"/>
    <col min="276" max="276" width="26.109375" style="3235" customWidth="1"/>
    <col min="277" max="512" width="8.88671875" style="3235"/>
    <col min="513" max="513" width="9.44140625" style="3235" customWidth="1"/>
    <col min="514" max="514" width="8.88671875" style="3235"/>
    <col min="515" max="517" width="12.88671875" style="3235" customWidth="1"/>
    <col min="518" max="518" width="47.44140625" style="3235" customWidth="1"/>
    <col min="519" max="519" width="13" style="3235" customWidth="1"/>
    <col min="520" max="521" width="8.88671875" style="3235"/>
    <col min="522" max="522" width="5.77734375" style="3235" customWidth="1"/>
    <col min="523" max="523" width="11.77734375" style="3235" customWidth="1"/>
    <col min="524" max="525" width="10.77734375" style="3235" customWidth="1"/>
    <col min="526" max="526" width="10" style="3235" customWidth="1"/>
    <col min="527" max="528" width="10.44140625" style="3235" bestFit="1" customWidth="1"/>
    <col min="529" max="529" width="10" style="3235" customWidth="1"/>
    <col min="530" max="530" width="10.109375" style="3235" customWidth="1"/>
    <col min="531" max="531" width="10" style="3235" customWidth="1"/>
    <col min="532" max="532" width="26.109375" style="3235" customWidth="1"/>
    <col min="533" max="768" width="8.88671875" style="3235"/>
    <col min="769" max="769" width="9.44140625" style="3235" customWidth="1"/>
    <col min="770" max="770" width="8.88671875" style="3235"/>
    <col min="771" max="773" width="12.88671875" style="3235" customWidth="1"/>
    <col min="774" max="774" width="47.44140625" style="3235" customWidth="1"/>
    <col min="775" max="775" width="13" style="3235" customWidth="1"/>
    <col min="776" max="777" width="8.88671875" style="3235"/>
    <col min="778" max="778" width="5.77734375" style="3235" customWidth="1"/>
    <col min="779" max="779" width="11.77734375" style="3235" customWidth="1"/>
    <col min="780" max="781" width="10.77734375" style="3235" customWidth="1"/>
    <col min="782" max="782" width="10" style="3235" customWidth="1"/>
    <col min="783" max="784" width="10.44140625" style="3235" bestFit="1" customWidth="1"/>
    <col min="785" max="785" width="10" style="3235" customWidth="1"/>
    <col min="786" max="786" width="10.109375" style="3235" customWidth="1"/>
    <col min="787" max="787" width="10" style="3235" customWidth="1"/>
    <col min="788" max="788" width="26.109375" style="3235" customWidth="1"/>
    <col min="789" max="1024" width="8.88671875" style="3235"/>
    <col min="1025" max="1025" width="9.44140625" style="3235" customWidth="1"/>
    <col min="1026" max="1026" width="8.88671875" style="3235"/>
    <col min="1027" max="1029" width="12.88671875" style="3235" customWidth="1"/>
    <col min="1030" max="1030" width="47.44140625" style="3235" customWidth="1"/>
    <col min="1031" max="1031" width="13" style="3235" customWidth="1"/>
    <col min="1032" max="1033" width="8.88671875" style="3235"/>
    <col min="1034" max="1034" width="5.77734375" style="3235" customWidth="1"/>
    <col min="1035" max="1035" width="11.77734375" style="3235" customWidth="1"/>
    <col min="1036" max="1037" width="10.77734375" style="3235" customWidth="1"/>
    <col min="1038" max="1038" width="10" style="3235" customWidth="1"/>
    <col min="1039" max="1040" width="10.44140625" style="3235" bestFit="1" customWidth="1"/>
    <col min="1041" max="1041" width="10" style="3235" customWidth="1"/>
    <col min="1042" max="1042" width="10.109375" style="3235" customWidth="1"/>
    <col min="1043" max="1043" width="10" style="3235" customWidth="1"/>
    <col min="1044" max="1044" width="26.109375" style="3235" customWidth="1"/>
    <col min="1045" max="1280" width="8.88671875" style="3235"/>
    <col min="1281" max="1281" width="9.44140625" style="3235" customWidth="1"/>
    <col min="1282" max="1282" width="8.88671875" style="3235"/>
    <col min="1283" max="1285" width="12.88671875" style="3235" customWidth="1"/>
    <col min="1286" max="1286" width="47.44140625" style="3235" customWidth="1"/>
    <col min="1287" max="1287" width="13" style="3235" customWidth="1"/>
    <col min="1288" max="1289" width="8.88671875" style="3235"/>
    <col min="1290" max="1290" width="5.77734375" style="3235" customWidth="1"/>
    <col min="1291" max="1291" width="11.77734375" style="3235" customWidth="1"/>
    <col min="1292" max="1293" width="10.77734375" style="3235" customWidth="1"/>
    <col min="1294" max="1294" width="10" style="3235" customWidth="1"/>
    <col min="1295" max="1296" width="10.44140625" style="3235" bestFit="1" customWidth="1"/>
    <col min="1297" max="1297" width="10" style="3235" customWidth="1"/>
    <col min="1298" max="1298" width="10.109375" style="3235" customWidth="1"/>
    <col min="1299" max="1299" width="10" style="3235" customWidth="1"/>
    <col min="1300" max="1300" width="26.109375" style="3235" customWidth="1"/>
    <col min="1301" max="1536" width="8.88671875" style="3235"/>
    <col min="1537" max="1537" width="9.44140625" style="3235" customWidth="1"/>
    <col min="1538" max="1538" width="8.88671875" style="3235"/>
    <col min="1539" max="1541" width="12.88671875" style="3235" customWidth="1"/>
    <col min="1542" max="1542" width="47.44140625" style="3235" customWidth="1"/>
    <col min="1543" max="1543" width="13" style="3235" customWidth="1"/>
    <col min="1544" max="1545" width="8.88671875" style="3235"/>
    <col min="1546" max="1546" width="5.77734375" style="3235" customWidth="1"/>
    <col min="1547" max="1547" width="11.77734375" style="3235" customWidth="1"/>
    <col min="1548" max="1549" width="10.77734375" style="3235" customWidth="1"/>
    <col min="1550" max="1550" width="10" style="3235" customWidth="1"/>
    <col min="1551" max="1552" width="10.44140625" style="3235" bestFit="1" customWidth="1"/>
    <col min="1553" max="1553" width="10" style="3235" customWidth="1"/>
    <col min="1554" max="1554" width="10.109375" style="3235" customWidth="1"/>
    <col min="1555" max="1555" width="10" style="3235" customWidth="1"/>
    <col min="1556" max="1556" width="26.109375" style="3235" customWidth="1"/>
    <col min="1557" max="1792" width="8.88671875" style="3235"/>
    <col min="1793" max="1793" width="9.44140625" style="3235" customWidth="1"/>
    <col min="1794" max="1794" width="8.88671875" style="3235"/>
    <col min="1795" max="1797" width="12.88671875" style="3235" customWidth="1"/>
    <col min="1798" max="1798" width="47.44140625" style="3235" customWidth="1"/>
    <col min="1799" max="1799" width="13" style="3235" customWidth="1"/>
    <col min="1800" max="1801" width="8.88671875" style="3235"/>
    <col min="1802" max="1802" width="5.77734375" style="3235" customWidth="1"/>
    <col min="1803" max="1803" width="11.77734375" style="3235" customWidth="1"/>
    <col min="1804" max="1805" width="10.77734375" style="3235" customWidth="1"/>
    <col min="1806" max="1806" width="10" style="3235" customWidth="1"/>
    <col min="1807" max="1808" width="10.44140625" style="3235" bestFit="1" customWidth="1"/>
    <col min="1809" max="1809" width="10" style="3235" customWidth="1"/>
    <col min="1810" max="1810" width="10.109375" style="3235" customWidth="1"/>
    <col min="1811" max="1811" width="10" style="3235" customWidth="1"/>
    <col min="1812" max="1812" width="26.109375" style="3235" customWidth="1"/>
    <col min="1813" max="2048" width="8.88671875" style="3235"/>
    <col min="2049" max="2049" width="9.44140625" style="3235" customWidth="1"/>
    <col min="2050" max="2050" width="8.88671875" style="3235"/>
    <col min="2051" max="2053" width="12.88671875" style="3235" customWidth="1"/>
    <col min="2054" max="2054" width="47.44140625" style="3235" customWidth="1"/>
    <col min="2055" max="2055" width="13" style="3235" customWidth="1"/>
    <col min="2056" max="2057" width="8.88671875" style="3235"/>
    <col min="2058" max="2058" width="5.77734375" style="3235" customWidth="1"/>
    <col min="2059" max="2059" width="11.77734375" style="3235" customWidth="1"/>
    <col min="2060" max="2061" width="10.77734375" style="3235" customWidth="1"/>
    <col min="2062" max="2062" width="10" style="3235" customWidth="1"/>
    <col min="2063" max="2064" width="10.44140625" style="3235" bestFit="1" customWidth="1"/>
    <col min="2065" max="2065" width="10" style="3235" customWidth="1"/>
    <col min="2066" max="2066" width="10.109375" style="3235" customWidth="1"/>
    <col min="2067" max="2067" width="10" style="3235" customWidth="1"/>
    <col min="2068" max="2068" width="26.109375" style="3235" customWidth="1"/>
    <col min="2069" max="2304" width="8.88671875" style="3235"/>
    <col min="2305" max="2305" width="9.44140625" style="3235" customWidth="1"/>
    <col min="2306" max="2306" width="8.88671875" style="3235"/>
    <col min="2307" max="2309" width="12.88671875" style="3235" customWidth="1"/>
    <col min="2310" max="2310" width="47.44140625" style="3235" customWidth="1"/>
    <col min="2311" max="2311" width="13" style="3235" customWidth="1"/>
    <col min="2312" max="2313" width="8.88671875" style="3235"/>
    <col min="2314" max="2314" width="5.77734375" style="3235" customWidth="1"/>
    <col min="2315" max="2315" width="11.77734375" style="3235" customWidth="1"/>
    <col min="2316" max="2317" width="10.77734375" style="3235" customWidth="1"/>
    <col min="2318" max="2318" width="10" style="3235" customWidth="1"/>
    <col min="2319" max="2320" width="10.44140625" style="3235" bestFit="1" customWidth="1"/>
    <col min="2321" max="2321" width="10" style="3235" customWidth="1"/>
    <col min="2322" max="2322" width="10.109375" style="3235" customWidth="1"/>
    <col min="2323" max="2323" width="10" style="3235" customWidth="1"/>
    <col min="2324" max="2324" width="26.109375" style="3235" customWidth="1"/>
    <col min="2325" max="2560" width="8.88671875" style="3235"/>
    <col min="2561" max="2561" width="9.44140625" style="3235" customWidth="1"/>
    <col min="2562" max="2562" width="8.88671875" style="3235"/>
    <col min="2563" max="2565" width="12.88671875" style="3235" customWidth="1"/>
    <col min="2566" max="2566" width="47.44140625" style="3235" customWidth="1"/>
    <col min="2567" max="2567" width="13" style="3235" customWidth="1"/>
    <col min="2568" max="2569" width="8.88671875" style="3235"/>
    <col min="2570" max="2570" width="5.77734375" style="3235" customWidth="1"/>
    <col min="2571" max="2571" width="11.77734375" style="3235" customWidth="1"/>
    <col min="2572" max="2573" width="10.77734375" style="3235" customWidth="1"/>
    <col min="2574" max="2574" width="10" style="3235" customWidth="1"/>
    <col min="2575" max="2576" width="10.44140625" style="3235" bestFit="1" customWidth="1"/>
    <col min="2577" max="2577" width="10" style="3235" customWidth="1"/>
    <col min="2578" max="2578" width="10.109375" style="3235" customWidth="1"/>
    <col min="2579" max="2579" width="10" style="3235" customWidth="1"/>
    <col min="2580" max="2580" width="26.109375" style="3235" customWidth="1"/>
    <col min="2581" max="2816" width="8.88671875" style="3235"/>
    <col min="2817" max="2817" width="9.44140625" style="3235" customWidth="1"/>
    <col min="2818" max="2818" width="8.88671875" style="3235"/>
    <col min="2819" max="2821" width="12.88671875" style="3235" customWidth="1"/>
    <col min="2822" max="2822" width="47.44140625" style="3235" customWidth="1"/>
    <col min="2823" max="2823" width="13" style="3235" customWidth="1"/>
    <col min="2824" max="2825" width="8.88671875" style="3235"/>
    <col min="2826" max="2826" width="5.77734375" style="3235" customWidth="1"/>
    <col min="2827" max="2827" width="11.77734375" style="3235" customWidth="1"/>
    <col min="2828" max="2829" width="10.77734375" style="3235" customWidth="1"/>
    <col min="2830" max="2830" width="10" style="3235" customWidth="1"/>
    <col min="2831" max="2832" width="10.44140625" style="3235" bestFit="1" customWidth="1"/>
    <col min="2833" max="2833" width="10" style="3235" customWidth="1"/>
    <col min="2834" max="2834" width="10.109375" style="3235" customWidth="1"/>
    <col min="2835" max="2835" width="10" style="3235" customWidth="1"/>
    <col min="2836" max="2836" width="26.109375" style="3235" customWidth="1"/>
    <col min="2837" max="3072" width="8.88671875" style="3235"/>
    <col min="3073" max="3073" width="9.44140625" style="3235" customWidth="1"/>
    <col min="3074" max="3074" width="8.88671875" style="3235"/>
    <col min="3075" max="3077" width="12.88671875" style="3235" customWidth="1"/>
    <col min="3078" max="3078" width="47.44140625" style="3235" customWidth="1"/>
    <col min="3079" max="3079" width="13" style="3235" customWidth="1"/>
    <col min="3080" max="3081" width="8.88671875" style="3235"/>
    <col min="3082" max="3082" width="5.77734375" style="3235" customWidth="1"/>
    <col min="3083" max="3083" width="11.77734375" style="3235" customWidth="1"/>
    <col min="3084" max="3085" width="10.77734375" style="3235" customWidth="1"/>
    <col min="3086" max="3086" width="10" style="3235" customWidth="1"/>
    <col min="3087" max="3088" width="10.44140625" style="3235" bestFit="1" customWidth="1"/>
    <col min="3089" max="3089" width="10" style="3235" customWidth="1"/>
    <col min="3090" max="3090" width="10.109375" style="3235" customWidth="1"/>
    <col min="3091" max="3091" width="10" style="3235" customWidth="1"/>
    <col min="3092" max="3092" width="26.109375" style="3235" customWidth="1"/>
    <col min="3093" max="3328" width="8.88671875" style="3235"/>
    <col min="3329" max="3329" width="9.44140625" style="3235" customWidth="1"/>
    <col min="3330" max="3330" width="8.88671875" style="3235"/>
    <col min="3331" max="3333" width="12.88671875" style="3235" customWidth="1"/>
    <col min="3334" max="3334" width="47.44140625" style="3235" customWidth="1"/>
    <col min="3335" max="3335" width="13" style="3235" customWidth="1"/>
    <col min="3336" max="3337" width="8.88671875" style="3235"/>
    <col min="3338" max="3338" width="5.77734375" style="3235" customWidth="1"/>
    <col min="3339" max="3339" width="11.77734375" style="3235" customWidth="1"/>
    <col min="3340" max="3341" width="10.77734375" style="3235" customWidth="1"/>
    <col min="3342" max="3342" width="10" style="3235" customWidth="1"/>
    <col min="3343" max="3344" width="10.44140625" style="3235" bestFit="1" customWidth="1"/>
    <col min="3345" max="3345" width="10" style="3235" customWidth="1"/>
    <col min="3346" max="3346" width="10.109375" style="3235" customWidth="1"/>
    <col min="3347" max="3347" width="10" style="3235" customWidth="1"/>
    <col min="3348" max="3348" width="26.109375" style="3235" customWidth="1"/>
    <col min="3349" max="3584" width="8.88671875" style="3235"/>
    <col min="3585" max="3585" width="9.44140625" style="3235" customWidth="1"/>
    <col min="3586" max="3586" width="8.88671875" style="3235"/>
    <col min="3587" max="3589" width="12.88671875" style="3235" customWidth="1"/>
    <col min="3590" max="3590" width="47.44140625" style="3235" customWidth="1"/>
    <col min="3591" max="3591" width="13" style="3235" customWidth="1"/>
    <col min="3592" max="3593" width="8.88671875" style="3235"/>
    <col min="3594" max="3594" width="5.77734375" style="3235" customWidth="1"/>
    <col min="3595" max="3595" width="11.77734375" style="3235" customWidth="1"/>
    <col min="3596" max="3597" width="10.77734375" style="3235" customWidth="1"/>
    <col min="3598" max="3598" width="10" style="3235" customWidth="1"/>
    <col min="3599" max="3600" width="10.44140625" style="3235" bestFit="1" customWidth="1"/>
    <col min="3601" max="3601" width="10" style="3235" customWidth="1"/>
    <col min="3602" max="3602" width="10.109375" style="3235" customWidth="1"/>
    <col min="3603" max="3603" width="10" style="3235" customWidth="1"/>
    <col min="3604" max="3604" width="26.109375" style="3235" customWidth="1"/>
    <col min="3605" max="3840" width="8.88671875" style="3235"/>
    <col min="3841" max="3841" width="9.44140625" style="3235" customWidth="1"/>
    <col min="3842" max="3842" width="8.88671875" style="3235"/>
    <col min="3843" max="3845" width="12.88671875" style="3235" customWidth="1"/>
    <col min="3846" max="3846" width="47.44140625" style="3235" customWidth="1"/>
    <col min="3847" max="3847" width="13" style="3235" customWidth="1"/>
    <col min="3848" max="3849" width="8.88671875" style="3235"/>
    <col min="3850" max="3850" width="5.77734375" style="3235" customWidth="1"/>
    <col min="3851" max="3851" width="11.77734375" style="3235" customWidth="1"/>
    <col min="3852" max="3853" width="10.77734375" style="3235" customWidth="1"/>
    <col min="3854" max="3854" width="10" style="3235" customWidth="1"/>
    <col min="3855" max="3856" width="10.44140625" style="3235" bestFit="1" customWidth="1"/>
    <col min="3857" max="3857" width="10" style="3235" customWidth="1"/>
    <col min="3858" max="3858" width="10.109375" style="3235" customWidth="1"/>
    <col min="3859" max="3859" width="10" style="3235" customWidth="1"/>
    <col min="3860" max="3860" width="26.109375" style="3235" customWidth="1"/>
    <col min="3861" max="4096" width="8.88671875" style="3235"/>
    <col min="4097" max="4097" width="9.44140625" style="3235" customWidth="1"/>
    <col min="4098" max="4098" width="8.88671875" style="3235"/>
    <col min="4099" max="4101" width="12.88671875" style="3235" customWidth="1"/>
    <col min="4102" max="4102" width="47.44140625" style="3235" customWidth="1"/>
    <col min="4103" max="4103" width="13" style="3235" customWidth="1"/>
    <col min="4104" max="4105" width="8.88671875" style="3235"/>
    <col min="4106" max="4106" width="5.77734375" style="3235" customWidth="1"/>
    <col min="4107" max="4107" width="11.77734375" style="3235" customWidth="1"/>
    <col min="4108" max="4109" width="10.77734375" style="3235" customWidth="1"/>
    <col min="4110" max="4110" width="10" style="3235" customWidth="1"/>
    <col min="4111" max="4112" width="10.44140625" style="3235" bestFit="1" customWidth="1"/>
    <col min="4113" max="4113" width="10" style="3235" customWidth="1"/>
    <col min="4114" max="4114" width="10.109375" style="3235" customWidth="1"/>
    <col min="4115" max="4115" width="10" style="3235" customWidth="1"/>
    <col min="4116" max="4116" width="26.109375" style="3235" customWidth="1"/>
    <col min="4117" max="4352" width="8.88671875" style="3235"/>
    <col min="4353" max="4353" width="9.44140625" style="3235" customWidth="1"/>
    <col min="4354" max="4354" width="8.88671875" style="3235"/>
    <col min="4355" max="4357" width="12.88671875" style="3235" customWidth="1"/>
    <col min="4358" max="4358" width="47.44140625" style="3235" customWidth="1"/>
    <col min="4359" max="4359" width="13" style="3235" customWidth="1"/>
    <col min="4360" max="4361" width="8.88671875" style="3235"/>
    <col min="4362" max="4362" width="5.77734375" style="3235" customWidth="1"/>
    <col min="4363" max="4363" width="11.77734375" style="3235" customWidth="1"/>
    <col min="4364" max="4365" width="10.77734375" style="3235" customWidth="1"/>
    <col min="4366" max="4366" width="10" style="3235" customWidth="1"/>
    <col min="4367" max="4368" width="10.44140625" style="3235" bestFit="1" customWidth="1"/>
    <col min="4369" max="4369" width="10" style="3235" customWidth="1"/>
    <col min="4370" max="4370" width="10.109375" style="3235" customWidth="1"/>
    <col min="4371" max="4371" width="10" style="3235" customWidth="1"/>
    <col min="4372" max="4372" width="26.109375" style="3235" customWidth="1"/>
    <col min="4373" max="4608" width="8.88671875" style="3235"/>
    <col min="4609" max="4609" width="9.44140625" style="3235" customWidth="1"/>
    <col min="4610" max="4610" width="8.88671875" style="3235"/>
    <col min="4611" max="4613" width="12.88671875" style="3235" customWidth="1"/>
    <col min="4614" max="4614" width="47.44140625" style="3235" customWidth="1"/>
    <col min="4615" max="4615" width="13" style="3235" customWidth="1"/>
    <col min="4616" max="4617" width="8.88671875" style="3235"/>
    <col min="4618" max="4618" width="5.77734375" style="3235" customWidth="1"/>
    <col min="4619" max="4619" width="11.77734375" style="3235" customWidth="1"/>
    <col min="4620" max="4621" width="10.77734375" style="3235" customWidth="1"/>
    <col min="4622" max="4622" width="10" style="3235" customWidth="1"/>
    <col min="4623" max="4624" width="10.44140625" style="3235" bestFit="1" customWidth="1"/>
    <col min="4625" max="4625" width="10" style="3235" customWidth="1"/>
    <col min="4626" max="4626" width="10.109375" style="3235" customWidth="1"/>
    <col min="4627" max="4627" width="10" style="3235" customWidth="1"/>
    <col min="4628" max="4628" width="26.109375" style="3235" customWidth="1"/>
    <col min="4629" max="4864" width="8.88671875" style="3235"/>
    <col min="4865" max="4865" width="9.44140625" style="3235" customWidth="1"/>
    <col min="4866" max="4866" width="8.88671875" style="3235"/>
    <col min="4867" max="4869" width="12.88671875" style="3235" customWidth="1"/>
    <col min="4870" max="4870" width="47.44140625" style="3235" customWidth="1"/>
    <col min="4871" max="4871" width="13" style="3235" customWidth="1"/>
    <col min="4872" max="4873" width="8.88671875" style="3235"/>
    <col min="4874" max="4874" width="5.77734375" style="3235" customWidth="1"/>
    <col min="4875" max="4875" width="11.77734375" style="3235" customWidth="1"/>
    <col min="4876" max="4877" width="10.77734375" style="3235" customWidth="1"/>
    <col min="4878" max="4878" width="10" style="3235" customWidth="1"/>
    <col min="4879" max="4880" width="10.44140625" style="3235" bestFit="1" customWidth="1"/>
    <col min="4881" max="4881" width="10" style="3235" customWidth="1"/>
    <col min="4882" max="4882" width="10.109375" style="3235" customWidth="1"/>
    <col min="4883" max="4883" width="10" style="3235" customWidth="1"/>
    <col min="4884" max="4884" width="26.109375" style="3235" customWidth="1"/>
    <col min="4885" max="5120" width="8.88671875" style="3235"/>
    <col min="5121" max="5121" width="9.44140625" style="3235" customWidth="1"/>
    <col min="5122" max="5122" width="8.88671875" style="3235"/>
    <col min="5123" max="5125" width="12.88671875" style="3235" customWidth="1"/>
    <col min="5126" max="5126" width="47.44140625" style="3235" customWidth="1"/>
    <col min="5127" max="5127" width="13" style="3235" customWidth="1"/>
    <col min="5128" max="5129" width="8.88671875" style="3235"/>
    <col min="5130" max="5130" width="5.77734375" style="3235" customWidth="1"/>
    <col min="5131" max="5131" width="11.77734375" style="3235" customWidth="1"/>
    <col min="5132" max="5133" width="10.77734375" style="3235" customWidth="1"/>
    <col min="5134" max="5134" width="10" style="3235" customWidth="1"/>
    <col min="5135" max="5136" width="10.44140625" style="3235" bestFit="1" customWidth="1"/>
    <col min="5137" max="5137" width="10" style="3235" customWidth="1"/>
    <col min="5138" max="5138" width="10.109375" style="3235" customWidth="1"/>
    <col min="5139" max="5139" width="10" style="3235" customWidth="1"/>
    <col min="5140" max="5140" width="26.109375" style="3235" customWidth="1"/>
    <col min="5141" max="5376" width="8.88671875" style="3235"/>
    <col min="5377" max="5377" width="9.44140625" style="3235" customWidth="1"/>
    <col min="5378" max="5378" width="8.88671875" style="3235"/>
    <col min="5379" max="5381" width="12.88671875" style="3235" customWidth="1"/>
    <col min="5382" max="5382" width="47.44140625" style="3235" customWidth="1"/>
    <col min="5383" max="5383" width="13" style="3235" customWidth="1"/>
    <col min="5384" max="5385" width="8.88671875" style="3235"/>
    <col min="5386" max="5386" width="5.77734375" style="3235" customWidth="1"/>
    <col min="5387" max="5387" width="11.77734375" style="3235" customWidth="1"/>
    <col min="5388" max="5389" width="10.77734375" style="3235" customWidth="1"/>
    <col min="5390" max="5390" width="10" style="3235" customWidth="1"/>
    <col min="5391" max="5392" width="10.44140625" style="3235" bestFit="1" customWidth="1"/>
    <col min="5393" max="5393" width="10" style="3235" customWidth="1"/>
    <col min="5394" max="5394" width="10.109375" style="3235" customWidth="1"/>
    <col min="5395" max="5395" width="10" style="3235" customWidth="1"/>
    <col min="5396" max="5396" width="26.109375" style="3235" customWidth="1"/>
    <col min="5397" max="5632" width="8.88671875" style="3235"/>
    <col min="5633" max="5633" width="9.44140625" style="3235" customWidth="1"/>
    <col min="5634" max="5634" width="8.88671875" style="3235"/>
    <col min="5635" max="5637" width="12.88671875" style="3235" customWidth="1"/>
    <col min="5638" max="5638" width="47.44140625" style="3235" customWidth="1"/>
    <col min="5639" max="5639" width="13" style="3235" customWidth="1"/>
    <col min="5640" max="5641" width="8.88671875" style="3235"/>
    <col min="5642" max="5642" width="5.77734375" style="3235" customWidth="1"/>
    <col min="5643" max="5643" width="11.77734375" style="3235" customWidth="1"/>
    <col min="5644" max="5645" width="10.77734375" style="3235" customWidth="1"/>
    <col min="5646" max="5646" width="10" style="3235" customWidth="1"/>
    <col min="5647" max="5648" width="10.44140625" style="3235" bestFit="1" customWidth="1"/>
    <col min="5649" max="5649" width="10" style="3235" customWidth="1"/>
    <col min="5650" max="5650" width="10.109375" style="3235" customWidth="1"/>
    <col min="5651" max="5651" width="10" style="3235" customWidth="1"/>
    <col min="5652" max="5652" width="26.109375" style="3235" customWidth="1"/>
    <col min="5653" max="5888" width="8.88671875" style="3235"/>
    <col min="5889" max="5889" width="9.44140625" style="3235" customWidth="1"/>
    <col min="5890" max="5890" width="8.88671875" style="3235"/>
    <col min="5891" max="5893" width="12.88671875" style="3235" customWidth="1"/>
    <col min="5894" max="5894" width="47.44140625" style="3235" customWidth="1"/>
    <col min="5895" max="5895" width="13" style="3235" customWidth="1"/>
    <col min="5896" max="5897" width="8.88671875" style="3235"/>
    <col min="5898" max="5898" width="5.77734375" style="3235" customWidth="1"/>
    <col min="5899" max="5899" width="11.77734375" style="3235" customWidth="1"/>
    <col min="5900" max="5901" width="10.77734375" style="3235" customWidth="1"/>
    <col min="5902" max="5902" width="10" style="3235" customWidth="1"/>
    <col min="5903" max="5904" width="10.44140625" style="3235" bestFit="1" customWidth="1"/>
    <col min="5905" max="5905" width="10" style="3235" customWidth="1"/>
    <col min="5906" max="5906" width="10.109375" style="3235" customWidth="1"/>
    <col min="5907" max="5907" width="10" style="3235" customWidth="1"/>
    <col min="5908" max="5908" width="26.109375" style="3235" customWidth="1"/>
    <col min="5909" max="6144" width="8.88671875" style="3235"/>
    <col min="6145" max="6145" width="9.44140625" style="3235" customWidth="1"/>
    <col min="6146" max="6146" width="8.88671875" style="3235"/>
    <col min="6147" max="6149" width="12.88671875" style="3235" customWidth="1"/>
    <col min="6150" max="6150" width="47.44140625" style="3235" customWidth="1"/>
    <col min="6151" max="6151" width="13" style="3235" customWidth="1"/>
    <col min="6152" max="6153" width="8.88671875" style="3235"/>
    <col min="6154" max="6154" width="5.77734375" style="3235" customWidth="1"/>
    <col min="6155" max="6155" width="11.77734375" style="3235" customWidth="1"/>
    <col min="6156" max="6157" width="10.77734375" style="3235" customWidth="1"/>
    <col min="6158" max="6158" width="10" style="3235" customWidth="1"/>
    <col min="6159" max="6160" width="10.44140625" style="3235" bestFit="1" customWidth="1"/>
    <col min="6161" max="6161" width="10" style="3235" customWidth="1"/>
    <col min="6162" max="6162" width="10.109375" style="3235" customWidth="1"/>
    <col min="6163" max="6163" width="10" style="3235" customWidth="1"/>
    <col min="6164" max="6164" width="26.109375" style="3235" customWidth="1"/>
    <col min="6165" max="6400" width="8.88671875" style="3235"/>
    <col min="6401" max="6401" width="9.44140625" style="3235" customWidth="1"/>
    <col min="6402" max="6402" width="8.88671875" style="3235"/>
    <col min="6403" max="6405" width="12.88671875" style="3235" customWidth="1"/>
    <col min="6406" max="6406" width="47.44140625" style="3235" customWidth="1"/>
    <col min="6407" max="6407" width="13" style="3235" customWidth="1"/>
    <col min="6408" max="6409" width="8.88671875" style="3235"/>
    <col min="6410" max="6410" width="5.77734375" style="3235" customWidth="1"/>
    <col min="6411" max="6411" width="11.77734375" style="3235" customWidth="1"/>
    <col min="6412" max="6413" width="10.77734375" style="3235" customWidth="1"/>
    <col min="6414" max="6414" width="10" style="3235" customWidth="1"/>
    <col min="6415" max="6416" width="10.44140625" style="3235" bestFit="1" customWidth="1"/>
    <col min="6417" max="6417" width="10" style="3235" customWidth="1"/>
    <col min="6418" max="6418" width="10.109375" style="3235" customWidth="1"/>
    <col min="6419" max="6419" width="10" style="3235" customWidth="1"/>
    <col min="6420" max="6420" width="26.109375" style="3235" customWidth="1"/>
    <col min="6421" max="6656" width="8.88671875" style="3235"/>
    <col min="6657" max="6657" width="9.44140625" style="3235" customWidth="1"/>
    <col min="6658" max="6658" width="8.88671875" style="3235"/>
    <col min="6659" max="6661" width="12.88671875" style="3235" customWidth="1"/>
    <col min="6662" max="6662" width="47.44140625" style="3235" customWidth="1"/>
    <col min="6663" max="6663" width="13" style="3235" customWidth="1"/>
    <col min="6664" max="6665" width="8.88671875" style="3235"/>
    <col min="6666" max="6666" width="5.77734375" style="3235" customWidth="1"/>
    <col min="6667" max="6667" width="11.77734375" style="3235" customWidth="1"/>
    <col min="6668" max="6669" width="10.77734375" style="3235" customWidth="1"/>
    <col min="6670" max="6670" width="10" style="3235" customWidth="1"/>
    <col min="6671" max="6672" width="10.44140625" style="3235" bestFit="1" customWidth="1"/>
    <col min="6673" max="6673" width="10" style="3235" customWidth="1"/>
    <col min="6674" max="6674" width="10.109375" style="3235" customWidth="1"/>
    <col min="6675" max="6675" width="10" style="3235" customWidth="1"/>
    <col min="6676" max="6676" width="26.109375" style="3235" customWidth="1"/>
    <col min="6677" max="6912" width="8.88671875" style="3235"/>
    <col min="6913" max="6913" width="9.44140625" style="3235" customWidth="1"/>
    <col min="6914" max="6914" width="8.88671875" style="3235"/>
    <col min="6915" max="6917" width="12.88671875" style="3235" customWidth="1"/>
    <col min="6918" max="6918" width="47.44140625" style="3235" customWidth="1"/>
    <col min="6919" max="6919" width="13" style="3235" customWidth="1"/>
    <col min="6920" max="6921" width="8.88671875" style="3235"/>
    <col min="6922" max="6922" width="5.77734375" style="3235" customWidth="1"/>
    <col min="6923" max="6923" width="11.77734375" style="3235" customWidth="1"/>
    <col min="6924" max="6925" width="10.77734375" style="3235" customWidth="1"/>
    <col min="6926" max="6926" width="10" style="3235" customWidth="1"/>
    <col min="6927" max="6928" width="10.44140625" style="3235" bestFit="1" customWidth="1"/>
    <col min="6929" max="6929" width="10" style="3235" customWidth="1"/>
    <col min="6930" max="6930" width="10.109375" style="3235" customWidth="1"/>
    <col min="6931" max="6931" width="10" style="3235" customWidth="1"/>
    <col min="6932" max="6932" width="26.109375" style="3235" customWidth="1"/>
    <col min="6933" max="7168" width="8.88671875" style="3235"/>
    <col min="7169" max="7169" width="9.44140625" style="3235" customWidth="1"/>
    <col min="7170" max="7170" width="8.88671875" style="3235"/>
    <col min="7171" max="7173" width="12.88671875" style="3235" customWidth="1"/>
    <col min="7174" max="7174" width="47.44140625" style="3235" customWidth="1"/>
    <col min="7175" max="7175" width="13" style="3235" customWidth="1"/>
    <col min="7176" max="7177" width="8.88671875" style="3235"/>
    <col min="7178" max="7178" width="5.77734375" style="3235" customWidth="1"/>
    <col min="7179" max="7179" width="11.77734375" style="3235" customWidth="1"/>
    <col min="7180" max="7181" width="10.77734375" style="3235" customWidth="1"/>
    <col min="7182" max="7182" width="10" style="3235" customWidth="1"/>
    <col min="7183" max="7184" width="10.44140625" style="3235" bestFit="1" customWidth="1"/>
    <col min="7185" max="7185" width="10" style="3235" customWidth="1"/>
    <col min="7186" max="7186" width="10.109375" style="3235" customWidth="1"/>
    <col min="7187" max="7187" width="10" style="3235" customWidth="1"/>
    <col min="7188" max="7188" width="26.109375" style="3235" customWidth="1"/>
    <col min="7189" max="7424" width="8.88671875" style="3235"/>
    <col min="7425" max="7425" width="9.44140625" style="3235" customWidth="1"/>
    <col min="7426" max="7426" width="8.88671875" style="3235"/>
    <col min="7427" max="7429" width="12.88671875" style="3235" customWidth="1"/>
    <col min="7430" max="7430" width="47.44140625" style="3235" customWidth="1"/>
    <col min="7431" max="7431" width="13" style="3235" customWidth="1"/>
    <col min="7432" max="7433" width="8.88671875" style="3235"/>
    <col min="7434" max="7434" width="5.77734375" style="3235" customWidth="1"/>
    <col min="7435" max="7435" width="11.77734375" style="3235" customWidth="1"/>
    <col min="7436" max="7437" width="10.77734375" style="3235" customWidth="1"/>
    <col min="7438" max="7438" width="10" style="3235" customWidth="1"/>
    <col min="7439" max="7440" width="10.44140625" style="3235" bestFit="1" customWidth="1"/>
    <col min="7441" max="7441" width="10" style="3235" customWidth="1"/>
    <col min="7442" max="7442" width="10.109375" style="3235" customWidth="1"/>
    <col min="7443" max="7443" width="10" style="3235" customWidth="1"/>
    <col min="7444" max="7444" width="26.109375" style="3235" customWidth="1"/>
    <col min="7445" max="7680" width="8.88671875" style="3235"/>
    <col min="7681" max="7681" width="9.44140625" style="3235" customWidth="1"/>
    <col min="7682" max="7682" width="8.88671875" style="3235"/>
    <col min="7683" max="7685" width="12.88671875" style="3235" customWidth="1"/>
    <col min="7686" max="7686" width="47.44140625" style="3235" customWidth="1"/>
    <col min="7687" max="7687" width="13" style="3235" customWidth="1"/>
    <col min="7688" max="7689" width="8.88671875" style="3235"/>
    <col min="7690" max="7690" width="5.77734375" style="3235" customWidth="1"/>
    <col min="7691" max="7691" width="11.77734375" style="3235" customWidth="1"/>
    <col min="7692" max="7693" width="10.77734375" style="3235" customWidth="1"/>
    <col min="7694" max="7694" width="10" style="3235" customWidth="1"/>
    <col min="7695" max="7696" width="10.44140625" style="3235" bestFit="1" customWidth="1"/>
    <col min="7697" max="7697" width="10" style="3235" customWidth="1"/>
    <col min="7698" max="7698" width="10.109375" style="3235" customWidth="1"/>
    <col min="7699" max="7699" width="10" style="3235" customWidth="1"/>
    <col min="7700" max="7700" width="26.109375" style="3235" customWidth="1"/>
    <col min="7701" max="7936" width="8.88671875" style="3235"/>
    <col min="7937" max="7937" width="9.44140625" style="3235" customWidth="1"/>
    <col min="7938" max="7938" width="8.88671875" style="3235"/>
    <col min="7939" max="7941" width="12.88671875" style="3235" customWidth="1"/>
    <col min="7942" max="7942" width="47.44140625" style="3235" customWidth="1"/>
    <col min="7943" max="7943" width="13" style="3235" customWidth="1"/>
    <col min="7944" max="7945" width="8.88671875" style="3235"/>
    <col min="7946" max="7946" width="5.77734375" style="3235" customWidth="1"/>
    <col min="7947" max="7947" width="11.77734375" style="3235" customWidth="1"/>
    <col min="7948" max="7949" width="10.77734375" style="3235" customWidth="1"/>
    <col min="7950" max="7950" width="10" style="3235" customWidth="1"/>
    <col min="7951" max="7952" width="10.44140625" style="3235" bestFit="1" customWidth="1"/>
    <col min="7953" max="7953" width="10" style="3235" customWidth="1"/>
    <col min="7954" max="7954" width="10.109375" style="3235" customWidth="1"/>
    <col min="7955" max="7955" width="10" style="3235" customWidth="1"/>
    <col min="7956" max="7956" width="26.109375" style="3235" customWidth="1"/>
    <col min="7957" max="8192" width="8.88671875" style="3235"/>
    <col min="8193" max="8193" width="9.44140625" style="3235" customWidth="1"/>
    <col min="8194" max="8194" width="8.88671875" style="3235"/>
    <col min="8195" max="8197" width="12.88671875" style="3235" customWidth="1"/>
    <col min="8198" max="8198" width="47.44140625" style="3235" customWidth="1"/>
    <col min="8199" max="8199" width="13" style="3235" customWidth="1"/>
    <col min="8200" max="8201" width="8.88671875" style="3235"/>
    <col min="8202" max="8202" width="5.77734375" style="3235" customWidth="1"/>
    <col min="8203" max="8203" width="11.77734375" style="3235" customWidth="1"/>
    <col min="8204" max="8205" width="10.77734375" style="3235" customWidth="1"/>
    <col min="8206" max="8206" width="10" style="3235" customWidth="1"/>
    <col min="8207" max="8208" width="10.44140625" style="3235" bestFit="1" customWidth="1"/>
    <col min="8209" max="8209" width="10" style="3235" customWidth="1"/>
    <col min="8210" max="8210" width="10.109375" style="3235" customWidth="1"/>
    <col min="8211" max="8211" width="10" style="3235" customWidth="1"/>
    <col min="8212" max="8212" width="26.109375" style="3235" customWidth="1"/>
    <col min="8213" max="8448" width="8.88671875" style="3235"/>
    <col min="8449" max="8449" width="9.44140625" style="3235" customWidth="1"/>
    <col min="8450" max="8450" width="8.88671875" style="3235"/>
    <col min="8451" max="8453" width="12.88671875" style="3235" customWidth="1"/>
    <col min="8454" max="8454" width="47.44140625" style="3235" customWidth="1"/>
    <col min="8455" max="8455" width="13" style="3235" customWidth="1"/>
    <col min="8456" max="8457" width="8.88671875" style="3235"/>
    <col min="8458" max="8458" width="5.77734375" style="3235" customWidth="1"/>
    <col min="8459" max="8459" width="11.77734375" style="3235" customWidth="1"/>
    <col min="8460" max="8461" width="10.77734375" style="3235" customWidth="1"/>
    <col min="8462" max="8462" width="10" style="3235" customWidth="1"/>
    <col min="8463" max="8464" width="10.44140625" style="3235" bestFit="1" customWidth="1"/>
    <col min="8465" max="8465" width="10" style="3235" customWidth="1"/>
    <col min="8466" max="8466" width="10.109375" style="3235" customWidth="1"/>
    <col min="8467" max="8467" width="10" style="3235" customWidth="1"/>
    <col min="8468" max="8468" width="26.109375" style="3235" customWidth="1"/>
    <col min="8469" max="8704" width="8.88671875" style="3235"/>
    <col min="8705" max="8705" width="9.44140625" style="3235" customWidth="1"/>
    <col min="8706" max="8706" width="8.88671875" style="3235"/>
    <col min="8707" max="8709" width="12.88671875" style="3235" customWidth="1"/>
    <col min="8710" max="8710" width="47.44140625" style="3235" customWidth="1"/>
    <col min="8711" max="8711" width="13" style="3235" customWidth="1"/>
    <col min="8712" max="8713" width="8.88671875" style="3235"/>
    <col min="8714" max="8714" width="5.77734375" style="3235" customWidth="1"/>
    <col min="8715" max="8715" width="11.77734375" style="3235" customWidth="1"/>
    <col min="8716" max="8717" width="10.77734375" style="3235" customWidth="1"/>
    <col min="8718" max="8718" width="10" style="3235" customWidth="1"/>
    <col min="8719" max="8720" width="10.44140625" style="3235" bestFit="1" customWidth="1"/>
    <col min="8721" max="8721" width="10" style="3235" customWidth="1"/>
    <col min="8722" max="8722" width="10.109375" style="3235" customWidth="1"/>
    <col min="8723" max="8723" width="10" style="3235" customWidth="1"/>
    <col min="8724" max="8724" width="26.109375" style="3235" customWidth="1"/>
    <col min="8725" max="8960" width="8.88671875" style="3235"/>
    <col min="8961" max="8961" width="9.44140625" style="3235" customWidth="1"/>
    <col min="8962" max="8962" width="8.88671875" style="3235"/>
    <col min="8963" max="8965" width="12.88671875" style="3235" customWidth="1"/>
    <col min="8966" max="8966" width="47.44140625" style="3235" customWidth="1"/>
    <col min="8967" max="8967" width="13" style="3235" customWidth="1"/>
    <col min="8968" max="8969" width="8.88671875" style="3235"/>
    <col min="8970" max="8970" width="5.77734375" style="3235" customWidth="1"/>
    <col min="8971" max="8971" width="11.77734375" style="3235" customWidth="1"/>
    <col min="8972" max="8973" width="10.77734375" style="3235" customWidth="1"/>
    <col min="8974" max="8974" width="10" style="3235" customWidth="1"/>
    <col min="8975" max="8976" width="10.44140625" style="3235" bestFit="1" customWidth="1"/>
    <col min="8977" max="8977" width="10" style="3235" customWidth="1"/>
    <col min="8978" max="8978" width="10.109375" style="3235" customWidth="1"/>
    <col min="8979" max="8979" width="10" style="3235" customWidth="1"/>
    <col min="8980" max="8980" width="26.109375" style="3235" customWidth="1"/>
    <col min="8981" max="9216" width="8.88671875" style="3235"/>
    <col min="9217" max="9217" width="9.44140625" style="3235" customWidth="1"/>
    <col min="9218" max="9218" width="8.88671875" style="3235"/>
    <col min="9219" max="9221" width="12.88671875" style="3235" customWidth="1"/>
    <col min="9222" max="9222" width="47.44140625" style="3235" customWidth="1"/>
    <col min="9223" max="9223" width="13" style="3235" customWidth="1"/>
    <col min="9224" max="9225" width="8.88671875" style="3235"/>
    <col min="9226" max="9226" width="5.77734375" style="3235" customWidth="1"/>
    <col min="9227" max="9227" width="11.77734375" style="3235" customWidth="1"/>
    <col min="9228" max="9229" width="10.77734375" style="3235" customWidth="1"/>
    <col min="9230" max="9230" width="10" style="3235" customWidth="1"/>
    <col min="9231" max="9232" width="10.44140625" style="3235" bestFit="1" customWidth="1"/>
    <col min="9233" max="9233" width="10" style="3235" customWidth="1"/>
    <col min="9234" max="9234" width="10.109375" style="3235" customWidth="1"/>
    <col min="9235" max="9235" width="10" style="3235" customWidth="1"/>
    <col min="9236" max="9236" width="26.109375" style="3235" customWidth="1"/>
    <col min="9237" max="9472" width="8.88671875" style="3235"/>
    <col min="9473" max="9473" width="9.44140625" style="3235" customWidth="1"/>
    <col min="9474" max="9474" width="8.88671875" style="3235"/>
    <col min="9475" max="9477" width="12.88671875" style="3235" customWidth="1"/>
    <col min="9478" max="9478" width="47.44140625" style="3235" customWidth="1"/>
    <col min="9479" max="9479" width="13" style="3235" customWidth="1"/>
    <col min="9480" max="9481" width="8.88671875" style="3235"/>
    <col min="9482" max="9482" width="5.77734375" style="3235" customWidth="1"/>
    <col min="9483" max="9483" width="11.77734375" style="3235" customWidth="1"/>
    <col min="9484" max="9485" width="10.77734375" style="3235" customWidth="1"/>
    <col min="9486" max="9486" width="10" style="3235" customWidth="1"/>
    <col min="9487" max="9488" width="10.44140625" style="3235" bestFit="1" customWidth="1"/>
    <col min="9489" max="9489" width="10" style="3235" customWidth="1"/>
    <col min="9490" max="9490" width="10.109375" style="3235" customWidth="1"/>
    <col min="9491" max="9491" width="10" style="3235" customWidth="1"/>
    <col min="9492" max="9492" width="26.109375" style="3235" customWidth="1"/>
    <col min="9493" max="9728" width="8.88671875" style="3235"/>
    <col min="9729" max="9729" width="9.44140625" style="3235" customWidth="1"/>
    <col min="9730" max="9730" width="8.88671875" style="3235"/>
    <col min="9731" max="9733" width="12.88671875" style="3235" customWidth="1"/>
    <col min="9734" max="9734" width="47.44140625" style="3235" customWidth="1"/>
    <col min="9735" max="9735" width="13" style="3235" customWidth="1"/>
    <col min="9736" max="9737" width="8.88671875" style="3235"/>
    <col min="9738" max="9738" width="5.77734375" style="3235" customWidth="1"/>
    <col min="9739" max="9739" width="11.77734375" style="3235" customWidth="1"/>
    <col min="9740" max="9741" width="10.77734375" style="3235" customWidth="1"/>
    <col min="9742" max="9742" width="10" style="3235" customWidth="1"/>
    <col min="9743" max="9744" width="10.44140625" style="3235" bestFit="1" customWidth="1"/>
    <col min="9745" max="9745" width="10" style="3235" customWidth="1"/>
    <col min="9746" max="9746" width="10.109375" style="3235" customWidth="1"/>
    <col min="9747" max="9747" width="10" style="3235" customWidth="1"/>
    <col min="9748" max="9748" width="26.109375" style="3235" customWidth="1"/>
    <col min="9749" max="9984" width="8.88671875" style="3235"/>
    <col min="9985" max="9985" width="9.44140625" style="3235" customWidth="1"/>
    <col min="9986" max="9986" width="8.88671875" style="3235"/>
    <col min="9987" max="9989" width="12.88671875" style="3235" customWidth="1"/>
    <col min="9990" max="9990" width="47.44140625" style="3235" customWidth="1"/>
    <col min="9991" max="9991" width="13" style="3235" customWidth="1"/>
    <col min="9992" max="9993" width="8.88671875" style="3235"/>
    <col min="9994" max="9994" width="5.77734375" style="3235" customWidth="1"/>
    <col min="9995" max="9995" width="11.77734375" style="3235" customWidth="1"/>
    <col min="9996" max="9997" width="10.77734375" style="3235" customWidth="1"/>
    <col min="9998" max="9998" width="10" style="3235" customWidth="1"/>
    <col min="9999" max="10000" width="10.44140625" style="3235" bestFit="1" customWidth="1"/>
    <col min="10001" max="10001" width="10" style="3235" customWidth="1"/>
    <col min="10002" max="10002" width="10.109375" style="3235" customWidth="1"/>
    <col min="10003" max="10003" width="10" style="3235" customWidth="1"/>
    <col min="10004" max="10004" width="26.109375" style="3235" customWidth="1"/>
    <col min="10005" max="10240" width="8.88671875" style="3235"/>
    <col min="10241" max="10241" width="9.44140625" style="3235" customWidth="1"/>
    <col min="10242" max="10242" width="8.88671875" style="3235"/>
    <col min="10243" max="10245" width="12.88671875" style="3235" customWidth="1"/>
    <col min="10246" max="10246" width="47.44140625" style="3235" customWidth="1"/>
    <col min="10247" max="10247" width="13" style="3235" customWidth="1"/>
    <col min="10248" max="10249" width="8.88671875" style="3235"/>
    <col min="10250" max="10250" width="5.77734375" style="3235" customWidth="1"/>
    <col min="10251" max="10251" width="11.77734375" style="3235" customWidth="1"/>
    <col min="10252" max="10253" width="10.77734375" style="3235" customWidth="1"/>
    <col min="10254" max="10254" width="10" style="3235" customWidth="1"/>
    <col min="10255" max="10256" width="10.44140625" style="3235" bestFit="1" customWidth="1"/>
    <col min="10257" max="10257" width="10" style="3235" customWidth="1"/>
    <col min="10258" max="10258" width="10.109375" style="3235" customWidth="1"/>
    <col min="10259" max="10259" width="10" style="3235" customWidth="1"/>
    <col min="10260" max="10260" width="26.109375" style="3235" customWidth="1"/>
    <col min="10261" max="10496" width="8.88671875" style="3235"/>
    <col min="10497" max="10497" width="9.44140625" style="3235" customWidth="1"/>
    <col min="10498" max="10498" width="8.88671875" style="3235"/>
    <col min="10499" max="10501" width="12.88671875" style="3235" customWidth="1"/>
    <col min="10502" max="10502" width="47.44140625" style="3235" customWidth="1"/>
    <col min="10503" max="10503" width="13" style="3235" customWidth="1"/>
    <col min="10504" max="10505" width="8.88671875" style="3235"/>
    <col min="10506" max="10506" width="5.77734375" style="3235" customWidth="1"/>
    <col min="10507" max="10507" width="11.77734375" style="3235" customWidth="1"/>
    <col min="10508" max="10509" width="10.77734375" style="3235" customWidth="1"/>
    <col min="10510" max="10510" width="10" style="3235" customWidth="1"/>
    <col min="10511" max="10512" width="10.44140625" style="3235" bestFit="1" customWidth="1"/>
    <col min="10513" max="10513" width="10" style="3235" customWidth="1"/>
    <col min="10514" max="10514" width="10.109375" style="3235" customWidth="1"/>
    <col min="10515" max="10515" width="10" style="3235" customWidth="1"/>
    <col min="10516" max="10516" width="26.109375" style="3235" customWidth="1"/>
    <col min="10517" max="10752" width="8.88671875" style="3235"/>
    <col min="10753" max="10753" width="9.44140625" style="3235" customWidth="1"/>
    <col min="10754" max="10754" width="8.88671875" style="3235"/>
    <col min="10755" max="10757" width="12.88671875" style="3235" customWidth="1"/>
    <col min="10758" max="10758" width="47.44140625" style="3235" customWidth="1"/>
    <col min="10759" max="10759" width="13" style="3235" customWidth="1"/>
    <col min="10760" max="10761" width="8.88671875" style="3235"/>
    <col min="10762" max="10762" width="5.77734375" style="3235" customWidth="1"/>
    <col min="10763" max="10763" width="11.77734375" style="3235" customWidth="1"/>
    <col min="10764" max="10765" width="10.77734375" style="3235" customWidth="1"/>
    <col min="10766" max="10766" width="10" style="3235" customWidth="1"/>
    <col min="10767" max="10768" width="10.44140625" style="3235" bestFit="1" customWidth="1"/>
    <col min="10769" max="10769" width="10" style="3235" customWidth="1"/>
    <col min="10770" max="10770" width="10.109375" style="3235" customWidth="1"/>
    <col min="10771" max="10771" width="10" style="3235" customWidth="1"/>
    <col min="10772" max="10772" width="26.109375" style="3235" customWidth="1"/>
    <col min="10773" max="11008" width="8.88671875" style="3235"/>
    <col min="11009" max="11009" width="9.44140625" style="3235" customWidth="1"/>
    <col min="11010" max="11010" width="8.88671875" style="3235"/>
    <col min="11011" max="11013" width="12.88671875" style="3235" customWidth="1"/>
    <col min="11014" max="11014" width="47.44140625" style="3235" customWidth="1"/>
    <col min="11015" max="11015" width="13" style="3235" customWidth="1"/>
    <col min="11016" max="11017" width="8.88671875" style="3235"/>
    <col min="11018" max="11018" width="5.77734375" style="3235" customWidth="1"/>
    <col min="11019" max="11019" width="11.77734375" style="3235" customWidth="1"/>
    <col min="11020" max="11021" width="10.77734375" style="3235" customWidth="1"/>
    <col min="11022" max="11022" width="10" style="3235" customWidth="1"/>
    <col min="11023" max="11024" width="10.44140625" style="3235" bestFit="1" customWidth="1"/>
    <col min="11025" max="11025" width="10" style="3235" customWidth="1"/>
    <col min="11026" max="11026" width="10.109375" style="3235" customWidth="1"/>
    <col min="11027" max="11027" width="10" style="3235" customWidth="1"/>
    <col min="11028" max="11028" width="26.109375" style="3235" customWidth="1"/>
    <col min="11029" max="11264" width="8.88671875" style="3235"/>
    <col min="11265" max="11265" width="9.44140625" style="3235" customWidth="1"/>
    <col min="11266" max="11266" width="8.88671875" style="3235"/>
    <col min="11267" max="11269" width="12.88671875" style="3235" customWidth="1"/>
    <col min="11270" max="11270" width="47.44140625" style="3235" customWidth="1"/>
    <col min="11271" max="11271" width="13" style="3235" customWidth="1"/>
    <col min="11272" max="11273" width="8.88671875" style="3235"/>
    <col min="11274" max="11274" width="5.77734375" style="3235" customWidth="1"/>
    <col min="11275" max="11275" width="11.77734375" style="3235" customWidth="1"/>
    <col min="11276" max="11277" width="10.77734375" style="3235" customWidth="1"/>
    <col min="11278" max="11278" width="10" style="3235" customWidth="1"/>
    <col min="11279" max="11280" width="10.44140625" style="3235" bestFit="1" customWidth="1"/>
    <col min="11281" max="11281" width="10" style="3235" customWidth="1"/>
    <col min="11282" max="11282" width="10.109375" style="3235" customWidth="1"/>
    <col min="11283" max="11283" width="10" style="3235" customWidth="1"/>
    <col min="11284" max="11284" width="26.109375" style="3235" customWidth="1"/>
    <col min="11285" max="11520" width="8.88671875" style="3235"/>
    <col min="11521" max="11521" width="9.44140625" style="3235" customWidth="1"/>
    <col min="11522" max="11522" width="8.88671875" style="3235"/>
    <col min="11523" max="11525" width="12.88671875" style="3235" customWidth="1"/>
    <col min="11526" max="11526" width="47.44140625" style="3235" customWidth="1"/>
    <col min="11527" max="11527" width="13" style="3235" customWidth="1"/>
    <col min="11528" max="11529" width="8.88671875" style="3235"/>
    <col min="11530" max="11530" width="5.77734375" style="3235" customWidth="1"/>
    <col min="11531" max="11531" width="11.77734375" style="3235" customWidth="1"/>
    <col min="11532" max="11533" width="10.77734375" style="3235" customWidth="1"/>
    <col min="11534" max="11534" width="10" style="3235" customWidth="1"/>
    <col min="11535" max="11536" width="10.44140625" style="3235" bestFit="1" customWidth="1"/>
    <col min="11537" max="11537" width="10" style="3235" customWidth="1"/>
    <col min="11538" max="11538" width="10.109375" style="3235" customWidth="1"/>
    <col min="11539" max="11539" width="10" style="3235" customWidth="1"/>
    <col min="11540" max="11540" width="26.109375" style="3235" customWidth="1"/>
    <col min="11541" max="11776" width="8.88671875" style="3235"/>
    <col min="11777" max="11777" width="9.44140625" style="3235" customWidth="1"/>
    <col min="11778" max="11778" width="8.88671875" style="3235"/>
    <col min="11779" max="11781" width="12.88671875" style="3235" customWidth="1"/>
    <col min="11782" max="11782" width="47.44140625" style="3235" customWidth="1"/>
    <col min="11783" max="11783" width="13" style="3235" customWidth="1"/>
    <col min="11784" max="11785" width="8.88671875" style="3235"/>
    <col min="11786" max="11786" width="5.77734375" style="3235" customWidth="1"/>
    <col min="11787" max="11787" width="11.77734375" style="3235" customWidth="1"/>
    <col min="11788" max="11789" width="10.77734375" style="3235" customWidth="1"/>
    <col min="11790" max="11790" width="10" style="3235" customWidth="1"/>
    <col min="11791" max="11792" width="10.44140625" style="3235" bestFit="1" customWidth="1"/>
    <col min="11793" max="11793" width="10" style="3235" customWidth="1"/>
    <col min="11794" max="11794" width="10.109375" style="3235" customWidth="1"/>
    <col min="11795" max="11795" width="10" style="3235" customWidth="1"/>
    <col min="11796" max="11796" width="26.109375" style="3235" customWidth="1"/>
    <col min="11797" max="12032" width="8.88671875" style="3235"/>
    <col min="12033" max="12033" width="9.44140625" style="3235" customWidth="1"/>
    <col min="12034" max="12034" width="8.88671875" style="3235"/>
    <col min="12035" max="12037" width="12.88671875" style="3235" customWidth="1"/>
    <col min="12038" max="12038" width="47.44140625" style="3235" customWidth="1"/>
    <col min="12039" max="12039" width="13" style="3235" customWidth="1"/>
    <col min="12040" max="12041" width="8.88671875" style="3235"/>
    <col min="12042" max="12042" width="5.77734375" style="3235" customWidth="1"/>
    <col min="12043" max="12043" width="11.77734375" style="3235" customWidth="1"/>
    <col min="12044" max="12045" width="10.77734375" style="3235" customWidth="1"/>
    <col min="12046" max="12046" width="10" style="3235" customWidth="1"/>
    <col min="12047" max="12048" width="10.44140625" style="3235" bestFit="1" customWidth="1"/>
    <col min="12049" max="12049" width="10" style="3235" customWidth="1"/>
    <col min="12050" max="12050" width="10.109375" style="3235" customWidth="1"/>
    <col min="12051" max="12051" width="10" style="3235" customWidth="1"/>
    <col min="12052" max="12052" width="26.109375" style="3235" customWidth="1"/>
    <col min="12053" max="12288" width="8.88671875" style="3235"/>
    <col min="12289" max="12289" width="9.44140625" style="3235" customWidth="1"/>
    <col min="12290" max="12290" width="8.88671875" style="3235"/>
    <col min="12291" max="12293" width="12.88671875" style="3235" customWidth="1"/>
    <col min="12294" max="12294" width="47.44140625" style="3235" customWidth="1"/>
    <col min="12295" max="12295" width="13" style="3235" customWidth="1"/>
    <col min="12296" max="12297" width="8.88671875" style="3235"/>
    <col min="12298" max="12298" width="5.77734375" style="3235" customWidth="1"/>
    <col min="12299" max="12299" width="11.77734375" style="3235" customWidth="1"/>
    <col min="12300" max="12301" width="10.77734375" style="3235" customWidth="1"/>
    <col min="12302" max="12302" width="10" style="3235" customWidth="1"/>
    <col min="12303" max="12304" width="10.44140625" style="3235" bestFit="1" customWidth="1"/>
    <col min="12305" max="12305" width="10" style="3235" customWidth="1"/>
    <col min="12306" max="12306" width="10.109375" style="3235" customWidth="1"/>
    <col min="12307" max="12307" width="10" style="3235" customWidth="1"/>
    <col min="12308" max="12308" width="26.109375" style="3235" customWidth="1"/>
    <col min="12309" max="12544" width="8.88671875" style="3235"/>
    <col min="12545" max="12545" width="9.44140625" style="3235" customWidth="1"/>
    <col min="12546" max="12546" width="8.88671875" style="3235"/>
    <col min="12547" max="12549" width="12.88671875" style="3235" customWidth="1"/>
    <col min="12550" max="12550" width="47.44140625" style="3235" customWidth="1"/>
    <col min="12551" max="12551" width="13" style="3235" customWidth="1"/>
    <col min="12552" max="12553" width="8.88671875" style="3235"/>
    <col min="12554" max="12554" width="5.77734375" style="3235" customWidth="1"/>
    <col min="12555" max="12555" width="11.77734375" style="3235" customWidth="1"/>
    <col min="12556" max="12557" width="10.77734375" style="3235" customWidth="1"/>
    <col min="12558" max="12558" width="10" style="3235" customWidth="1"/>
    <col min="12559" max="12560" width="10.44140625" style="3235" bestFit="1" customWidth="1"/>
    <col min="12561" max="12561" width="10" style="3235" customWidth="1"/>
    <col min="12562" max="12562" width="10.109375" style="3235" customWidth="1"/>
    <col min="12563" max="12563" width="10" style="3235" customWidth="1"/>
    <col min="12564" max="12564" width="26.109375" style="3235" customWidth="1"/>
    <col min="12565" max="12800" width="8.88671875" style="3235"/>
    <col min="12801" max="12801" width="9.44140625" style="3235" customWidth="1"/>
    <col min="12802" max="12802" width="8.88671875" style="3235"/>
    <col min="12803" max="12805" width="12.88671875" style="3235" customWidth="1"/>
    <col min="12806" max="12806" width="47.44140625" style="3235" customWidth="1"/>
    <col min="12807" max="12807" width="13" style="3235" customWidth="1"/>
    <col min="12808" max="12809" width="8.88671875" style="3235"/>
    <col min="12810" max="12810" width="5.77734375" style="3235" customWidth="1"/>
    <col min="12811" max="12811" width="11.77734375" style="3235" customWidth="1"/>
    <col min="12812" max="12813" width="10.77734375" style="3235" customWidth="1"/>
    <col min="12814" max="12814" width="10" style="3235" customWidth="1"/>
    <col min="12815" max="12816" width="10.44140625" style="3235" bestFit="1" customWidth="1"/>
    <col min="12817" max="12817" width="10" style="3235" customWidth="1"/>
    <col min="12818" max="12818" width="10.109375" style="3235" customWidth="1"/>
    <col min="12819" max="12819" width="10" style="3235" customWidth="1"/>
    <col min="12820" max="12820" width="26.109375" style="3235" customWidth="1"/>
    <col min="12821" max="13056" width="8.88671875" style="3235"/>
    <col min="13057" max="13057" width="9.44140625" style="3235" customWidth="1"/>
    <col min="13058" max="13058" width="8.88671875" style="3235"/>
    <col min="13059" max="13061" width="12.88671875" style="3235" customWidth="1"/>
    <col min="13062" max="13062" width="47.44140625" style="3235" customWidth="1"/>
    <col min="13063" max="13063" width="13" style="3235" customWidth="1"/>
    <col min="13064" max="13065" width="8.88671875" style="3235"/>
    <col min="13066" max="13066" width="5.77734375" style="3235" customWidth="1"/>
    <col min="13067" max="13067" width="11.77734375" style="3235" customWidth="1"/>
    <col min="13068" max="13069" width="10.77734375" style="3235" customWidth="1"/>
    <col min="13070" max="13070" width="10" style="3235" customWidth="1"/>
    <col min="13071" max="13072" width="10.44140625" style="3235" bestFit="1" customWidth="1"/>
    <col min="13073" max="13073" width="10" style="3235" customWidth="1"/>
    <col min="13074" max="13074" width="10.109375" style="3235" customWidth="1"/>
    <col min="13075" max="13075" width="10" style="3235" customWidth="1"/>
    <col min="13076" max="13076" width="26.109375" style="3235" customWidth="1"/>
    <col min="13077" max="13312" width="8.88671875" style="3235"/>
    <col min="13313" max="13313" width="9.44140625" style="3235" customWidth="1"/>
    <col min="13314" max="13314" width="8.88671875" style="3235"/>
    <col min="13315" max="13317" width="12.88671875" style="3235" customWidth="1"/>
    <col min="13318" max="13318" width="47.44140625" style="3235" customWidth="1"/>
    <col min="13319" max="13319" width="13" style="3235" customWidth="1"/>
    <col min="13320" max="13321" width="8.88671875" style="3235"/>
    <col min="13322" max="13322" width="5.77734375" style="3235" customWidth="1"/>
    <col min="13323" max="13323" width="11.77734375" style="3235" customWidth="1"/>
    <col min="13324" max="13325" width="10.77734375" style="3235" customWidth="1"/>
    <col min="13326" max="13326" width="10" style="3235" customWidth="1"/>
    <col min="13327" max="13328" width="10.44140625" style="3235" bestFit="1" customWidth="1"/>
    <col min="13329" max="13329" width="10" style="3235" customWidth="1"/>
    <col min="13330" max="13330" width="10.109375" style="3235" customWidth="1"/>
    <col min="13331" max="13331" width="10" style="3235" customWidth="1"/>
    <col min="13332" max="13332" width="26.109375" style="3235" customWidth="1"/>
    <col min="13333" max="13568" width="8.88671875" style="3235"/>
    <col min="13569" max="13569" width="9.44140625" style="3235" customWidth="1"/>
    <col min="13570" max="13570" width="8.88671875" style="3235"/>
    <col min="13571" max="13573" width="12.88671875" style="3235" customWidth="1"/>
    <col min="13574" max="13574" width="47.44140625" style="3235" customWidth="1"/>
    <col min="13575" max="13575" width="13" style="3235" customWidth="1"/>
    <col min="13576" max="13577" width="8.88671875" style="3235"/>
    <col min="13578" max="13578" width="5.77734375" style="3235" customWidth="1"/>
    <col min="13579" max="13579" width="11.77734375" style="3235" customWidth="1"/>
    <col min="13580" max="13581" width="10.77734375" style="3235" customWidth="1"/>
    <col min="13582" max="13582" width="10" style="3235" customWidth="1"/>
    <col min="13583" max="13584" width="10.44140625" style="3235" bestFit="1" customWidth="1"/>
    <col min="13585" max="13585" width="10" style="3235" customWidth="1"/>
    <col min="13586" max="13586" width="10.109375" style="3235" customWidth="1"/>
    <col min="13587" max="13587" width="10" style="3235" customWidth="1"/>
    <col min="13588" max="13588" width="26.109375" style="3235" customWidth="1"/>
    <col min="13589" max="13824" width="8.88671875" style="3235"/>
    <col min="13825" max="13825" width="9.44140625" style="3235" customWidth="1"/>
    <col min="13826" max="13826" width="8.88671875" style="3235"/>
    <col min="13827" max="13829" width="12.88671875" style="3235" customWidth="1"/>
    <col min="13830" max="13830" width="47.44140625" style="3235" customWidth="1"/>
    <col min="13831" max="13831" width="13" style="3235" customWidth="1"/>
    <col min="13832" max="13833" width="8.88671875" style="3235"/>
    <col min="13834" max="13834" width="5.77734375" style="3235" customWidth="1"/>
    <col min="13835" max="13835" width="11.77734375" style="3235" customWidth="1"/>
    <col min="13836" max="13837" width="10.77734375" style="3235" customWidth="1"/>
    <col min="13838" max="13838" width="10" style="3235" customWidth="1"/>
    <col min="13839" max="13840" width="10.44140625" style="3235" bestFit="1" customWidth="1"/>
    <col min="13841" max="13841" width="10" style="3235" customWidth="1"/>
    <col min="13842" max="13842" width="10.109375" style="3235" customWidth="1"/>
    <col min="13843" max="13843" width="10" style="3235" customWidth="1"/>
    <col min="13844" max="13844" width="26.109375" style="3235" customWidth="1"/>
    <col min="13845" max="14080" width="8.88671875" style="3235"/>
    <col min="14081" max="14081" width="9.44140625" style="3235" customWidth="1"/>
    <col min="14082" max="14082" width="8.88671875" style="3235"/>
    <col min="14083" max="14085" width="12.88671875" style="3235" customWidth="1"/>
    <col min="14086" max="14086" width="47.44140625" style="3235" customWidth="1"/>
    <col min="14087" max="14087" width="13" style="3235" customWidth="1"/>
    <col min="14088" max="14089" width="8.88671875" style="3235"/>
    <col min="14090" max="14090" width="5.77734375" style="3235" customWidth="1"/>
    <col min="14091" max="14091" width="11.77734375" style="3235" customWidth="1"/>
    <col min="14092" max="14093" width="10.77734375" style="3235" customWidth="1"/>
    <col min="14094" max="14094" width="10" style="3235" customWidth="1"/>
    <col min="14095" max="14096" width="10.44140625" style="3235" bestFit="1" customWidth="1"/>
    <col min="14097" max="14097" width="10" style="3235" customWidth="1"/>
    <col min="14098" max="14098" width="10.109375" style="3235" customWidth="1"/>
    <col min="14099" max="14099" width="10" style="3235" customWidth="1"/>
    <col min="14100" max="14100" width="26.109375" style="3235" customWidth="1"/>
    <col min="14101" max="14336" width="8.88671875" style="3235"/>
    <col min="14337" max="14337" width="9.44140625" style="3235" customWidth="1"/>
    <col min="14338" max="14338" width="8.88671875" style="3235"/>
    <col min="14339" max="14341" width="12.88671875" style="3235" customWidth="1"/>
    <col min="14342" max="14342" width="47.44140625" style="3235" customWidth="1"/>
    <col min="14343" max="14343" width="13" style="3235" customWidth="1"/>
    <col min="14344" max="14345" width="8.88671875" style="3235"/>
    <col min="14346" max="14346" width="5.77734375" style="3235" customWidth="1"/>
    <col min="14347" max="14347" width="11.77734375" style="3235" customWidth="1"/>
    <col min="14348" max="14349" width="10.77734375" style="3235" customWidth="1"/>
    <col min="14350" max="14350" width="10" style="3235" customWidth="1"/>
    <col min="14351" max="14352" width="10.44140625" style="3235" bestFit="1" customWidth="1"/>
    <col min="14353" max="14353" width="10" style="3235" customWidth="1"/>
    <col min="14354" max="14354" width="10.109375" style="3235" customWidth="1"/>
    <col min="14355" max="14355" width="10" style="3235" customWidth="1"/>
    <col min="14356" max="14356" width="26.109375" style="3235" customWidth="1"/>
    <col min="14357" max="14592" width="8.88671875" style="3235"/>
    <col min="14593" max="14593" width="9.44140625" style="3235" customWidth="1"/>
    <col min="14594" max="14594" width="8.88671875" style="3235"/>
    <col min="14595" max="14597" width="12.88671875" style="3235" customWidth="1"/>
    <col min="14598" max="14598" width="47.44140625" style="3235" customWidth="1"/>
    <col min="14599" max="14599" width="13" style="3235" customWidth="1"/>
    <col min="14600" max="14601" width="8.88671875" style="3235"/>
    <col min="14602" max="14602" width="5.77734375" style="3235" customWidth="1"/>
    <col min="14603" max="14603" width="11.77734375" style="3235" customWidth="1"/>
    <col min="14604" max="14605" width="10.77734375" style="3235" customWidth="1"/>
    <col min="14606" max="14606" width="10" style="3235" customWidth="1"/>
    <col min="14607" max="14608" width="10.44140625" style="3235" bestFit="1" customWidth="1"/>
    <col min="14609" max="14609" width="10" style="3235" customWidth="1"/>
    <col min="14610" max="14610" width="10.109375" style="3235" customWidth="1"/>
    <col min="14611" max="14611" width="10" style="3235" customWidth="1"/>
    <col min="14612" max="14612" width="26.109375" style="3235" customWidth="1"/>
    <col min="14613" max="14848" width="8.88671875" style="3235"/>
    <col min="14849" max="14849" width="9.44140625" style="3235" customWidth="1"/>
    <col min="14850" max="14850" width="8.88671875" style="3235"/>
    <col min="14851" max="14853" width="12.88671875" style="3235" customWidth="1"/>
    <col min="14854" max="14854" width="47.44140625" style="3235" customWidth="1"/>
    <col min="14855" max="14855" width="13" style="3235" customWidth="1"/>
    <col min="14856" max="14857" width="8.88671875" style="3235"/>
    <col min="14858" max="14858" width="5.77734375" style="3235" customWidth="1"/>
    <col min="14859" max="14859" width="11.77734375" style="3235" customWidth="1"/>
    <col min="14860" max="14861" width="10.77734375" style="3235" customWidth="1"/>
    <col min="14862" max="14862" width="10" style="3235" customWidth="1"/>
    <col min="14863" max="14864" width="10.44140625" style="3235" bestFit="1" customWidth="1"/>
    <col min="14865" max="14865" width="10" style="3235" customWidth="1"/>
    <col min="14866" max="14866" width="10.109375" style="3235" customWidth="1"/>
    <col min="14867" max="14867" width="10" style="3235" customWidth="1"/>
    <col min="14868" max="14868" width="26.109375" style="3235" customWidth="1"/>
    <col min="14869" max="15104" width="8.88671875" style="3235"/>
    <col min="15105" max="15105" width="9.44140625" style="3235" customWidth="1"/>
    <col min="15106" max="15106" width="8.88671875" style="3235"/>
    <col min="15107" max="15109" width="12.88671875" style="3235" customWidth="1"/>
    <col min="15110" max="15110" width="47.44140625" style="3235" customWidth="1"/>
    <col min="15111" max="15111" width="13" style="3235" customWidth="1"/>
    <col min="15112" max="15113" width="8.88671875" style="3235"/>
    <col min="15114" max="15114" width="5.77734375" style="3235" customWidth="1"/>
    <col min="15115" max="15115" width="11.77734375" style="3235" customWidth="1"/>
    <col min="15116" max="15117" width="10.77734375" style="3235" customWidth="1"/>
    <col min="15118" max="15118" width="10" style="3235" customWidth="1"/>
    <col min="15119" max="15120" width="10.44140625" style="3235" bestFit="1" customWidth="1"/>
    <col min="15121" max="15121" width="10" style="3235" customWidth="1"/>
    <col min="15122" max="15122" width="10.109375" style="3235" customWidth="1"/>
    <col min="15123" max="15123" width="10" style="3235" customWidth="1"/>
    <col min="15124" max="15124" width="26.109375" style="3235" customWidth="1"/>
    <col min="15125" max="15360" width="8.88671875" style="3235"/>
    <col min="15361" max="15361" width="9.44140625" style="3235" customWidth="1"/>
    <col min="15362" max="15362" width="8.88671875" style="3235"/>
    <col min="15363" max="15365" width="12.88671875" style="3235" customWidth="1"/>
    <col min="15366" max="15366" width="47.44140625" style="3235" customWidth="1"/>
    <col min="15367" max="15367" width="13" style="3235" customWidth="1"/>
    <col min="15368" max="15369" width="8.88671875" style="3235"/>
    <col min="15370" max="15370" width="5.77734375" style="3235" customWidth="1"/>
    <col min="15371" max="15371" width="11.77734375" style="3235" customWidth="1"/>
    <col min="15372" max="15373" width="10.77734375" style="3235" customWidth="1"/>
    <col min="15374" max="15374" width="10" style="3235" customWidth="1"/>
    <col min="15375" max="15376" width="10.44140625" style="3235" bestFit="1" customWidth="1"/>
    <col min="15377" max="15377" width="10" style="3235" customWidth="1"/>
    <col min="15378" max="15378" width="10.109375" style="3235" customWidth="1"/>
    <col min="15379" max="15379" width="10" style="3235" customWidth="1"/>
    <col min="15380" max="15380" width="26.109375" style="3235" customWidth="1"/>
    <col min="15381" max="15616" width="8.88671875" style="3235"/>
    <col min="15617" max="15617" width="9.44140625" style="3235" customWidth="1"/>
    <col min="15618" max="15618" width="8.88671875" style="3235"/>
    <col min="15619" max="15621" width="12.88671875" style="3235" customWidth="1"/>
    <col min="15622" max="15622" width="47.44140625" style="3235" customWidth="1"/>
    <col min="15623" max="15623" width="13" style="3235" customWidth="1"/>
    <col min="15624" max="15625" width="8.88671875" style="3235"/>
    <col min="15626" max="15626" width="5.77734375" style="3235" customWidth="1"/>
    <col min="15627" max="15627" width="11.77734375" style="3235" customWidth="1"/>
    <col min="15628" max="15629" width="10.77734375" style="3235" customWidth="1"/>
    <col min="15630" max="15630" width="10" style="3235" customWidth="1"/>
    <col min="15631" max="15632" width="10.44140625" style="3235" bestFit="1" customWidth="1"/>
    <col min="15633" max="15633" width="10" style="3235" customWidth="1"/>
    <col min="15634" max="15634" width="10.109375" style="3235" customWidth="1"/>
    <col min="15635" max="15635" width="10" style="3235" customWidth="1"/>
    <col min="15636" max="15636" width="26.109375" style="3235" customWidth="1"/>
    <col min="15637" max="15872" width="8.88671875" style="3235"/>
    <col min="15873" max="15873" width="9.44140625" style="3235" customWidth="1"/>
    <col min="15874" max="15874" width="8.88671875" style="3235"/>
    <col min="15875" max="15877" width="12.88671875" style="3235" customWidth="1"/>
    <col min="15878" max="15878" width="47.44140625" style="3235" customWidth="1"/>
    <col min="15879" max="15879" width="13" style="3235" customWidth="1"/>
    <col min="15880" max="15881" width="8.88671875" style="3235"/>
    <col min="15882" max="15882" width="5.77734375" style="3235" customWidth="1"/>
    <col min="15883" max="15883" width="11.77734375" style="3235" customWidth="1"/>
    <col min="15884" max="15885" width="10.77734375" style="3235" customWidth="1"/>
    <col min="15886" max="15886" width="10" style="3235" customWidth="1"/>
    <col min="15887" max="15888" width="10.44140625" style="3235" bestFit="1" customWidth="1"/>
    <col min="15889" max="15889" width="10" style="3235" customWidth="1"/>
    <col min="15890" max="15890" width="10.109375" style="3235" customWidth="1"/>
    <col min="15891" max="15891" width="10" style="3235" customWidth="1"/>
    <col min="15892" max="15892" width="26.109375" style="3235" customWidth="1"/>
    <col min="15893" max="16128" width="8.88671875" style="3235"/>
    <col min="16129" max="16129" width="9.44140625" style="3235" customWidth="1"/>
    <col min="16130" max="16130" width="8.88671875" style="3235"/>
    <col min="16131" max="16133" width="12.88671875" style="3235" customWidth="1"/>
    <col min="16134" max="16134" width="47.44140625" style="3235" customWidth="1"/>
    <col min="16135" max="16135" width="13" style="3235" customWidth="1"/>
    <col min="16136" max="16137" width="8.88671875" style="3235"/>
    <col min="16138" max="16138" width="5.77734375" style="3235" customWidth="1"/>
    <col min="16139" max="16139" width="11.77734375" style="3235" customWidth="1"/>
    <col min="16140" max="16141" width="10.77734375" style="3235" customWidth="1"/>
    <col min="16142" max="16142" width="10" style="3235" customWidth="1"/>
    <col min="16143" max="16144" width="10.44140625" style="3235" bestFit="1" customWidth="1"/>
    <col min="16145" max="16145" width="10" style="3235" customWidth="1"/>
    <col min="16146" max="16146" width="10.109375" style="3235" customWidth="1"/>
    <col min="16147" max="16147" width="10" style="3235" customWidth="1"/>
    <col min="16148" max="16148" width="26.109375" style="3235" customWidth="1"/>
    <col min="16149" max="16384" width="8.88671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2" customHeight="1">
      <c r="A2" s="3236" t="s">
        <v>2743</v>
      </c>
      <c r="B2" s="3237" t="e">
        <f>C40</f>
        <v>#DIV/0!</v>
      </c>
      <c r="C2" s="3238" t="s">
        <v>2744</v>
      </c>
      <c r="D2" s="3238"/>
      <c r="E2" s="3239"/>
      <c r="F2" s="3240"/>
      <c r="G2" s="3241"/>
      <c r="H2" s="3242"/>
      <c r="I2" s="3243"/>
      <c r="J2" s="3783" t="s">
        <v>2745</v>
      </c>
      <c r="K2" s="3784"/>
      <c r="L2" s="3244" t="s">
        <v>2746</v>
      </c>
      <c r="M2" s="3244" t="s">
        <v>2747</v>
      </c>
      <c r="N2" s="3244" t="s">
        <v>2748</v>
      </c>
      <c r="O2" s="3244" t="s">
        <v>2749</v>
      </c>
      <c r="P2" s="3244" t="s">
        <v>2750</v>
      </c>
      <c r="Q2" s="3245" t="s">
        <v>2751</v>
      </c>
      <c r="R2" s="3246" t="s">
        <v>2752</v>
      </c>
      <c r="S2" s="3234"/>
      <c r="T2" s="3234"/>
      <c r="U2" s="3234"/>
      <c r="V2" s="3243"/>
    </row>
    <row r="3" spans="1:22" s="3247" customFormat="1" ht="13.2" customHeight="1">
      <c r="A3" s="3248" t="s">
        <v>2753</v>
      </c>
      <c r="B3" s="3249" t="e">
        <f>ROUND(B2*10000/B4,0)</f>
        <v>#DIV/0!</v>
      </c>
      <c r="C3" s="3238" t="s">
        <v>2754</v>
      </c>
      <c r="D3" s="3238"/>
      <c r="E3" s="3239"/>
      <c r="F3" s="3240"/>
      <c r="G3" s="3241"/>
      <c r="H3" s="3242"/>
      <c r="I3" s="3243"/>
      <c r="J3" s="3785" t="s">
        <v>2755</v>
      </c>
      <c r="K3" s="3786"/>
      <c r="L3" s="3250"/>
      <c r="M3" s="3250"/>
      <c r="N3" s="3250"/>
      <c r="O3" s="3250"/>
      <c r="P3" s="3250"/>
      <c r="Q3" s="3251"/>
      <c r="R3" s="3252">
        <f>SUM(L3:Q3)</f>
        <v>0</v>
      </c>
      <c r="S3" s="3234"/>
      <c r="T3" s="3234"/>
      <c r="U3" s="3234"/>
      <c r="V3" s="3243"/>
    </row>
    <row r="4" spans="1:22" s="3247" customFormat="1" ht="13.2" customHeight="1">
      <c r="A4" s="3253" t="s">
        <v>2756</v>
      </c>
      <c r="B4" s="3254"/>
      <c r="C4" s="3238"/>
      <c r="D4" s="3238"/>
      <c r="E4" s="3239"/>
      <c r="F4" s="3240"/>
      <c r="G4" s="3241"/>
      <c r="H4" s="3242"/>
      <c r="I4" s="3243"/>
      <c r="J4" s="3785" t="s">
        <v>2757</v>
      </c>
      <c r="K4" s="3786"/>
      <c r="L4" s="3255"/>
      <c r="M4" s="3255"/>
      <c r="N4" s="3255"/>
      <c r="O4" s="3255"/>
      <c r="P4" s="3255"/>
      <c r="Q4" s="3256"/>
      <c r="R4" s="3257">
        <f>SUM(L4:Q4)</f>
        <v>0</v>
      </c>
      <c r="S4" s="3234"/>
      <c r="T4" s="3234"/>
      <c r="U4" s="3234"/>
      <c r="V4" s="3243"/>
    </row>
    <row r="5" spans="1:22" s="3247" customFormat="1" ht="13.2"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2" customHeight="1" thickBot="1">
      <c r="A6" s="3791" t="s">
        <v>2761</v>
      </c>
      <c r="B6" s="3792"/>
      <c r="C6" s="3793"/>
      <c r="D6" s="3264"/>
      <c r="E6" s="3265"/>
      <c r="F6" s="3266"/>
      <c r="G6" s="3267"/>
      <c r="H6" s="3242"/>
      <c r="I6" s="3243"/>
      <c r="J6" s="3777">
        <v>1</v>
      </c>
      <c r="K6" s="3778"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2" customHeight="1">
      <c r="A7" s="3270" t="s">
        <v>2771</v>
      </c>
      <c r="B7" s="3271"/>
      <c r="C7" s="3272"/>
      <c r="D7" s="3273">
        <f>SUM(D9,D10,D11,D17,0)</f>
        <v>0</v>
      </c>
      <c r="E7" s="3274" t="e">
        <f>E9+E10+E11+E17</f>
        <v>#DIV/0!</v>
      </c>
      <c r="F7" s="3275"/>
      <c r="G7" s="3276"/>
      <c r="H7" s="3242"/>
      <c r="I7" s="3243"/>
      <c r="J7" s="3777"/>
      <c r="K7" s="3779"/>
      <c r="L7" s="3277" t="s">
        <v>2772</v>
      </c>
      <c r="M7" s="3278"/>
      <c r="N7" s="3254"/>
      <c r="O7" s="3279"/>
      <c r="P7" s="3279"/>
      <c r="Q7" s="3280">
        <v>365</v>
      </c>
      <c r="R7" s="3281">
        <f>ROUND(M7*N7*O7*P7*Q7/10000,0)</f>
        <v>0</v>
      </c>
      <c r="S7" s="3234"/>
      <c r="T7" s="3234" t="s">
        <v>2773</v>
      </c>
      <c r="U7" s="3234"/>
      <c r="V7" s="3243"/>
    </row>
    <row r="8" spans="1:22" s="3247" customFormat="1" ht="13.2" customHeight="1">
      <c r="A8" s="3282" t="s">
        <v>2774</v>
      </c>
      <c r="B8" s="3794" t="s">
        <v>2775</v>
      </c>
      <c r="C8" s="3795"/>
      <c r="D8" s="3283" t="s">
        <v>2776</v>
      </c>
      <c r="E8" s="3284" t="s">
        <v>2777</v>
      </c>
      <c r="F8" s="3285" t="s">
        <v>2778</v>
      </c>
      <c r="G8" s="3286"/>
      <c r="H8" s="3242"/>
      <c r="I8" s="3243"/>
      <c r="J8" s="3777"/>
      <c r="K8" s="3779"/>
      <c r="L8" s="3277" t="s">
        <v>2779</v>
      </c>
      <c r="M8" s="3278"/>
      <c r="N8" s="3254"/>
      <c r="O8" s="3279"/>
      <c r="P8" s="3279"/>
      <c r="Q8" s="3280">
        <v>365</v>
      </c>
      <c r="R8" s="3281">
        <f t="shared" ref="R8:R13" si="0">ROUND(M8*N8*O8*P8*Q8/10000,0)</f>
        <v>0</v>
      </c>
      <c r="S8" s="3234"/>
      <c r="T8" s="3234" t="s">
        <v>2780</v>
      </c>
      <c r="U8" s="3234"/>
      <c r="V8" s="3243"/>
    </row>
    <row r="9" spans="1:22" s="3247" customFormat="1" ht="13.2" customHeight="1">
      <c r="A9" s="3282">
        <v>1</v>
      </c>
      <c r="B9" s="3794" t="s">
        <v>2781</v>
      </c>
      <c r="C9" s="3795"/>
      <c r="D9" s="3283">
        <f>ROUND(D6*E9,0)</f>
        <v>0</v>
      </c>
      <c r="E9" s="3287"/>
      <c r="F9" s="3288" t="s">
        <v>2782</v>
      </c>
      <c r="G9" s="3267"/>
      <c r="H9" s="3242"/>
      <c r="I9" s="3243"/>
      <c r="J9" s="3777"/>
      <c r="K9" s="3779"/>
      <c r="L9" s="3277" t="s">
        <v>2783</v>
      </c>
      <c r="M9" s="3278"/>
      <c r="N9" s="3254"/>
      <c r="O9" s="3279"/>
      <c r="P9" s="3279"/>
      <c r="Q9" s="3280">
        <v>365</v>
      </c>
      <c r="R9" s="3281">
        <f t="shared" si="0"/>
        <v>0</v>
      </c>
      <c r="S9" s="3234"/>
      <c r="T9" s="3234"/>
      <c r="U9" s="3234"/>
      <c r="V9" s="3243"/>
    </row>
    <row r="10" spans="1:22" s="3247" customFormat="1" ht="13.2" customHeight="1">
      <c r="A10" s="3282">
        <v>2</v>
      </c>
      <c r="B10" s="3794" t="s">
        <v>2784</v>
      </c>
      <c r="C10" s="3795"/>
      <c r="D10" s="3283">
        <f>ROUND(D6*E10,0)</f>
        <v>0</v>
      </c>
      <c r="E10" s="3287"/>
      <c r="F10" s="3288" t="s">
        <v>2785</v>
      </c>
      <c r="G10" s="3267"/>
      <c r="H10" s="3242"/>
      <c r="I10" s="3243"/>
      <c r="J10" s="3777"/>
      <c r="K10" s="3779"/>
      <c r="L10" s="3277" t="s">
        <v>2786</v>
      </c>
      <c r="M10" s="3278"/>
      <c r="N10" s="3254"/>
      <c r="O10" s="3279"/>
      <c r="P10" s="3279"/>
      <c r="Q10" s="3280">
        <v>365</v>
      </c>
      <c r="R10" s="3281">
        <f t="shared" si="0"/>
        <v>0</v>
      </c>
      <c r="S10" s="3234"/>
      <c r="T10" s="3234"/>
      <c r="U10" s="3234"/>
      <c r="V10" s="3243"/>
    </row>
    <row r="11" spans="1:22" s="3247" customFormat="1" ht="13.2" customHeight="1">
      <c r="A11" s="3282">
        <v>3</v>
      </c>
      <c r="B11" s="3794" t="s">
        <v>2787</v>
      </c>
      <c r="C11" s="3795"/>
      <c r="D11" s="3283">
        <f>D12+D14+D15+D16</f>
        <v>0</v>
      </c>
      <c r="E11" s="3289" t="e">
        <f>D11/D6</f>
        <v>#DIV/0!</v>
      </c>
      <c r="F11" s="3285"/>
      <c r="G11" s="3286"/>
      <c r="H11" s="3242"/>
      <c r="I11" s="3243"/>
      <c r="J11" s="3777"/>
      <c r="K11" s="3779"/>
      <c r="L11" s="3277" t="s">
        <v>2788</v>
      </c>
      <c r="M11" s="3278"/>
      <c r="N11" s="3254"/>
      <c r="O11" s="3279"/>
      <c r="P11" s="3279"/>
      <c r="Q11" s="3280">
        <v>365</v>
      </c>
      <c r="R11" s="3281">
        <f t="shared" si="0"/>
        <v>0</v>
      </c>
      <c r="S11" s="3234"/>
      <c r="T11" s="3234"/>
      <c r="U11" s="3234"/>
      <c r="V11" s="3243"/>
    </row>
    <row r="12" spans="1:22" s="3247" customFormat="1" ht="13.2" customHeight="1">
      <c r="A12" s="3290" t="s">
        <v>2789</v>
      </c>
      <c r="B12" s="3787" t="s">
        <v>2790</v>
      </c>
      <c r="C12" s="3788"/>
      <c r="D12" s="3291">
        <f>ROUND(D13*1.2%*(1-30%),0)</f>
        <v>0</v>
      </c>
      <c r="E12" s="3292">
        <v>1.2E-2</v>
      </c>
      <c r="F12" s="3285" t="s">
        <v>2791</v>
      </c>
      <c r="G12" s="3286"/>
      <c r="H12" s="3242"/>
      <c r="I12" s="3243"/>
      <c r="J12" s="3777"/>
      <c r="K12" s="3779"/>
      <c r="L12" s="3277" t="s">
        <v>2792</v>
      </c>
      <c r="M12" s="3278"/>
      <c r="N12" s="3254"/>
      <c r="O12" s="3279"/>
      <c r="P12" s="3279"/>
      <c r="Q12" s="3280">
        <v>365</v>
      </c>
      <c r="R12" s="3281">
        <f t="shared" si="0"/>
        <v>0</v>
      </c>
      <c r="S12" s="3234"/>
      <c r="T12" s="3234"/>
      <c r="U12" s="3234"/>
      <c r="V12" s="3243"/>
    </row>
    <row r="13" spans="1:22" s="3247" customFormat="1" ht="13.2" customHeight="1">
      <c r="A13" s="3290"/>
      <c r="B13" s="3293"/>
      <c r="C13" s="3294" t="s">
        <v>2793</v>
      </c>
      <c r="D13" s="3295"/>
      <c r="E13" s="3296"/>
      <c r="F13" s="3285"/>
      <c r="G13" s="3286"/>
      <c r="H13" s="3242"/>
      <c r="I13" s="3243"/>
      <c r="J13" s="3777"/>
      <c r="K13" s="3779"/>
      <c r="L13" s="3277" t="s">
        <v>2794</v>
      </c>
      <c r="M13" s="3278"/>
      <c r="N13" s="3254"/>
      <c r="O13" s="3279"/>
      <c r="P13" s="3279"/>
      <c r="Q13" s="3280">
        <v>365</v>
      </c>
      <c r="R13" s="3281">
        <f t="shared" si="0"/>
        <v>0</v>
      </c>
      <c r="S13" s="3234"/>
      <c r="T13" s="3234"/>
      <c r="U13" s="3234"/>
      <c r="V13" s="3243"/>
    </row>
    <row r="14" spans="1:22" s="3247" customFormat="1" ht="13.2" customHeight="1">
      <c r="A14" s="3290" t="s">
        <v>2795</v>
      </c>
      <c r="B14" s="3787" t="s">
        <v>2796</v>
      </c>
      <c r="C14" s="3788"/>
      <c r="D14" s="3291">
        <f>ROUND(E14*B5/10000,0)</f>
        <v>0</v>
      </c>
      <c r="E14" s="3280"/>
      <c r="F14" s="3285" t="s">
        <v>2797</v>
      </c>
      <c r="G14" s="3286"/>
      <c r="H14" s="3242"/>
      <c r="I14" s="3243"/>
      <c r="J14" s="3777"/>
      <c r="K14" s="3780"/>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2" customHeight="1">
      <c r="A15" s="3290" t="s">
        <v>2799</v>
      </c>
      <c r="B15" s="3787" t="s">
        <v>2800</v>
      </c>
      <c r="C15" s="3788"/>
      <c r="D15" s="3291">
        <f>ROUND(D6*E15,0)</f>
        <v>0</v>
      </c>
      <c r="E15" s="3292">
        <v>5.5E-2</v>
      </c>
      <c r="F15" s="3285" t="s">
        <v>2801</v>
      </c>
      <c r="G15" s="3267"/>
      <c r="H15" s="3242"/>
      <c r="I15" s="3243"/>
      <c r="J15" s="3777">
        <v>2</v>
      </c>
      <c r="K15" s="3778"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2" customHeight="1">
      <c r="A16" s="3290" t="s">
        <v>2810</v>
      </c>
      <c r="B16" s="3787" t="s">
        <v>2811</v>
      </c>
      <c r="C16" s="3788"/>
      <c r="D16" s="3302">
        <f>D6*E16</f>
        <v>0</v>
      </c>
      <c r="E16" s="3303"/>
      <c r="F16" s="3288" t="s">
        <v>2812</v>
      </c>
      <c r="G16" s="3267"/>
      <c r="H16" s="3242"/>
      <c r="I16" s="3243"/>
      <c r="J16" s="3777"/>
      <c r="K16" s="3779"/>
      <c r="L16" s="3277" t="s">
        <v>2813</v>
      </c>
      <c r="M16" s="3278"/>
      <c r="N16" s="3278"/>
      <c r="O16" s="3279"/>
      <c r="P16" s="3280">
        <v>365</v>
      </c>
      <c r="Q16" s="3254"/>
      <c r="R16" s="3301">
        <f>ROUND(M16*N16*O16*P16/10000,0)</f>
        <v>0</v>
      </c>
      <c r="S16" s="3234"/>
      <c r="T16" s="3234"/>
      <c r="U16" s="3234"/>
      <c r="V16" s="3243"/>
    </row>
    <row r="17" spans="1:22" s="3247" customFormat="1" ht="13.2" customHeight="1" thickBot="1">
      <c r="A17" s="3304">
        <v>4</v>
      </c>
      <c r="B17" s="3789" t="s">
        <v>2814</v>
      </c>
      <c r="C17" s="3790"/>
      <c r="D17" s="3305">
        <f>ROUND(D6*E17,0)</f>
        <v>0</v>
      </c>
      <c r="E17" s="3306"/>
      <c r="F17" s="3307" t="s">
        <v>2815</v>
      </c>
      <c r="G17" s="3267"/>
      <c r="H17" s="3242"/>
      <c r="I17" s="3243"/>
      <c r="J17" s="3777"/>
      <c r="K17" s="3779"/>
      <c r="L17" s="3277" t="s">
        <v>2816</v>
      </c>
      <c r="M17" s="3278"/>
      <c r="N17" s="3278"/>
      <c r="O17" s="3279"/>
      <c r="P17" s="3280">
        <v>365</v>
      </c>
      <c r="Q17" s="3254"/>
      <c r="R17" s="3301">
        <f>ROUND(M17*N17*O17*P17/10000,0)</f>
        <v>0</v>
      </c>
      <c r="S17" s="3234"/>
      <c r="T17" s="3234"/>
      <c r="U17" s="3234"/>
      <c r="V17" s="3243"/>
    </row>
    <row r="18" spans="1:22" s="3247" customFormat="1" ht="13.2" customHeight="1" thickBot="1">
      <c r="A18" s="3270" t="s">
        <v>2817</v>
      </c>
      <c r="B18" s="3271"/>
      <c r="C18" s="3271"/>
      <c r="D18" s="3308">
        <f>ROUND(D6*E18,0)</f>
        <v>0</v>
      </c>
      <c r="E18" s="3309"/>
      <c r="F18" s="3310" t="s">
        <v>2818</v>
      </c>
      <c r="G18" s="3267"/>
      <c r="H18" s="3242"/>
      <c r="I18" s="3243"/>
      <c r="J18" s="3777"/>
      <c r="K18" s="3779"/>
      <c r="L18" s="3277" t="s">
        <v>2819</v>
      </c>
      <c r="M18" s="3278"/>
      <c r="N18" s="3278"/>
      <c r="O18" s="3279"/>
      <c r="P18" s="3280">
        <v>365</v>
      </c>
      <c r="Q18" s="3254"/>
      <c r="R18" s="3301">
        <f>ROUND(M18*N18*O18*P18/10000,0)</f>
        <v>0</v>
      </c>
      <c r="S18" s="3234"/>
      <c r="T18" s="3234"/>
      <c r="U18" s="3234"/>
      <c r="V18" s="3243"/>
    </row>
    <row r="19" spans="1:22" s="3247" customFormat="1" ht="13.2" customHeight="1" thickBot="1">
      <c r="A19" s="3311" t="s">
        <v>2820</v>
      </c>
      <c r="B19" s="3265"/>
      <c r="C19" s="3265"/>
      <c r="D19" s="3265"/>
      <c r="E19" s="3265"/>
      <c r="F19" s="3266"/>
      <c r="G19" s="3286"/>
      <c r="H19" s="3242"/>
      <c r="I19" s="3243"/>
      <c r="J19" s="3777"/>
      <c r="K19" s="3780"/>
      <c r="L19" s="3297" t="s">
        <v>2798</v>
      </c>
      <c r="M19" s="3298"/>
      <c r="N19" s="3298">
        <f>SUM(N16:N18)</f>
        <v>0</v>
      </c>
      <c r="O19" s="3299"/>
      <c r="P19" s="3312" t="s">
        <v>2886</v>
      </c>
      <c r="Q19" s="3279"/>
      <c r="R19" s="3313">
        <f>ROUND(IF(P19="按比例",R14*Q19,SUM(R16:R18)),0)</f>
        <v>0</v>
      </c>
      <c r="S19" s="3234"/>
      <c r="T19" s="3234"/>
      <c r="U19" s="3234"/>
      <c r="V19" s="3243"/>
    </row>
    <row r="20" spans="1:22" s="3247" customFormat="1" ht="13.2" customHeight="1">
      <c r="A20" s="3270"/>
      <c r="B20" s="3271"/>
      <c r="C20" s="3271"/>
      <c r="D20" s="3271"/>
      <c r="E20" s="3271"/>
      <c r="F20" s="3314"/>
      <c r="G20" s="3286"/>
      <c r="H20" s="3242"/>
      <c r="I20" s="3243"/>
      <c r="J20" s="3777">
        <v>3</v>
      </c>
      <c r="K20" s="3778"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2" customHeight="1">
      <c r="A21" s="3270"/>
      <c r="B21" s="3271"/>
      <c r="C21" s="3317" t="s">
        <v>2828</v>
      </c>
      <c r="D21" s="3318" t="s">
        <v>2829</v>
      </c>
      <c r="E21" s="3319" t="s">
        <v>2830</v>
      </c>
      <c r="F21" s="3314"/>
      <c r="G21" s="3286"/>
      <c r="H21" s="3242"/>
      <c r="I21" s="3243"/>
      <c r="J21" s="3777"/>
      <c r="K21" s="3779"/>
      <c r="L21" s="3277" t="s">
        <v>2831</v>
      </c>
      <c r="M21" s="3278"/>
      <c r="N21" s="3278"/>
      <c r="O21" s="3279"/>
      <c r="P21" s="3280">
        <v>365</v>
      </c>
      <c r="Q21" s="3254"/>
      <c r="R21" s="3320">
        <f>ROUND(M21*N21*O21*P21/10000,0)</f>
        <v>0</v>
      </c>
      <c r="S21" s="3316"/>
      <c r="T21" s="3316"/>
      <c r="U21" s="3316"/>
      <c r="V21" s="3243"/>
    </row>
    <row r="22" spans="1:22" s="3247" customFormat="1" ht="13.2" customHeight="1">
      <c r="A22" s="3270"/>
      <c r="B22" s="3271"/>
      <c r="C22" s="3321" t="s">
        <v>2832</v>
      </c>
      <c r="D22" s="3322" t="s">
        <v>2833</v>
      </c>
      <c r="E22" s="3323" t="s">
        <v>2834</v>
      </c>
      <c r="F22" s="3314"/>
      <c r="G22" s="3324"/>
      <c r="H22" s="3242"/>
      <c r="I22" s="3243"/>
      <c r="J22" s="3777"/>
      <c r="K22" s="3779"/>
      <c r="L22" s="3277" t="s">
        <v>2835</v>
      </c>
      <c r="M22" s="3278"/>
      <c r="N22" s="3278"/>
      <c r="O22" s="3279"/>
      <c r="P22" s="3280">
        <v>365</v>
      </c>
      <c r="Q22" s="3254"/>
      <c r="R22" s="3320">
        <f>ROUND(M22*N22*O22*P22/10000,0)</f>
        <v>0</v>
      </c>
      <c r="S22" s="3316"/>
      <c r="T22" s="3316"/>
      <c r="U22" s="3316"/>
      <c r="V22" s="3243"/>
    </row>
    <row r="23" spans="1:22" s="3247" customFormat="1" ht="13.2" customHeight="1">
      <c r="A23" s="3325">
        <v>1</v>
      </c>
      <c r="B23" s="3326" t="s">
        <v>2836</v>
      </c>
      <c r="C23" s="3327">
        <f>D6</f>
        <v>0</v>
      </c>
      <c r="D23" s="3328">
        <f>C23*(1+D24)</f>
        <v>0</v>
      </c>
      <c r="E23" s="3329">
        <f>D23*(1+E24)</f>
        <v>0</v>
      </c>
      <c r="F23" s="3330"/>
      <c r="G23" s="3331"/>
      <c r="H23" s="3242"/>
      <c r="I23" s="3243"/>
      <c r="J23" s="3777"/>
      <c r="K23" s="3779"/>
      <c r="L23" s="3277" t="s">
        <v>2837</v>
      </c>
      <c r="M23" s="3278"/>
      <c r="N23" s="3278"/>
      <c r="O23" s="3279"/>
      <c r="P23" s="3280">
        <v>365</v>
      </c>
      <c r="Q23" s="3254"/>
      <c r="R23" s="3320">
        <f>ROUND(M23*N23*O23*P23/10000,0)</f>
        <v>0</v>
      </c>
      <c r="S23" s="3234"/>
      <c r="T23" s="3234"/>
      <c r="U23" s="3234"/>
      <c r="V23" s="3243"/>
    </row>
    <row r="24" spans="1:22" s="3247" customFormat="1" ht="13.2" customHeight="1">
      <c r="A24" s="3332"/>
      <c r="B24" s="3333" t="s">
        <v>2838</v>
      </c>
      <c r="C24" s="3334"/>
      <c r="D24" s="3335"/>
      <c r="E24" s="3336"/>
      <c r="F24" s="3337"/>
      <c r="G24" s="3331"/>
      <c r="H24" s="3242"/>
      <c r="I24" s="3243"/>
      <c r="J24" s="3777"/>
      <c r="K24" s="3780"/>
      <c r="L24" s="3297" t="s">
        <v>2798</v>
      </c>
      <c r="M24" s="3298">
        <f>SUM(M21:M23)</f>
        <v>0</v>
      </c>
      <c r="N24" s="3298"/>
      <c r="O24" s="3299"/>
      <c r="P24" s="3312" t="s">
        <v>2886</v>
      </c>
      <c r="Q24" s="3279"/>
      <c r="R24" s="3313">
        <f>ROUND(IF(P24="按比例",R14*Q24,SUM(R21:R23)),0)</f>
        <v>0</v>
      </c>
      <c r="S24" s="3234"/>
      <c r="T24" s="3234"/>
      <c r="U24" s="3234"/>
      <c r="V24" s="3243"/>
    </row>
    <row r="25" spans="1:22" s="3344" customFormat="1" ht="13.2"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2" customHeight="1">
      <c r="A26" s="3325">
        <v>2</v>
      </c>
      <c r="B26" s="3326" t="s">
        <v>2840</v>
      </c>
      <c r="C26" s="3327">
        <f>D7</f>
        <v>0</v>
      </c>
      <c r="D26" s="3328">
        <f>D23*D27</f>
        <v>0</v>
      </c>
      <c r="E26" s="3329">
        <f>E23*E27</f>
        <v>0</v>
      </c>
      <c r="F26" s="3330"/>
      <c r="G26" s="3331"/>
      <c r="H26" s="3242"/>
      <c r="I26" s="3243"/>
      <c r="J26" s="3781">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2" customHeight="1">
      <c r="A27" s="3332"/>
      <c r="B27" s="3333" t="s">
        <v>2847</v>
      </c>
      <c r="C27" s="3351" t="e">
        <f>E7</f>
        <v>#DIV/0!</v>
      </c>
      <c r="D27" s="3335"/>
      <c r="E27" s="3336"/>
      <c r="F27" s="3337"/>
      <c r="G27" s="3331"/>
      <c r="H27" s="3352"/>
      <c r="I27" s="3343"/>
      <c r="J27" s="3782"/>
      <c r="K27" s="3353"/>
      <c r="L27" s="3354"/>
      <c r="M27" s="3355"/>
      <c r="N27" s="3356"/>
      <c r="O27" s="3356"/>
      <c r="P27" s="3356"/>
      <c r="Q27" s="3357"/>
      <c r="R27" s="3313">
        <f>ROUND(O27*N27*P27*(1-Q27)/10000,0)</f>
        <v>0</v>
      </c>
      <c r="S27" s="3234"/>
      <c r="T27" s="3234"/>
      <c r="U27" s="3234"/>
      <c r="V27" s="3243"/>
    </row>
    <row r="28" spans="1:22" s="3344" customFormat="1" ht="13.2"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2"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2"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2"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2" customHeight="1">
      <c r="A32" s="3325">
        <v>4</v>
      </c>
      <c r="B32" s="3326" t="s">
        <v>2856</v>
      </c>
      <c r="C32" s="3327">
        <f>C23-C26-C29</f>
        <v>0</v>
      </c>
      <c r="D32" s="3328">
        <f>D23-D26-D29</f>
        <v>0</v>
      </c>
      <c r="E32" s="3329">
        <f>E23-E26-E29</f>
        <v>0</v>
      </c>
      <c r="F32" s="3330"/>
      <c r="G32" s="3324"/>
      <c r="H32" s="3242"/>
      <c r="I32" s="3243"/>
      <c r="J32" s="3783" t="s">
        <v>2857</v>
      </c>
      <c r="K32" s="3784"/>
      <c r="L32" s="3244" t="s">
        <v>2858</v>
      </c>
      <c r="M32" s="3244" t="s">
        <v>2747</v>
      </c>
      <c r="N32" s="3244" t="s">
        <v>2748</v>
      </c>
      <c r="O32" s="3244" t="s">
        <v>2749</v>
      </c>
      <c r="P32" s="3244" t="s">
        <v>2750</v>
      </c>
      <c r="Q32" s="3245" t="s">
        <v>2859</v>
      </c>
      <c r="R32" s="3367" t="s">
        <v>2860</v>
      </c>
      <c r="S32" s="3316"/>
      <c r="T32" s="3234"/>
      <c r="U32" s="3234"/>
      <c r="V32" s="3343"/>
    </row>
    <row r="33" spans="1:23" s="3247" customFormat="1" ht="13.2" customHeight="1">
      <c r="A33" s="3325"/>
      <c r="B33" s="3326"/>
      <c r="C33" s="3327"/>
      <c r="D33" s="3368"/>
      <c r="E33" s="3369"/>
      <c r="F33" s="3330"/>
      <c r="G33" s="3324"/>
      <c r="H33" s="3352"/>
      <c r="I33" s="3343"/>
      <c r="J33" s="3785" t="s">
        <v>2861</v>
      </c>
      <c r="K33" s="3786"/>
      <c r="L33" s="3250"/>
      <c r="M33" s="3250"/>
      <c r="N33" s="3250"/>
      <c r="O33" s="3250"/>
      <c r="P33" s="3250"/>
      <c r="Q33" s="3251"/>
      <c r="R33" s="3370">
        <f>SUM(L33:Q33)</f>
        <v>0</v>
      </c>
      <c r="S33" s="3316"/>
      <c r="T33" s="3234"/>
      <c r="U33" s="3234"/>
      <c r="V33" s="3243"/>
    </row>
    <row r="34" spans="1:23" s="3247" customFormat="1" ht="13.2" customHeight="1">
      <c r="A34" s="3325">
        <v>5</v>
      </c>
      <c r="B34" s="3326" t="s">
        <v>2862</v>
      </c>
      <c r="C34" s="3371"/>
      <c r="D34" s="3372"/>
      <c r="E34" s="3373"/>
      <c r="F34" s="3330"/>
      <c r="G34" s="3324"/>
      <c r="H34" s="3352"/>
      <c r="I34" s="3343"/>
      <c r="J34" s="3785" t="s">
        <v>2863</v>
      </c>
      <c r="K34" s="3786"/>
      <c r="L34" s="3255"/>
      <c r="M34" s="3255"/>
      <c r="N34" s="3255"/>
      <c r="O34" s="3255"/>
      <c r="P34" s="3255"/>
      <c r="Q34" s="3256"/>
      <c r="R34" s="3374">
        <f>SUM(L34:Q34)</f>
        <v>0</v>
      </c>
      <c r="S34" s="3316"/>
      <c r="T34" s="3234"/>
      <c r="U34" s="3234" t="e">
        <f>ROUND(R35*10000/365/R33,1)</f>
        <v>#DIV/0!</v>
      </c>
      <c r="V34" s="3243"/>
    </row>
    <row r="35" spans="1:23" s="3247" customFormat="1" ht="13.2"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2" customHeight="1" thickBot="1">
      <c r="A36" s="3325">
        <v>7</v>
      </c>
      <c r="B36" s="3380" t="s">
        <v>2867</v>
      </c>
      <c r="C36" s="3381"/>
      <c r="D36" s="3382"/>
      <c r="E36" s="3383"/>
      <c r="F36" s="3384">
        <f>C36+D36+E36</f>
        <v>0</v>
      </c>
      <c r="G36" s="3324"/>
      <c r="H36" s="3242"/>
      <c r="I36" s="3243"/>
      <c r="J36" s="3777">
        <v>1</v>
      </c>
      <c r="K36" s="3778" t="s">
        <v>2868</v>
      </c>
      <c r="L36" s="3268"/>
      <c r="M36" s="3269"/>
      <c r="N36" s="3269"/>
      <c r="O36" s="3269"/>
      <c r="P36" s="3269"/>
      <c r="Q36" s="3269"/>
      <c r="R36" s="3252" t="s">
        <v>2769</v>
      </c>
      <c r="S36" s="3316"/>
      <c r="T36" s="3234" t="s">
        <v>2770</v>
      </c>
      <c r="U36" s="3234"/>
      <c r="V36" s="3243"/>
    </row>
    <row r="37" spans="1:23" s="3247" customFormat="1" ht="13.2" customHeight="1">
      <c r="A37" s="3325"/>
      <c r="B37" s="3326"/>
      <c r="C37" s="3326"/>
      <c r="D37" s="3326"/>
      <c r="E37" s="3326"/>
      <c r="F37" s="3330"/>
      <c r="G37" s="3324"/>
      <c r="H37" s="3242"/>
      <c r="I37" s="3243"/>
      <c r="J37" s="3777"/>
      <c r="K37" s="3779"/>
      <c r="L37" s="3277"/>
      <c r="M37" s="3278"/>
      <c r="N37" s="3254"/>
      <c r="O37" s="3279"/>
      <c r="P37" s="3279"/>
      <c r="Q37" s="3280"/>
      <c r="R37" s="3281"/>
      <c r="S37" s="3316"/>
      <c r="T37" s="3234" t="s">
        <v>2773</v>
      </c>
      <c r="U37" s="3234"/>
      <c r="V37" s="3243"/>
    </row>
    <row r="38" spans="1:23" s="3247" customFormat="1" ht="13.2" customHeight="1">
      <c r="A38" s="3325">
        <v>8</v>
      </c>
      <c r="B38" s="3326"/>
      <c r="C38" s="3283" t="e">
        <f>ROUND(C32*(1-((1+C35)/(1+C34))^C36)/(C34-C35),0)</f>
        <v>#DIV/0!</v>
      </c>
      <c r="D38" s="3283">
        <f>IF(D23=0,0,ROUND(D32*(1-((1+D35)/(1+D34))^D36)/(D34-D35),0))</f>
        <v>0</v>
      </c>
      <c r="E38" s="3283">
        <f>IF(E23=0,0,ROUND(E32*(1-((1+E35)/(1+E34))^E36)/(E34-E35),0))</f>
        <v>0</v>
      </c>
      <c r="F38" s="3330"/>
      <c r="G38" s="3324"/>
      <c r="H38" s="3242"/>
      <c r="I38" s="3243"/>
      <c r="J38" s="3777"/>
      <c r="K38" s="3779"/>
      <c r="L38" s="3277"/>
      <c r="M38" s="3278"/>
      <c r="N38" s="3254"/>
      <c r="O38" s="3279"/>
      <c r="P38" s="3279"/>
      <c r="Q38" s="3280"/>
      <c r="R38" s="3281"/>
      <c r="S38" s="3316"/>
      <c r="T38" s="3234" t="s">
        <v>2780</v>
      </c>
      <c r="U38" s="3234"/>
      <c r="V38" s="3243"/>
    </row>
    <row r="39" spans="1:23" s="3247" customFormat="1" ht="13.2" customHeight="1">
      <c r="A39" s="3325">
        <v>9</v>
      </c>
      <c r="B39" s="3326" t="s">
        <v>2869</v>
      </c>
      <c r="C39" s="3291" t="e">
        <f>C38</f>
        <v>#DIV/0!</v>
      </c>
      <c r="D39" s="3326">
        <f>D38/(1+D34)^C36</f>
        <v>0</v>
      </c>
      <c r="E39" s="3326">
        <f>E38/(1+E34)^(C36+D36)</f>
        <v>0</v>
      </c>
      <c r="F39" s="3330"/>
      <c r="G39" s="3385"/>
      <c r="H39" s="3242"/>
      <c r="I39" s="3243"/>
      <c r="J39" s="3777"/>
      <c r="K39" s="3779"/>
      <c r="L39" s="3277"/>
      <c r="M39" s="3278"/>
      <c r="N39" s="3254"/>
      <c r="O39" s="3279"/>
      <c r="P39" s="3279"/>
      <c r="Q39" s="3280"/>
      <c r="R39" s="3281"/>
      <c r="S39" s="3316"/>
      <c r="T39" s="3234"/>
      <c r="U39" s="3234"/>
      <c r="V39" s="3243"/>
    </row>
    <row r="40" spans="1:23" s="3247" customFormat="1" ht="13.2" customHeight="1">
      <c r="A40" s="3386">
        <v>10</v>
      </c>
      <c r="B40" s="3326" t="s">
        <v>2870</v>
      </c>
      <c r="C40" s="3387" t="e">
        <f>C39+D39+E39</f>
        <v>#DIV/0!</v>
      </c>
      <c r="D40" s="3388"/>
      <c r="E40" s="3388"/>
      <c r="F40" s="3389"/>
      <c r="G40" s="3324"/>
      <c r="H40" s="3242"/>
      <c r="I40" s="3243"/>
      <c r="J40" s="3777"/>
      <c r="K40" s="3780"/>
      <c r="L40" s="3297" t="s">
        <v>2871</v>
      </c>
      <c r="M40" s="3298"/>
      <c r="N40" s="3298"/>
      <c r="O40" s="3299"/>
      <c r="P40" s="3299"/>
      <c r="Q40" s="3300"/>
      <c r="R40" s="3246">
        <f>SUM(R37:R39)</f>
        <v>0</v>
      </c>
      <c r="S40" s="3316"/>
      <c r="T40" s="3234"/>
      <c r="U40" s="3234"/>
      <c r="V40" s="3243"/>
    </row>
    <row r="41" spans="1:23" s="3247" customFormat="1" ht="13.2"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2" customHeight="1">
      <c r="G42" s="3394"/>
      <c r="H42" s="3242"/>
      <c r="I42" s="3243"/>
      <c r="J42" s="3781">
        <v>3</v>
      </c>
      <c r="K42" s="3345" t="s">
        <v>2874</v>
      </c>
      <c r="L42" s="3346"/>
      <c r="M42" s="3347"/>
      <c r="N42" s="3348" t="s">
        <v>2875</v>
      </c>
      <c r="O42" s="3348" t="s">
        <v>2876</v>
      </c>
      <c r="P42" s="3349" t="s">
        <v>2877</v>
      </c>
      <c r="Q42" s="3349" t="s">
        <v>2878</v>
      </c>
      <c r="R42" s="3252" t="s">
        <v>2879</v>
      </c>
      <c r="S42" s="3350"/>
      <c r="T42" s="3350"/>
      <c r="U42" s="3234"/>
      <c r="V42" s="3243"/>
    </row>
    <row r="43" spans="1:23" ht="13.2" customHeight="1">
      <c r="A43" s="3247"/>
      <c r="B43" s="3247"/>
      <c r="C43" s="3247"/>
      <c r="D43" s="3247"/>
      <c r="E43" s="3247"/>
      <c r="F43" s="3247"/>
      <c r="I43" s="3229"/>
      <c r="J43" s="3782"/>
      <c r="K43" s="3353"/>
      <c r="L43" s="3354"/>
      <c r="M43" s="3355"/>
      <c r="N43" s="3278"/>
      <c r="O43" s="3278"/>
      <c r="P43" s="3278"/>
      <c r="Q43" s="3342"/>
      <c r="R43" s="3313">
        <f>ROUND(O43*N43*P43*(1-Q43)/10000,0)</f>
        <v>0</v>
      </c>
      <c r="S43" s="3316"/>
      <c r="T43" s="3234"/>
      <c r="V43" s="3396"/>
      <c r="W43" s="3397"/>
    </row>
    <row r="44" spans="1:23" ht="13.2"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20" customWidth="1"/>
    <col min="2" max="2" width="26.6640625" style="2021" customWidth="1"/>
    <col min="3" max="3" width="11.109375" style="2021" customWidth="1"/>
    <col min="4" max="5" width="11.109375" style="2022" customWidth="1"/>
    <col min="6" max="6" width="9.44140625" style="2021" customWidth="1"/>
    <col min="7" max="7" width="31.88671875" style="2021" customWidth="1"/>
    <col min="8" max="25" width="9" style="2023" customWidth="1"/>
    <col min="26" max="254" width="9" style="2021" customWidth="1"/>
    <col min="255" max="16384" width="8.33203125" style="2021"/>
  </cols>
  <sheetData>
    <row r="1" spans="1:25" s="1896" customFormat="1" ht="21">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2727</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970</v>
      </c>
      <c r="D12" s="3179">
        <f>'数据-汇总表'!E5</f>
        <v>60651.07</v>
      </c>
      <c r="E12" s="3179">
        <f>'数据-取费表'!B27</f>
        <v>160</v>
      </c>
      <c r="F12" s="729"/>
      <c r="G12" s="732"/>
    </row>
    <row r="13" spans="1:25" s="2018" customFormat="1" ht="13.5" customHeight="1">
      <c r="A13" s="2283" t="s">
        <v>2228</v>
      </c>
      <c r="B13" s="730" t="s">
        <v>594</v>
      </c>
      <c r="C13" s="731">
        <f>ROUND(D13*E13/10000,0)</f>
        <v>766</v>
      </c>
      <c r="D13" s="3179">
        <f>'数据-汇总表'!E6</f>
        <v>38314.360000000008</v>
      </c>
      <c r="E13" s="3179">
        <f>'数据-取费表'!B28</f>
        <v>200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6.4">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5.2">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0.94299999999999995</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2"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H37" sqref="H37"/>
    </sheetView>
  </sheetViews>
  <sheetFormatPr defaultColWidth="9" defaultRowHeight="15"/>
  <cols>
    <col min="1" max="1" width="9" style="1897" customWidth="1"/>
    <col min="2" max="2" width="20.6640625" style="1935" customWidth="1"/>
    <col min="3" max="3" width="11.88671875" style="1935" customWidth="1"/>
    <col min="4" max="4" width="40.44140625" style="1897" customWidth="1"/>
    <col min="5" max="5" width="15.77734375" style="1897" customWidth="1"/>
    <col min="6" max="6" width="10.6640625" style="1897" customWidth="1"/>
    <col min="7" max="7" width="4.88671875" style="1897" customWidth="1"/>
    <col min="8" max="8" width="8.44140625" style="1897" customWidth="1"/>
    <col min="9" max="9" width="21.21875" style="1897" customWidth="1"/>
    <col min="10" max="10" width="12.21875" style="1897" customWidth="1"/>
    <col min="11" max="11" width="40.109375" style="1936" customWidth="1"/>
    <col min="12" max="12" width="18.33203125" style="1897" customWidth="1"/>
    <col min="13" max="13" width="13" style="1897" customWidth="1"/>
    <col min="14" max="14" width="9.44140625" style="1896" bestFit="1" customWidth="1"/>
    <col min="15" max="15" width="5.88671875" style="1896" customWidth="1"/>
    <col min="16" max="16" width="27.6640625" style="1896" customWidth="1"/>
    <col min="17" max="17" width="13.77734375" style="1933" customWidth="1"/>
    <col min="18" max="18" width="23.44140625" style="1896" customWidth="1"/>
    <col min="19" max="19" width="1.44140625" style="1896" customWidth="1"/>
    <col min="20" max="33" width="9" style="1896"/>
    <col min="34" max="16384" width="9" style="1897"/>
  </cols>
  <sheetData>
    <row r="1" spans="1:33" s="1891" customFormat="1" ht="21.6">
      <c r="A1" s="804" t="s">
        <v>1525</v>
      </c>
      <c r="B1" s="713"/>
      <c r="C1" s="746" t="s">
        <v>35</v>
      </c>
      <c r="D1" s="2716" t="s">
        <v>3155</v>
      </c>
      <c r="E1" s="2196" t="s">
        <v>850</v>
      </c>
      <c r="F1" s="2197">
        <f ca="1">J53</f>
        <v>46.86</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611</v>
      </c>
      <c r="B2" s="748">
        <f ca="1">C40+J29+L46</f>
        <v>7444</v>
      </c>
      <c r="C2" s="3172"/>
      <c r="D2" s="3173"/>
      <c r="E2" s="3174"/>
      <c r="F2" s="3174"/>
      <c r="G2" s="3168"/>
      <c r="H2" s="1894"/>
      <c r="I2" s="1894"/>
      <c r="J2" s="1894"/>
      <c r="K2" s="1895"/>
      <c r="L2" s="1894"/>
      <c r="M2" s="1894"/>
    </row>
    <row r="3" spans="1:33" ht="18" customHeight="1" thickBot="1">
      <c r="A3" s="805" t="s">
        <v>502</v>
      </c>
      <c r="B3" s="806">
        <f ca="1">IF(ISERROR(B2*10000/F43),0,ROUND(B2*10000/F43,0))</f>
        <v>3371</v>
      </c>
      <c r="C3" s="3172"/>
      <c r="D3" s="3173"/>
      <c r="E3" s="3174"/>
      <c r="F3" s="3174"/>
      <c r="G3" s="3168"/>
      <c r="H3" s="749" t="s">
        <v>677</v>
      </c>
      <c r="I3" s="1271"/>
      <c r="J3" s="1271"/>
      <c r="K3" s="1481"/>
      <c r="L3" s="1271"/>
      <c r="M3" s="1271"/>
    </row>
    <row r="4" spans="1:33" ht="18" customHeight="1">
      <c r="A4" s="750" t="s">
        <v>1528</v>
      </c>
      <c r="B4" s="751" t="s">
        <v>1529</v>
      </c>
      <c r="C4" s="751" t="s">
        <v>614</v>
      </c>
      <c r="D4" s="751" t="s">
        <v>615</v>
      </c>
      <c r="E4" s="752" t="s">
        <v>616</v>
      </c>
      <c r="F4" s="753"/>
      <c r="G4" s="1899"/>
      <c r="H4" s="750" t="s">
        <v>1528</v>
      </c>
      <c r="I4" s="751" t="s">
        <v>1529</v>
      </c>
      <c r="J4" s="751" t="s">
        <v>614</v>
      </c>
      <c r="K4" s="751" t="s">
        <v>1535</v>
      </c>
      <c r="L4" s="752" t="s">
        <v>616</v>
      </c>
      <c r="M4" s="753"/>
    </row>
    <row r="5" spans="1:33" ht="18" customHeight="1">
      <c r="A5" s="754">
        <v>1</v>
      </c>
      <c r="B5" s="755" t="s">
        <v>2237</v>
      </c>
      <c r="C5" s="55">
        <f ca="1">C6+C10+C12</f>
        <v>477</v>
      </c>
      <c r="D5" s="2301" t="s">
        <v>2240</v>
      </c>
      <c r="E5" s="2295"/>
      <c r="F5" s="2296"/>
      <c r="G5" s="1899"/>
      <c r="H5" s="754">
        <v>1</v>
      </c>
      <c r="I5" s="755" t="s">
        <v>2237</v>
      </c>
      <c r="J5" s="55">
        <f ca="1">J6+J10+J12</f>
        <v>0</v>
      </c>
      <c r="K5" s="2301" t="s">
        <v>2240</v>
      </c>
      <c r="L5" s="2295"/>
      <c r="M5" s="2296"/>
    </row>
    <row r="6" spans="1:33" ht="18" customHeight="1">
      <c r="A6" s="1700" t="s">
        <v>1624</v>
      </c>
      <c r="B6" s="3769" t="s">
        <v>2242</v>
      </c>
      <c r="C6" s="756">
        <f ca="1">ROUND(F6*F8*F7*(1-F9)/10000,0)</f>
        <v>477</v>
      </c>
      <c r="D6" s="2302" t="s">
        <v>2241</v>
      </c>
      <c r="E6" s="757" t="s">
        <v>1538</v>
      </c>
      <c r="F6" s="758">
        <f ca="1">INDIRECT("'数据-取费表'!u"&amp;$G$1)</f>
        <v>700</v>
      </c>
      <c r="G6" s="1899"/>
      <c r="H6" s="2309" t="s">
        <v>1624</v>
      </c>
      <c r="I6" s="3769" t="s">
        <v>2242</v>
      </c>
      <c r="J6" s="756">
        <f ca="1">ROUND(M6*M8*M7*(1-M9)/10000,0)</f>
        <v>0</v>
      </c>
      <c r="K6" s="339" t="s">
        <v>618</v>
      </c>
      <c r="L6" s="757" t="s">
        <v>1538</v>
      </c>
      <c r="M6" s="758">
        <f ca="1">INDIRECT("'数据-取费表'!z"&amp;$G$1)</f>
        <v>0</v>
      </c>
    </row>
    <row r="7" spans="1:33" ht="18" customHeight="1">
      <c r="A7" s="2305"/>
      <c r="B7" s="3770"/>
      <c r="C7" s="761"/>
      <c r="D7" s="762"/>
      <c r="E7" s="757" t="s">
        <v>620</v>
      </c>
      <c r="F7" s="758">
        <f ca="1">IF(INDIRECT("'数据-取费表'!ah"&amp;$G$1)="",INDIRECT("'数据-取费表'!k"&amp;$G$1),INDIRECT("'数据-取费表'!ah"&amp;$G$1))</f>
        <v>631</v>
      </c>
      <c r="G7" s="1899"/>
      <c r="H7" s="2294"/>
      <c r="I7" s="3770"/>
      <c r="J7" s="761"/>
      <c r="K7" s="762"/>
      <c r="L7" s="757" t="s">
        <v>620</v>
      </c>
      <c r="M7" s="758">
        <f ca="1">F7</f>
        <v>631</v>
      </c>
    </row>
    <row r="8" spans="1:33" ht="18" customHeight="1">
      <c r="A8" s="2298"/>
      <c r="B8" s="3771"/>
      <c r="C8" s="761"/>
      <c r="D8" s="762"/>
      <c r="E8" s="757" t="s">
        <v>1540</v>
      </c>
      <c r="F8" s="758">
        <f ca="1">INDIRECT("'数据-取费表'!ai"&amp;$G$1)</f>
        <v>12</v>
      </c>
      <c r="G8" s="1899"/>
      <c r="H8" s="2294"/>
      <c r="I8" s="3771"/>
      <c r="J8" s="761"/>
      <c r="K8" s="762"/>
      <c r="L8" s="757" t="s">
        <v>1540</v>
      </c>
      <c r="M8" s="758">
        <f ca="1">INDIRECT("'数据-取费表'!ai"&amp;$G$1)</f>
        <v>12</v>
      </c>
    </row>
    <row r="9" spans="1:33" ht="18" customHeight="1">
      <c r="A9" s="759"/>
      <c r="B9" s="3772"/>
      <c r="C9" s="761"/>
      <c r="D9" s="762"/>
      <c r="E9" s="757" t="s">
        <v>622</v>
      </c>
      <c r="F9" s="767">
        <f ca="1">INDIRECT("'数据-取费表'!w"&amp;$G$1)</f>
        <v>0.1</v>
      </c>
      <c r="G9" s="1899"/>
      <c r="H9" s="2310"/>
      <c r="I9" s="3771"/>
      <c r="J9" s="761"/>
      <c r="K9" s="762"/>
      <c r="L9" s="768" t="s">
        <v>622</v>
      </c>
      <c r="M9" s="769">
        <f ca="1">INDIRECT("'数据-取费表'!ab"&amp;$G$1)</f>
        <v>0</v>
      </c>
    </row>
    <row r="10" spans="1:33" ht="18" customHeight="1">
      <c r="A10" s="1700" t="s">
        <v>1625</v>
      </c>
      <c r="B10" s="2299" t="s">
        <v>2238</v>
      </c>
      <c r="C10" s="772">
        <f ca="1">ROUND(IF(F10="押一",C6/12*F11,IF(F10="押二",C6/12*2*F11,IF(F10="押三",C6/12*3*F11,C11*F11))),0)</f>
        <v>0</v>
      </c>
      <c r="D10" s="2306" t="s">
        <v>2671</v>
      </c>
      <c r="E10" s="2303" t="s">
        <v>2243</v>
      </c>
      <c r="F10" s="3822" t="s">
        <v>3336</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1542</v>
      </c>
      <c r="C13" s="765">
        <f ca="1">ROUND(C29*F13,0)</f>
        <v>10171</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7605</v>
      </c>
      <c r="D14" s="3448" t="s">
        <v>628</v>
      </c>
      <c r="E14" s="3449"/>
      <c r="F14" s="778"/>
      <c r="G14" s="1899"/>
      <c r="H14" s="1532" t="s">
        <v>1624</v>
      </c>
      <c r="I14" s="2065" t="s">
        <v>2541</v>
      </c>
      <c r="J14" s="53">
        <f ca="1">C29</f>
        <v>10171</v>
      </c>
      <c r="K14" s="26"/>
      <c r="L14" s="774"/>
      <c r="M14" s="775"/>
    </row>
    <row r="15" spans="1:33" s="1901" customFormat="1" ht="18" customHeight="1" thickBot="1">
      <c r="A15" s="1531" t="s">
        <v>1632</v>
      </c>
      <c r="B15" s="757" t="s">
        <v>629</v>
      </c>
      <c r="C15" s="53">
        <f ca="1">ROUND(C14*F15,0)</f>
        <v>228</v>
      </c>
      <c r="D15" s="779" t="s">
        <v>630</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1547</v>
      </c>
      <c r="F16" s="782">
        <f ca="1">IF(INDIRECT("'数据-取费表'!c"&amp;$G$1)="住宅",'数据-取费表'!B34,0)</f>
        <v>0</v>
      </c>
      <c r="G16" s="1899"/>
      <c r="H16" s="1699" t="s">
        <v>1548</v>
      </c>
      <c r="I16" s="1697" t="s">
        <v>1549</v>
      </c>
      <c r="J16" s="765">
        <f ca="1">ROUND(J17+J22+J23+J24,0)</f>
        <v>957</v>
      </c>
      <c r="K16" s="1691" t="s">
        <v>1550</v>
      </c>
      <c r="L16" s="3450"/>
      <c r="M16" s="2296"/>
    </row>
    <row r="17" spans="1:33" s="1901" customFormat="1" ht="18" customHeight="1">
      <c r="A17" s="1531" t="s">
        <v>1683</v>
      </c>
      <c r="B17" s="757" t="s">
        <v>635</v>
      </c>
      <c r="C17" s="53">
        <f ca="1">ROUND(F17*(F43+INDIRECT("'数据-取费表'!S"&amp;$G$1))/10000,0)</f>
        <v>507</v>
      </c>
      <c r="D17" s="757" t="s">
        <v>1551</v>
      </c>
      <c r="E17" s="757" t="s">
        <v>637</v>
      </c>
      <c r="F17" s="56">
        <f>'数据-取费表'!B35</f>
        <v>200</v>
      </c>
      <c r="G17" s="3169"/>
      <c r="H17" s="1532" t="s">
        <v>1624</v>
      </c>
      <c r="I17" s="757" t="s">
        <v>638</v>
      </c>
      <c r="J17" s="2927">
        <f ca="1">ROUND(IF(AND(项目基本情况!B11="自然人",项目基本情况!B10="北京市"),J6*M17/(1+'数据-取费表'!C42),J18+J19+J20),0)</f>
        <v>855</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114</v>
      </c>
      <c r="D18" s="757" t="s">
        <v>630</v>
      </c>
      <c r="E18" s="757" t="s">
        <v>1547</v>
      </c>
      <c r="F18" s="782">
        <f>'数据-取费表'!B36</f>
        <v>1.4999999999999999E-2</v>
      </c>
      <c r="G18" s="3169"/>
      <c r="H18" s="1531" t="s">
        <v>1631</v>
      </c>
      <c r="I18" s="757" t="s">
        <v>1555</v>
      </c>
      <c r="J18" s="53">
        <f ca="1">ROUND(J6*M18/(1+'数据-取费表'!C42),1)</f>
        <v>0</v>
      </c>
      <c r="K18" s="3447" t="s">
        <v>643</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8454</v>
      </c>
      <c r="D19" s="259" t="s">
        <v>1557</v>
      </c>
      <c r="E19" s="3452"/>
      <c r="F19" s="56"/>
      <c r="G19" s="1899"/>
      <c r="H19" s="1531" t="s">
        <v>1632</v>
      </c>
      <c r="I19" s="757" t="s">
        <v>1558</v>
      </c>
      <c r="J19" s="53">
        <f ca="1">IF(K19="按租金收入计税",ROUND(J6*M19/(1+'数据-取费表'!C42),1),ROUND(C29*F33*0.7,1))</f>
        <v>854.4</v>
      </c>
      <c r="K19" s="783" t="s">
        <v>647</v>
      </c>
      <c r="L19" s="757" t="s">
        <v>1547</v>
      </c>
      <c r="M19" s="782">
        <f>IF(K19="按租金收入计税",'数据-取费表'!B51,'数据-取费表'!B50)</f>
        <v>1.2E-2</v>
      </c>
    </row>
    <row r="20" spans="1:33" s="1901" customFormat="1" ht="18" customHeight="1">
      <c r="A20" s="1532" t="s">
        <v>1685</v>
      </c>
      <c r="B20" s="757" t="s">
        <v>648</v>
      </c>
      <c r="C20" s="53">
        <f ca="1">ROUND(C19*F20,0)</f>
        <v>169</v>
      </c>
      <c r="D20" s="784" t="s">
        <v>649</v>
      </c>
      <c r="E20" s="757" t="s">
        <v>1547</v>
      </c>
      <c r="F20" s="782">
        <f>'数据-取费表'!B37</f>
        <v>0.02</v>
      </c>
      <c r="G20" s="3169"/>
      <c r="H20" s="1534" t="s">
        <v>1633</v>
      </c>
      <c r="I20" s="339" t="s">
        <v>650</v>
      </c>
      <c r="J20" s="54">
        <f ca="1">ROUND(M20*M21/10000,0)</f>
        <v>1</v>
      </c>
      <c r="K20" s="786" t="s">
        <v>651</v>
      </c>
      <c r="L20" s="757" t="s">
        <v>652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8272.15</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102</v>
      </c>
      <c r="K22" s="3447" t="s">
        <v>659</v>
      </c>
      <c r="L22" s="757" t="s">
        <v>1547</v>
      </c>
      <c r="M22" s="789">
        <f ca="1">INDIRECT("'数据-取费表'!Ak"&amp;$G$1)</f>
        <v>0.01</v>
      </c>
    </row>
    <row r="23" spans="1:33" s="1901" customFormat="1" ht="18" customHeight="1">
      <c r="A23" s="1531" t="s">
        <v>1631</v>
      </c>
      <c r="B23" s="757" t="s">
        <v>2219</v>
      </c>
      <c r="C23" s="53">
        <f ca="1">ROUND(IF('数据-取费表'!B22&lt;=1,(C19+C20)*F24*F23/2,(C19+C20)*(POWER((1+F24),F23/2)-1)),0)</f>
        <v>362</v>
      </c>
      <c r="D23" s="2345" t="str">
        <f>IF(F23&lt;=1,"(建造成本+管理费用)×利率×(建设周期÷2)","(建造成本+管理费用)×((1+利率)^(建设周期÷2)-1)")</f>
        <v>(建造成本+管理费用)×((1+利率)^(建设周期÷2)-1)</v>
      </c>
      <c r="E23" s="757" t="s">
        <v>660</v>
      </c>
      <c r="F23" s="615">
        <f>'数据-取费表'!B20</f>
        <v>2</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8.0000000000000004E-4</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2538</v>
      </c>
      <c r="J25" s="765">
        <f ca="1">J5-J16</f>
        <v>-957</v>
      </c>
      <c r="K25" s="2324" t="s">
        <v>682</v>
      </c>
      <c r="L25" s="2325"/>
      <c r="M25" s="2326"/>
    </row>
    <row r="26" spans="1:33" ht="18" customHeight="1">
      <c r="A26" s="1531" t="s">
        <v>1631</v>
      </c>
      <c r="B26" s="757" t="s">
        <v>2220</v>
      </c>
      <c r="C26" s="53">
        <f ca="1">ROUND((C19+C20)*F26,0)</f>
        <v>431</v>
      </c>
      <c r="D26" s="784" t="s">
        <v>683</v>
      </c>
      <c r="E26" s="768" t="s">
        <v>1579</v>
      </c>
      <c r="F26" s="767">
        <f ca="1">INDIRECT("'数据-取费表'!q"&amp;$G$1)</f>
        <v>0.05</v>
      </c>
      <c r="G26" s="1899"/>
      <c r="H26" s="2307" t="s">
        <v>1580</v>
      </c>
      <c r="I26" s="2066" t="s">
        <v>2543</v>
      </c>
      <c r="J26" s="756">
        <f ca="1">IF(J5&lt;&gt;0,ROUND(J25*(1-((1+M28)/(1+M26))^M27)/(M26-M28),0),0)</f>
        <v>0</v>
      </c>
      <c r="K26" s="786" t="s">
        <v>1581</v>
      </c>
      <c r="L26" s="757" t="s">
        <v>2206</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690</v>
      </c>
      <c r="M27" s="794">
        <f ca="1">INDIRECT("'数据-取费表'!ag"&amp;$G$1)</f>
        <v>0</v>
      </c>
    </row>
    <row r="28" spans="1:33" s="1901" customFormat="1" ht="18" customHeight="1">
      <c r="A28" s="1533" t="s">
        <v>1641</v>
      </c>
      <c r="B28" s="757" t="s">
        <v>669</v>
      </c>
      <c r="C28" s="53">
        <f>ROUND(F28/(1+'数据-取费表'!C42),4)</f>
        <v>5.2400000000000002E-2</v>
      </c>
      <c r="D28" s="784" t="s">
        <v>2089</v>
      </c>
      <c r="E28" s="757" t="s">
        <v>1547</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10171</v>
      </c>
      <c r="D29" s="2321"/>
      <c r="E29" s="2322"/>
      <c r="F29" s="2323"/>
      <c r="G29" s="3169"/>
      <c r="H29" s="795" t="s">
        <v>1587</v>
      </c>
      <c r="I29" s="796" t="s">
        <v>1588</v>
      </c>
      <c r="J29" s="797">
        <f ca="1">ROUND(J26/(1+F40)^F41,0)</f>
        <v>0</v>
      </c>
      <c r="K29" s="798" t="s">
        <v>670</v>
      </c>
      <c r="L29" s="799"/>
      <c r="M29" s="800">
        <f ca="1">INDIRECT("'数据-取费表'!k"&amp;$G$1)</f>
        <v>22085</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1549</v>
      </c>
      <c r="C30" s="765">
        <f ca="1">ROUND(C31+C36+C37+C38,0)</f>
        <v>202</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81</v>
      </c>
      <c r="D31" s="3448" t="s">
        <v>1553</v>
      </c>
      <c r="E31" s="3447" t="s">
        <v>672</v>
      </c>
      <c r="F31" s="2926" t="str">
        <f>IF(项目基本情况!B11="企业","——",IF('数据-取费表'!B10="住宅",IF(F6*F7*F8/12/(1+'数据-取费表'!F30)&gt;100000,4%,2.5%),IF(F6*F7*F8/12/(1+'数据-取费表'!F30)&gt;100000,12%,7%)))</f>
        <v>——</v>
      </c>
      <c r="G31" s="1899"/>
      <c r="H31" s="3166" t="s">
        <v>2725</v>
      </c>
      <c r="I31" s="1903"/>
      <c r="J31" s="1904"/>
      <c r="K31" s="1905"/>
      <c r="L31" s="1906"/>
      <c r="M31" s="1907"/>
    </row>
    <row r="32" spans="1:33" ht="18" customHeight="1">
      <c r="A32" s="1531" t="s">
        <v>1631</v>
      </c>
      <c r="B32" s="757" t="s">
        <v>1555</v>
      </c>
      <c r="C32" s="53">
        <f ca="1">ROUND(C6*F32/(1+'数据-取费表'!C42),1)</f>
        <v>25</v>
      </c>
      <c r="D32" s="3447" t="s">
        <v>643</v>
      </c>
      <c r="E32" s="757" t="s">
        <v>1547</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54.5</v>
      </c>
      <c r="D33" s="783" t="s">
        <v>3156</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1.2</v>
      </c>
      <c r="D34" s="786" t="s">
        <v>651</v>
      </c>
      <c r="E34" s="757" t="s">
        <v>652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8272.15</v>
      </c>
      <c r="G35" s="1899"/>
      <c r="H35" s="1902"/>
      <c r="I35" s="809" t="s">
        <v>1614</v>
      </c>
      <c r="J35" s="810">
        <f ca="1">ROUND(C13*J36,0)</f>
        <v>661</v>
      </c>
      <c r="K35" s="1915"/>
      <c r="L35" s="1914"/>
      <c r="M35" s="1914"/>
    </row>
    <row r="36" spans="1:18" ht="18" customHeight="1">
      <c r="A36" s="1532" t="s">
        <v>1685</v>
      </c>
      <c r="B36" s="757" t="s">
        <v>1568</v>
      </c>
      <c r="C36" s="53">
        <f ca="1">ROUND(C29*F36,1)</f>
        <v>101.7</v>
      </c>
      <c r="D36" s="3447" t="s">
        <v>1603</v>
      </c>
      <c r="E36" s="757" t="s">
        <v>1547</v>
      </c>
      <c r="F36" s="789">
        <f ca="1">INDIRECT("'数据-取费表'!Ak"&amp;$G$1)</f>
        <v>0.01</v>
      </c>
      <c r="G36" s="1899"/>
      <c r="H36" s="1914"/>
      <c r="I36" s="811" t="s">
        <v>1615</v>
      </c>
      <c r="J36" s="812">
        <f ca="1">INDIRECT("'数据-取费表'!j"&amp;$G$1)</f>
        <v>6.5000000000000002E-2</v>
      </c>
      <c r="K36" s="1918"/>
      <c r="L36" s="1914"/>
      <c r="M36" s="1914"/>
    </row>
    <row r="37" spans="1:18" ht="18" customHeight="1">
      <c r="A37" s="1532" t="s">
        <v>1686</v>
      </c>
      <c r="B37" s="757" t="s">
        <v>661</v>
      </c>
      <c r="C37" s="53">
        <f ca="1">ROUND(C13*F37,1)</f>
        <v>10.199999999999999</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9.5</v>
      </c>
      <c r="D38" s="2321" t="s">
        <v>665</v>
      </c>
      <c r="E38" s="2322" t="s">
        <v>1547</v>
      </c>
      <c r="F38" s="2318">
        <f ca="1">INDIRECT("'数据-取费表'!Am"&amp;$G$1)</f>
        <v>0.02</v>
      </c>
      <c r="G38" s="1899"/>
      <c r="H38" s="1914"/>
      <c r="I38" s="815" t="s">
        <v>1617</v>
      </c>
      <c r="J38" s="816"/>
      <c r="K38" s="1919"/>
      <c r="L38" s="1914"/>
      <c r="M38" s="1914"/>
    </row>
    <row r="39" spans="1:18" ht="24.6" customHeight="1" thickTop="1">
      <c r="A39" s="1699" t="s">
        <v>1576</v>
      </c>
      <c r="B39" s="2644" t="s">
        <v>2538</v>
      </c>
      <c r="C39" s="765">
        <f ca="1">C5-C30</f>
        <v>275</v>
      </c>
      <c r="D39" s="2324" t="s">
        <v>682</v>
      </c>
      <c r="E39" s="2325"/>
      <c r="F39" s="2326"/>
      <c r="G39" s="1899"/>
      <c r="H39" s="1914"/>
      <c r="I39" s="809" t="s">
        <v>1618</v>
      </c>
      <c r="J39" s="817">
        <f ca="1">ROUND(J35/C39,3)</f>
        <v>2.4039999999999999</v>
      </c>
      <c r="K39" s="1919"/>
      <c r="L39" s="1914"/>
      <c r="M39" s="1914"/>
    </row>
    <row r="40" spans="1:18" ht="18" customHeight="1">
      <c r="A40" s="754" t="s">
        <v>1580</v>
      </c>
      <c r="B40" s="2066" t="s">
        <v>2091</v>
      </c>
      <c r="C40" s="756">
        <f ca="1">ROUND(C39*(1-((1+F42)/(1+F40))^F41)/(F40-F42),0)</f>
        <v>7444</v>
      </c>
      <c r="D40" s="786" t="s">
        <v>1581</v>
      </c>
      <c r="E40" s="757" t="s">
        <v>2206</v>
      </c>
      <c r="F40" s="767">
        <f ca="1">INDIRECT("'数据-取费表'!I"&amp;$G$1)</f>
        <v>0.05</v>
      </c>
      <c r="G40" s="1899"/>
      <c r="H40" s="1899"/>
      <c r="I40" s="809" t="s">
        <v>1619</v>
      </c>
      <c r="J40" s="817">
        <f ca="1">1-J39</f>
        <v>-1.4039999999999999</v>
      </c>
      <c r="K40" s="1919"/>
      <c r="L40" s="1899"/>
      <c r="M40" s="1899"/>
    </row>
    <row r="41" spans="1:18" ht="18" customHeight="1">
      <c r="A41" s="759"/>
      <c r="B41" s="760"/>
      <c r="C41" s="761"/>
      <c r="D41" s="793" t="s">
        <v>1608</v>
      </c>
      <c r="E41" s="757" t="s">
        <v>690</v>
      </c>
      <c r="F41" s="794">
        <f ca="1">IF(INDIRECT("'数据-取费表'!af"&amp;$G$1)=0,INDIRECT("'数据-取费表'!ae"&amp;$G$1),INDIRECT("'数据-取费表'!af"&amp;$G$1))</f>
        <v>46.86</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1.3660000000000001</v>
      </c>
      <c r="K42" s="1918"/>
      <c r="L42" s="1854"/>
      <c r="M42" s="1854"/>
    </row>
    <row r="43" spans="1:18" ht="18" customHeight="1" thickBot="1">
      <c r="A43" s="795" t="s">
        <v>1587</v>
      </c>
      <c r="B43" s="796" t="s">
        <v>1610</v>
      </c>
      <c r="C43" s="797">
        <f ca="1">ROUND(C40*10000/F43,0)</f>
        <v>3371</v>
      </c>
      <c r="D43" s="798" t="s">
        <v>1611</v>
      </c>
      <c r="E43" s="799" t="s">
        <v>1612</v>
      </c>
      <c r="F43" s="800">
        <f ca="1">INDIRECT("'数据-取费表'!k"&amp;$G$1)</f>
        <v>22085</v>
      </c>
      <c r="G43" s="1899"/>
      <c r="H43" s="1854"/>
      <c r="I43" s="819" t="s">
        <v>1622</v>
      </c>
      <c r="J43" s="820">
        <f ca="1">1-J42</f>
        <v>-0.3660000000000001</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-9474</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3158</v>
      </c>
      <c r="K47" s="2726" t="s">
        <v>2136</v>
      </c>
      <c r="L47" s="2730">
        <f ca="1">INDIRECT("'数据-取费表'!d"&amp;$G$1)</f>
        <v>50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7" t="s">
        <v>2132</v>
      </c>
      <c r="J48" s="2191" t="s">
        <v>2137</v>
      </c>
      <c r="K48" s="2727" t="s">
        <v>2138</v>
      </c>
      <c r="L48" s="1777">
        <f ca="1">INDIRECT("'数据-取费表'!f"&amp;$G$1)</f>
        <v>48.86</v>
      </c>
      <c r="M48" s="3171"/>
      <c r="O48" s="2207" t="s">
        <v>2166</v>
      </c>
      <c r="P48" s="2208" t="s">
        <v>2192</v>
      </c>
      <c r="Q48" s="2209">
        <f ca="1">C40+J29</f>
        <v>7444</v>
      </c>
      <c r="R48" s="2208" t="s">
        <v>2167</v>
      </c>
    </row>
    <row r="49" spans="1:18" s="1896" customFormat="1" ht="18" customHeight="1" thickBot="1">
      <c r="A49" s="759"/>
      <c r="B49" s="760"/>
      <c r="C49" s="761"/>
      <c r="D49" s="762"/>
      <c r="E49" s="757" t="s">
        <v>620</v>
      </c>
      <c r="F49" s="758">
        <f ca="1">F7</f>
        <v>631</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12</v>
      </c>
      <c r="G50" s="1931"/>
      <c r="H50" s="1929"/>
      <c r="I50" s="2717" t="s">
        <v>2134</v>
      </c>
      <c r="J50" s="2724">
        <f>SUMPRODUCT((I63:I65=J47)*(J62:L62=J48)*(J63:L65))</f>
        <v>60</v>
      </c>
      <c r="K50" s="2728" t="s">
        <v>2140</v>
      </c>
      <c r="L50" s="2193"/>
      <c r="M50" s="3171"/>
      <c r="O50" s="2210" t="s">
        <v>2170</v>
      </c>
      <c r="P50" s="2208" t="s">
        <v>2194</v>
      </c>
      <c r="Q50" s="2209">
        <f ca="1">C29</f>
        <v>10171</v>
      </c>
      <c r="R50" s="2208" t="s">
        <v>2167</v>
      </c>
    </row>
    <row r="51" spans="1:18" s="1896" customFormat="1" ht="18" customHeight="1" thickBot="1">
      <c r="A51" s="759"/>
      <c r="B51" s="760"/>
      <c r="C51" s="761"/>
      <c r="D51" s="762"/>
      <c r="E51" s="757" t="s">
        <v>622</v>
      </c>
      <c r="F51" s="2180"/>
      <c r="H51" s="1929"/>
      <c r="I51" s="2721" t="s">
        <v>2135</v>
      </c>
      <c r="J51" s="2725">
        <f>IF(J49="",J50,J49+J50-YEAR('数据-取费表'!B2))</f>
        <v>62</v>
      </c>
      <c r="K51" s="2717" t="s">
        <v>2141</v>
      </c>
      <c r="L51" s="2731">
        <f ca="1">ROUND(-PV(INDIRECT("'数据-取费表'!h"&amp;$G$1),J51,(C39-C13*J36),0),0)</f>
        <v>-8020</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46.86</v>
      </c>
      <c r="K53" s="3775" t="s">
        <v>2665</v>
      </c>
      <c r="L53" s="3776"/>
      <c r="M53" s="3171"/>
      <c r="O53" s="2210" t="s">
        <v>2175</v>
      </c>
      <c r="P53" s="2208" t="s">
        <v>2176</v>
      </c>
      <c r="Q53" s="2209">
        <f ca="1">J53</f>
        <v>46.86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7444</v>
      </c>
      <c r="R54" s="2212" t="s">
        <v>2179</v>
      </c>
    </row>
    <row r="55" spans="1:18" s="1896" customFormat="1" ht="18" customHeight="1" thickTop="1" thickBot="1">
      <c r="A55" s="770">
        <v>2</v>
      </c>
      <c r="B55" s="771" t="s">
        <v>626</v>
      </c>
      <c r="C55" s="772">
        <f ca="1">C13</f>
        <v>10171</v>
      </c>
      <c r="D55" s="768"/>
      <c r="E55" s="768"/>
      <c r="F55" s="773"/>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2090</v>
      </c>
      <c r="C56" s="53">
        <f ca="1">C29</f>
        <v>10171</v>
      </c>
      <c r="D56" s="3447"/>
      <c r="E56" s="757"/>
      <c r="F56" s="782"/>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70" t="s">
        <v>1548</v>
      </c>
      <c r="B57" s="771" t="s">
        <v>633</v>
      </c>
      <c r="C57" s="772">
        <f ca="1">ROUND(C58+C63+C64+C65,0)</f>
        <v>113</v>
      </c>
      <c r="D57" s="26" t="s">
        <v>1550</v>
      </c>
      <c r="E57" s="3452"/>
      <c r="F57" s="56"/>
      <c r="I57" s="2737" t="s">
        <v>2145</v>
      </c>
      <c r="J57" s="2738" t="str">
        <f ca="1">IF(OR(M47="住宅",J51&lt;L48,J56="是"),"——",J51-L48)</f>
        <v>——</v>
      </c>
      <c r="K57" s="2717" t="s">
        <v>2150</v>
      </c>
      <c r="L57" s="1777" t="str">
        <f ca="1">IF(L48&lt;J51,"——",IF(L55="比较法",L49,IF(L55="基准地价",L50,L51)))</f>
        <v>——</v>
      </c>
      <c r="M57" s="3171"/>
      <c r="O57" s="2207" t="s">
        <v>2166</v>
      </c>
      <c r="P57" s="2208" t="s">
        <v>2192</v>
      </c>
      <c r="Q57" s="2209">
        <f ca="1">C40+J29</f>
        <v>7444</v>
      </c>
      <c r="R57" s="2208" t="s">
        <v>2167</v>
      </c>
    </row>
    <row r="58" spans="1:18" s="1896" customFormat="1" ht="28.5" customHeight="1" thickBot="1">
      <c r="A58" s="1532" t="s">
        <v>1624</v>
      </c>
      <c r="B58" s="757" t="s">
        <v>638</v>
      </c>
      <c r="C58" s="2927">
        <f ca="1">ROUND(IF(AND(项目基本情况!B11="自然人",项目基本情况!B10="北京市"),C48*F58/(1+'数据-取费表'!C42),C59+C60+C61),0)</f>
        <v>1</v>
      </c>
      <c r="D58" s="3448" t="s">
        <v>639</v>
      </c>
      <c r="E58" s="3447"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7" t="s">
        <v>642</v>
      </c>
      <c r="C59" s="53">
        <f ca="1">ROUND(C47*F59/1.05,1)</f>
        <v>0</v>
      </c>
      <c r="D59" s="3447" t="s">
        <v>643</v>
      </c>
      <c r="E59" s="757" t="s">
        <v>1547</v>
      </c>
      <c r="F59" s="782">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9" t="s">
        <v>650</v>
      </c>
      <c r="C61" s="54">
        <f ca="1">ROUND(F61*F62/10000,1)</f>
        <v>1.2</v>
      </c>
      <c r="D61" s="786" t="s">
        <v>651</v>
      </c>
      <c r="E61" s="757" t="s">
        <v>652</v>
      </c>
      <c r="F61" s="615">
        <f t="shared" si="0"/>
        <v>1.5</v>
      </c>
      <c r="K61" s="1922"/>
      <c r="O61" s="2210" t="s">
        <v>2173</v>
      </c>
      <c r="P61" s="2208" t="s">
        <v>2181</v>
      </c>
      <c r="Q61" s="2209" t="e">
        <f ca="1">L58</f>
        <v>#DIV/0!</v>
      </c>
      <c r="R61" s="2212" t="s">
        <v>2182</v>
      </c>
    </row>
    <row r="62" spans="1:18" s="1896" customFormat="1" ht="16.2" thickBot="1">
      <c r="A62" s="787"/>
      <c r="B62" s="766"/>
      <c r="C62" s="69"/>
      <c r="D62" s="788"/>
      <c r="E62" s="757" t="s">
        <v>656</v>
      </c>
      <c r="F62" s="758">
        <f t="shared" ca="1" si="0"/>
        <v>8272.15</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6.2" thickBot="1">
      <c r="A63" s="1532" t="s">
        <v>1685</v>
      </c>
      <c r="B63" s="757" t="s">
        <v>658</v>
      </c>
      <c r="C63" s="53">
        <f ca="1">ROUND(C56*F63,1)</f>
        <v>101.7</v>
      </c>
      <c r="D63" s="3447" t="s">
        <v>1603</v>
      </c>
      <c r="E63" s="757" t="s">
        <v>1547</v>
      </c>
      <c r="F63" s="789">
        <f t="shared" ca="1" si="0"/>
        <v>0.01</v>
      </c>
      <c r="I63" s="2742" t="s">
        <v>2157</v>
      </c>
      <c r="J63" s="2743">
        <v>70</v>
      </c>
      <c r="K63" s="2743">
        <v>50</v>
      </c>
      <c r="L63" s="2743">
        <v>80</v>
      </c>
      <c r="M63" s="2745">
        <v>0.02</v>
      </c>
      <c r="O63" s="2207" t="s">
        <v>2178</v>
      </c>
      <c r="P63" s="2208" t="s">
        <v>2195</v>
      </c>
      <c r="Q63" s="2209">
        <f ca="1">Q57+Q58</f>
        <v>7444</v>
      </c>
      <c r="R63" s="2212" t="s">
        <v>2179</v>
      </c>
    </row>
    <row r="64" spans="1:18" s="1896" customFormat="1" ht="16.2" thickBot="1">
      <c r="A64" s="1532" t="s">
        <v>1686</v>
      </c>
      <c r="B64" s="757" t="s">
        <v>661</v>
      </c>
      <c r="C64" s="53">
        <f ca="1">ROUND(C55*F64,1)</f>
        <v>10.199999999999999</v>
      </c>
      <c r="D64" s="3447" t="s">
        <v>662</v>
      </c>
      <c r="E64" s="757" t="s">
        <v>1547</v>
      </c>
      <c r="F64" s="790">
        <f t="shared" ca="1" si="0"/>
        <v>1E-3</v>
      </c>
      <c r="I64" s="2742" t="s">
        <v>2158</v>
      </c>
      <c r="J64" s="2743">
        <v>50</v>
      </c>
      <c r="K64" s="2743">
        <v>35</v>
      </c>
      <c r="L64" s="2743">
        <v>60</v>
      </c>
      <c r="M64" s="818">
        <v>0</v>
      </c>
      <c r="O64" s="2213" t="s">
        <v>2202</v>
      </c>
      <c r="P64" s="1482"/>
      <c r="Q64" s="1490"/>
      <c r="R64" s="1482"/>
    </row>
    <row r="65" spans="1:18" s="1896" customFormat="1" ht="16.2" thickBot="1">
      <c r="A65" s="1532" t="s">
        <v>1687</v>
      </c>
      <c r="B65" s="757" t="s">
        <v>648</v>
      </c>
      <c r="C65" s="53">
        <f ca="1">ROUND(C47*F65,1)</f>
        <v>0</v>
      </c>
      <c r="D65" s="3447" t="s">
        <v>665</v>
      </c>
      <c r="E65" s="757" t="s">
        <v>1547</v>
      </c>
      <c r="F65" s="767">
        <f t="shared" ca="1" si="0"/>
        <v>0.02</v>
      </c>
      <c r="I65" s="2742" t="s">
        <v>2159</v>
      </c>
      <c r="J65" s="2743">
        <v>40</v>
      </c>
      <c r="K65" s="2743">
        <v>30</v>
      </c>
      <c r="L65" s="2743">
        <v>50</v>
      </c>
      <c r="M65" s="2745">
        <v>0.02</v>
      </c>
      <c r="O65" s="2204" t="s">
        <v>2162</v>
      </c>
      <c r="P65" s="2205" t="s">
        <v>2163</v>
      </c>
      <c r="Q65" s="2206" t="s">
        <v>2164</v>
      </c>
      <c r="R65" s="2205" t="s">
        <v>2165</v>
      </c>
    </row>
    <row r="66" spans="1:18" s="1896" customFormat="1" ht="24.6" thickBot="1">
      <c r="A66" s="770" t="s">
        <v>1576</v>
      </c>
      <c r="B66" s="2645" t="s">
        <v>2538</v>
      </c>
      <c r="C66" s="772">
        <f ca="1">C47-C57</f>
        <v>-113</v>
      </c>
      <c r="D66" s="3448" t="s">
        <v>682</v>
      </c>
      <c r="E66" s="3451"/>
      <c r="F66" s="792"/>
      <c r="K66" s="1922"/>
      <c r="O66" s="2207" t="s">
        <v>2166</v>
      </c>
      <c r="P66" s="2208" t="s">
        <v>2192</v>
      </c>
      <c r="Q66" s="2209">
        <f ca="1">C40+J29</f>
        <v>7444</v>
      </c>
      <c r="R66" s="2208" t="s">
        <v>2167</v>
      </c>
    </row>
    <row r="67" spans="1:18" s="1896" customFormat="1" ht="19.2" thickBot="1">
      <c r="A67" s="754" t="s">
        <v>1580</v>
      </c>
      <c r="B67" s="2066" t="s">
        <v>2091</v>
      </c>
      <c r="C67" s="756">
        <f ca="1">ROUND(C66*(1-((1+F69)/(1+F67))^F68)/(F67-F69),0)</f>
        <v>-2030</v>
      </c>
      <c r="D67" s="786" t="s">
        <v>686</v>
      </c>
      <c r="E67" s="757" t="s">
        <v>687</v>
      </c>
      <c r="F67" s="767">
        <f ca="1">F40</f>
        <v>0.05</v>
      </c>
      <c r="K67" s="1922"/>
      <c r="O67" s="2207" t="s">
        <v>2168</v>
      </c>
      <c r="P67" s="2208" t="s">
        <v>2199</v>
      </c>
      <c r="Q67" s="2209">
        <f ca="1">L60</f>
        <v>0</v>
      </c>
      <c r="R67" s="2212" t="s">
        <v>2201</v>
      </c>
    </row>
    <row r="68" spans="1:18" ht="20.399999999999999" thickBot="1">
      <c r="A68" s="759"/>
      <c r="B68" s="760"/>
      <c r="C68" s="761"/>
      <c r="D68" s="793" t="s">
        <v>1608</v>
      </c>
      <c r="E68" s="757" t="s">
        <v>690</v>
      </c>
      <c r="F68" s="794">
        <f ca="1">F41</f>
        <v>46.86</v>
      </c>
      <c r="O68" s="2210" t="s">
        <v>2170</v>
      </c>
      <c r="P68" s="2208" t="s">
        <v>2200</v>
      </c>
      <c r="Q68" s="2214">
        <f ca="1">L51</f>
        <v>-8020</v>
      </c>
      <c r="R68" s="2215" t="s">
        <v>2203</v>
      </c>
    </row>
    <row r="69" spans="1:18" ht="19.2" thickBot="1">
      <c r="A69" s="763"/>
      <c r="B69" s="764"/>
      <c r="C69" s="765"/>
      <c r="D69" s="788"/>
      <c r="E69" s="757" t="s">
        <v>692</v>
      </c>
      <c r="F69" s="2180"/>
      <c r="O69" s="2210" t="s">
        <v>2171</v>
      </c>
      <c r="P69" s="2216" t="s">
        <v>2185</v>
      </c>
      <c r="Q69" s="2209">
        <f ca="1">ROUND(Q70-Q71*Q72,0)</f>
        <v>-386</v>
      </c>
      <c r="R69" s="2212"/>
    </row>
    <row r="70" spans="1:18" ht="16.2" thickBot="1">
      <c r="A70" s="795" t="s">
        <v>1587</v>
      </c>
      <c r="B70" s="796" t="s">
        <v>1610</v>
      </c>
      <c r="C70" s="797">
        <f ca="1">ROUND(C67*10000/F70,0)</f>
        <v>-919</v>
      </c>
      <c r="D70" s="798" t="s">
        <v>1611</v>
      </c>
      <c r="E70" s="799" t="s">
        <v>1612</v>
      </c>
      <c r="F70" s="800">
        <f ca="1">F43</f>
        <v>22085</v>
      </c>
      <c r="O70" s="2210" t="s">
        <v>2186</v>
      </c>
      <c r="P70" s="2216" t="s">
        <v>2187</v>
      </c>
      <c r="Q70" s="2209">
        <f ca="1">C39</f>
        <v>275</v>
      </c>
      <c r="R70" s="2208" t="s">
        <v>2167</v>
      </c>
    </row>
    <row r="71" spans="1:18" ht="16.2" thickBot="1">
      <c r="O71" s="2210" t="s">
        <v>2188</v>
      </c>
      <c r="P71" s="2216" t="s">
        <v>2189</v>
      </c>
      <c r="Q71" s="2209">
        <f ca="1">C13</f>
        <v>10171</v>
      </c>
      <c r="R71" s="2208" t="s">
        <v>2167</v>
      </c>
    </row>
    <row r="72" spans="1:18" ht="16.2" thickBot="1">
      <c r="O72" s="2210" t="s">
        <v>2190</v>
      </c>
      <c r="P72" s="2216" t="s">
        <v>2191</v>
      </c>
      <c r="Q72" s="2211">
        <f ca="1">J36</f>
        <v>6.5000000000000002E-2</v>
      </c>
      <c r="R72" s="2212"/>
    </row>
    <row r="73" spans="1:18" ht="16.2" thickBot="1">
      <c r="O73" s="2210" t="s">
        <v>2173</v>
      </c>
      <c r="P73" s="2208" t="s">
        <v>2180</v>
      </c>
      <c r="Q73" s="2211">
        <f>L52</f>
        <v>0</v>
      </c>
      <c r="R73" s="2212"/>
    </row>
    <row r="74" spans="1:18" ht="19.2" thickBot="1">
      <c r="O74" s="2210" t="s">
        <v>2175</v>
      </c>
      <c r="P74" s="2208" t="s">
        <v>2181</v>
      </c>
      <c r="Q74" s="2209" t="e">
        <f ca="1">L58</f>
        <v>#DIV/0!</v>
      </c>
      <c r="R74" s="2212" t="s">
        <v>2182</v>
      </c>
    </row>
    <row r="75" spans="1:18" ht="16.2" thickBot="1">
      <c r="O75" s="2210" t="s">
        <v>2204</v>
      </c>
      <c r="P75" s="2208" t="str">
        <f>K59</f>
        <v>建设期及建筑物耐用年限下的土地年期修正系数Kn</v>
      </c>
      <c r="Q75" s="2209" t="e">
        <f ca="1">L59</f>
        <v>#DIV/0!</v>
      </c>
      <c r="R75" s="2212" t="s">
        <v>2184</v>
      </c>
    </row>
    <row r="76" spans="1:18" ht="16.2" thickBot="1">
      <c r="O76" s="2207" t="s">
        <v>2178</v>
      </c>
      <c r="P76" s="2208" t="s">
        <v>2195</v>
      </c>
      <c r="Q76" s="2209">
        <f ca="1">Q66+Q67</f>
        <v>7444</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4" sqref="M4"/>
    </sheetView>
  </sheetViews>
  <sheetFormatPr defaultColWidth="9" defaultRowHeight="13.8"/>
  <cols>
    <col min="1" max="1" width="10.44140625" style="1246" customWidth="1"/>
    <col min="2" max="2" width="15.77734375" style="1246" customWidth="1"/>
    <col min="3" max="3" width="15.10937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2389" t="s">
        <v>701</v>
      </c>
      <c r="C1" s="2390" t="s">
        <v>702</v>
      </c>
      <c r="D1" s="2391" t="s">
        <v>902</v>
      </c>
      <c r="E1" s="1963"/>
      <c r="F1" s="2446" t="s">
        <v>3309</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222135</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36625</v>
      </c>
      <c r="C3" s="824" t="s">
        <v>704</v>
      </c>
      <c r="D3" s="823">
        <f>SUMIF('数据-汇总表'!$C19:$C33,D1,'数据-汇总表'!$E19:$E33)</f>
        <v>60651.07</v>
      </c>
      <c r="E3" s="1963"/>
      <c r="F3" s="2036"/>
      <c r="G3" s="1963"/>
      <c r="H3" s="1963"/>
      <c r="I3" s="1963"/>
      <c r="J3" s="1963"/>
      <c r="K3" s="2037"/>
      <c r="L3" s="2038"/>
      <c r="M3" s="2039">
        <f ca="1">不动产收益法!B2</f>
        <v>38340</v>
      </c>
      <c r="N3" s="2039"/>
      <c r="O3" s="2039"/>
      <c r="P3" s="1488"/>
      <c r="Q3" s="1488"/>
      <c r="R3" s="1488"/>
      <c r="S3" s="1488"/>
      <c r="T3" s="1488"/>
      <c r="U3" s="1488"/>
      <c r="V3" s="1488"/>
      <c r="W3" s="1488"/>
      <c r="X3" s="1488"/>
      <c r="Y3" s="1488"/>
      <c r="Z3" s="1488"/>
      <c r="AA3" s="1488"/>
      <c r="AB3" s="1488"/>
      <c r="AC3" s="1490"/>
    </row>
    <row r="4" spans="1:29" ht="14.4">
      <c r="A4" s="489" t="s">
        <v>504</v>
      </c>
      <c r="B4" s="490"/>
      <c r="C4" s="3691" t="s">
        <v>505</v>
      </c>
      <c r="D4" s="3692"/>
      <c r="E4" s="3713" t="s">
        <v>506</v>
      </c>
      <c r="F4" s="3714"/>
      <c r="G4" s="3691" t="s">
        <v>507</v>
      </c>
      <c r="H4" s="3692"/>
      <c r="I4" s="3691" t="s">
        <v>508</v>
      </c>
      <c r="J4" s="3692"/>
      <c r="K4" s="825" t="s">
        <v>509</v>
      </c>
      <c r="L4" s="1969"/>
      <c r="M4" s="1970">
        <f ca="1">M3+B2</f>
        <v>260475</v>
      </c>
      <c r="N4" s="1970"/>
      <c r="O4" s="1970"/>
      <c r="P4" s="3693" t="s">
        <v>510</v>
      </c>
      <c r="Q4" s="3694"/>
      <c r="R4" s="3677" t="s">
        <v>506</v>
      </c>
      <c r="S4" s="3678"/>
      <c r="T4" s="3677" t="s">
        <v>507</v>
      </c>
      <c r="U4" s="3678"/>
      <c r="V4" s="3699" t="s">
        <v>508</v>
      </c>
      <c r="W4" s="3699"/>
      <c r="X4" s="1457"/>
      <c r="Y4" s="3677" t="s">
        <v>510</v>
      </c>
      <c r="Z4" s="3678"/>
      <c r="AA4" s="3672" t="s">
        <v>506</v>
      </c>
      <c r="AB4" s="3672" t="s">
        <v>507</v>
      </c>
      <c r="AC4" s="3672" t="s">
        <v>508</v>
      </c>
    </row>
    <row r="5" spans="1:29">
      <c r="A5" s="492"/>
      <c r="B5" s="493"/>
      <c r="C5" s="3702" t="s">
        <v>2631</v>
      </c>
      <c r="D5" s="3703"/>
      <c r="E5" s="3796" t="s">
        <v>3310</v>
      </c>
      <c r="F5" s="3716"/>
      <c r="G5" s="3797" t="s">
        <v>3311</v>
      </c>
      <c r="H5" s="3703"/>
      <c r="I5" s="3797" t="s">
        <v>3312</v>
      </c>
      <c r="J5" s="3703"/>
      <c r="K5" s="826"/>
      <c r="L5" s="1969"/>
      <c r="M5" s="1970"/>
      <c r="N5" s="1970"/>
      <c r="O5" s="1970"/>
      <c r="P5" s="3695"/>
      <c r="Q5" s="3696"/>
      <c r="R5" s="3679"/>
      <c r="S5" s="3680"/>
      <c r="T5" s="3679"/>
      <c r="U5" s="3680"/>
      <c r="V5" s="3699"/>
      <c r="W5" s="3699"/>
      <c r="X5" s="1457"/>
      <c r="Y5" s="3679"/>
      <c r="Z5" s="3680"/>
      <c r="AA5" s="3673"/>
      <c r="AB5" s="3673"/>
      <c r="AC5" s="3673"/>
    </row>
    <row r="6" spans="1:29" ht="15" thickBot="1">
      <c r="A6" s="494"/>
      <c r="B6" s="495"/>
      <c r="C6" s="3700" t="s">
        <v>2635</v>
      </c>
      <c r="D6" s="3701"/>
      <c r="E6" s="3717" t="s">
        <v>2635</v>
      </c>
      <c r="F6" s="3718"/>
      <c r="G6" s="3700" t="s">
        <v>2635</v>
      </c>
      <c r="H6" s="3701"/>
      <c r="I6" s="3700" t="s">
        <v>2635</v>
      </c>
      <c r="J6" s="3701"/>
      <c r="K6" s="826" t="s">
        <v>511</v>
      </c>
      <c r="L6" s="1969"/>
      <c r="M6" s="1970"/>
      <c r="N6" s="1970"/>
      <c r="O6" s="1970"/>
      <c r="P6" s="3697"/>
      <c r="Q6" s="3698"/>
      <c r="R6" s="3679"/>
      <c r="S6" s="3680"/>
      <c r="T6" s="3681"/>
      <c r="U6" s="3682"/>
      <c r="V6" s="3699"/>
      <c r="W6" s="3699"/>
      <c r="X6" s="1457"/>
      <c r="Y6" s="3681"/>
      <c r="Z6" s="3682"/>
      <c r="AA6" s="3674"/>
      <c r="AB6" s="3674"/>
      <c r="AC6" s="3674"/>
    </row>
    <row r="7" spans="1:29" s="1166" customFormat="1" ht="15" thickBot="1">
      <c r="A7" s="2551"/>
      <c r="B7" s="2558" t="s">
        <v>512</v>
      </c>
      <c r="C7" s="496">
        <f>'数据-取费表'!B2</f>
        <v>44756</v>
      </c>
      <c r="D7" s="497">
        <v>100</v>
      </c>
      <c r="E7" s="498">
        <f>C7</f>
        <v>44756</v>
      </c>
      <c r="F7" s="499">
        <f>SUMIF(58:58,YEAR(E7)&amp;"-"&amp;MONTH(E7),59:59)</f>
        <v>100</v>
      </c>
      <c r="G7" s="500">
        <f>C7</f>
        <v>44756</v>
      </c>
      <c r="H7" s="497">
        <f>SUMIF(58:58,YEAR(G7)&amp;"-"&amp;MONTH(G7),59:59)</f>
        <v>100</v>
      </c>
      <c r="I7" s="500">
        <f>C7</f>
        <v>44756</v>
      </c>
      <c r="J7" s="497">
        <f>SUMIF(58:58,YEAR(I7)&amp;"-"&amp;MONTH(I7),59:59)</f>
        <v>100</v>
      </c>
      <c r="K7" s="827"/>
      <c r="L7" s="1971"/>
      <c r="M7" s="1972"/>
      <c r="N7" s="1972"/>
      <c r="O7" s="1972"/>
      <c r="P7" s="3675" t="s">
        <v>513</v>
      </c>
      <c r="Q7" s="3684"/>
      <c r="R7" s="1458" t="s">
        <v>13</v>
      </c>
      <c r="S7" s="1459">
        <f t="shared" ref="S7:S15" si="0">F7</f>
        <v>100</v>
      </c>
      <c r="T7" s="1458" t="s">
        <v>13</v>
      </c>
      <c r="U7" s="1459">
        <f t="shared" ref="U7:U15" si="1">H7</f>
        <v>100</v>
      </c>
      <c r="V7" s="1458" t="s">
        <v>13</v>
      </c>
      <c r="W7" s="1459">
        <f t="shared" ref="W7:W15" si="2">J7</f>
        <v>100</v>
      </c>
      <c r="X7" s="1460"/>
      <c r="Y7" s="3675" t="s">
        <v>513</v>
      </c>
      <c r="Z7" s="3676"/>
      <c r="AA7" s="1461">
        <f>D7/F7</f>
        <v>1</v>
      </c>
      <c r="AB7" s="1461">
        <f>D7/H7</f>
        <v>1</v>
      </c>
      <c r="AC7" s="1461">
        <f>D7/J7</f>
        <v>1</v>
      </c>
    </row>
    <row r="8" spans="1:29" s="1166" customFormat="1" ht="15" thickBot="1">
      <c r="A8" s="2552"/>
      <c r="B8" s="2559" t="s">
        <v>514</v>
      </c>
      <c r="C8" s="502" t="s">
        <v>558</v>
      </c>
      <c r="D8" s="497">
        <v>100</v>
      </c>
      <c r="E8" s="3480" t="s">
        <v>3313</v>
      </c>
      <c r="F8" s="499">
        <f>SUMIF(61:61,E8,62:62)-SUMIF(61:61,C8,62:62)+100</f>
        <v>100</v>
      </c>
      <c r="G8" s="3458" t="s">
        <v>3314</v>
      </c>
      <c r="H8" s="497">
        <f>SUMIF(61:61,G8,62:62)-SUMIF(61:61,C8,62:62)+100</f>
        <v>100</v>
      </c>
      <c r="I8" s="3480" t="s">
        <v>3314</v>
      </c>
      <c r="J8" s="497">
        <f>SUMIF(61:61,I8,62:62)-SUMIF(61:61,C8,62:62)+100</f>
        <v>100</v>
      </c>
      <c r="K8" s="827"/>
      <c r="L8" s="1971"/>
      <c r="M8" s="1972"/>
      <c r="N8" s="1972"/>
      <c r="O8" s="1972"/>
      <c r="P8" s="3675" t="s">
        <v>516</v>
      </c>
      <c r="Q8" s="3676"/>
      <c r="R8" s="1458" t="s">
        <v>13</v>
      </c>
      <c r="S8" s="1459">
        <f t="shared" si="0"/>
        <v>100</v>
      </c>
      <c r="T8" s="1458" t="s">
        <v>13</v>
      </c>
      <c r="U8" s="1459">
        <f t="shared" si="1"/>
        <v>100</v>
      </c>
      <c r="V8" s="1458" t="s">
        <v>13</v>
      </c>
      <c r="W8" s="1459">
        <f t="shared" si="2"/>
        <v>100</v>
      </c>
      <c r="X8" s="1460"/>
      <c r="Y8" s="3675" t="s">
        <v>516</v>
      </c>
      <c r="Z8" s="3676"/>
      <c r="AA8" s="1461">
        <f t="shared" ref="AA8:AA46" si="3">D8/F8</f>
        <v>1</v>
      </c>
      <c r="AB8" s="1461">
        <f t="shared" ref="AB8:AB46" si="4">D8/H8</f>
        <v>1</v>
      </c>
      <c r="AC8" s="1461">
        <f t="shared" ref="AC8:AC46" si="5">D8/J8</f>
        <v>1</v>
      </c>
    </row>
    <row r="9" spans="1:29" s="1166" customFormat="1" ht="14.4">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83" t="s">
        <v>518</v>
      </c>
      <c r="Q9" s="1097" t="str">
        <f t="shared" ref="Q9:Q15" si="6">B9</f>
        <v>用途</v>
      </c>
      <c r="R9" s="1458" t="s">
        <v>8</v>
      </c>
      <c r="S9" s="1459">
        <f t="shared" si="0"/>
        <v>100</v>
      </c>
      <c r="T9" s="1458" t="s">
        <v>8</v>
      </c>
      <c r="U9" s="1459">
        <f t="shared" si="1"/>
        <v>100</v>
      </c>
      <c r="V9" s="1458" t="s">
        <v>8</v>
      </c>
      <c r="W9" s="1459">
        <f t="shared" si="2"/>
        <v>100</v>
      </c>
      <c r="X9" s="1460"/>
      <c r="Y9" s="3631" t="s">
        <v>519</v>
      </c>
      <c r="Z9" s="1096" t="str">
        <f t="shared" ref="Z9:Z15" si="7">Q9</f>
        <v>用途</v>
      </c>
      <c r="AA9" s="1461">
        <f t="shared" si="3"/>
        <v>1</v>
      </c>
      <c r="AB9" s="1461">
        <f t="shared" si="4"/>
        <v>1</v>
      </c>
      <c r="AC9" s="1461">
        <f t="shared" si="5"/>
        <v>1</v>
      </c>
    </row>
    <row r="10" spans="1:29" s="1247" customFormat="1" ht="28.8">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83"/>
      <c r="Q10" s="1097" t="str">
        <f t="shared" si="6"/>
        <v>土地使用年限（年）</v>
      </c>
      <c r="R10" s="1458" t="s">
        <v>8</v>
      </c>
      <c r="S10" s="1459">
        <f t="shared" si="0"/>
        <v>100</v>
      </c>
      <c r="T10" s="1458" t="s">
        <v>8</v>
      </c>
      <c r="U10" s="1459">
        <f t="shared" si="1"/>
        <v>100</v>
      </c>
      <c r="V10" s="1458" t="s">
        <v>8</v>
      </c>
      <c r="W10" s="1459">
        <f t="shared" si="2"/>
        <v>100</v>
      </c>
      <c r="X10" s="1460"/>
      <c r="Y10" s="3631"/>
      <c r="Z10" s="1096" t="str">
        <f t="shared" si="7"/>
        <v>土地使用年限（年）</v>
      </c>
      <c r="AA10" s="1461">
        <f t="shared" si="3"/>
        <v>1</v>
      </c>
      <c r="AB10" s="1461">
        <f t="shared" si="4"/>
        <v>1</v>
      </c>
      <c r="AC10" s="1461">
        <f t="shared" si="5"/>
        <v>1</v>
      </c>
    </row>
    <row r="11" spans="1:29" ht="15">
      <c r="A11" s="2555"/>
      <c r="B11" s="2559" t="s">
        <v>2475</v>
      </c>
      <c r="C11" s="510">
        <v>2</v>
      </c>
      <c r="D11" s="253">
        <v>100</v>
      </c>
      <c r="E11" s="511">
        <v>2</v>
      </c>
      <c r="F11" s="835">
        <f>LOOKUP(E11,68:68,69:69)-LOOKUP(C11,68:68,69:69)+100</f>
        <v>100</v>
      </c>
      <c r="G11" s="510">
        <v>1.5</v>
      </c>
      <c r="H11" s="253">
        <f>LOOKUP(G11,68:68,69:69)-LOOKUP(C11,68:68,69:69)+100</f>
        <v>102</v>
      </c>
      <c r="I11" s="510">
        <v>1.1000000000000001</v>
      </c>
      <c r="J11" s="253">
        <f>LOOKUP(I11,68:68,69:69)-LOOKUP(C11,68:68,69:69)+100</f>
        <v>102</v>
      </c>
      <c r="K11" s="836">
        <v>2</v>
      </c>
      <c r="L11" s="1976"/>
      <c r="M11" s="1970"/>
      <c r="N11" s="1970"/>
      <c r="O11" s="1977"/>
      <c r="P11" s="3683"/>
      <c r="Q11" s="1097" t="str">
        <f t="shared" si="6"/>
        <v>容积率</v>
      </c>
      <c r="R11" s="1458" t="s">
        <v>11</v>
      </c>
      <c r="S11" s="1459">
        <f t="shared" si="0"/>
        <v>100</v>
      </c>
      <c r="T11" s="1458" t="s">
        <v>11</v>
      </c>
      <c r="U11" s="1459">
        <f t="shared" si="1"/>
        <v>102</v>
      </c>
      <c r="V11" s="1458" t="s">
        <v>11</v>
      </c>
      <c r="W11" s="1459">
        <f t="shared" si="2"/>
        <v>102</v>
      </c>
      <c r="X11" s="1460"/>
      <c r="Y11" s="3631"/>
      <c r="Z11" s="1096" t="str">
        <f t="shared" si="7"/>
        <v>容积率</v>
      </c>
      <c r="AA11" s="1461">
        <f t="shared" si="3"/>
        <v>1</v>
      </c>
      <c r="AB11" s="1461">
        <f t="shared" si="4"/>
        <v>0.98039215686274506</v>
      </c>
      <c r="AC11" s="1461">
        <f t="shared" si="5"/>
        <v>0.98039215686274506</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83"/>
      <c r="Q12" s="1097">
        <f t="shared" si="6"/>
        <v>111</v>
      </c>
      <c r="R12" s="1458" t="s">
        <v>11</v>
      </c>
      <c r="S12" s="1459">
        <f t="shared" si="0"/>
        <v>100</v>
      </c>
      <c r="T12" s="1458" t="s">
        <v>11</v>
      </c>
      <c r="U12" s="1459">
        <f t="shared" si="1"/>
        <v>100</v>
      </c>
      <c r="V12" s="1458" t="s">
        <v>11</v>
      </c>
      <c r="W12" s="1459">
        <f t="shared" si="2"/>
        <v>100</v>
      </c>
      <c r="X12" s="1460"/>
      <c r="Y12" s="3631"/>
      <c r="Z12" s="1096">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83"/>
      <c r="Q13" s="1097">
        <f t="shared" si="6"/>
        <v>111</v>
      </c>
      <c r="R13" s="1458" t="s">
        <v>11</v>
      </c>
      <c r="S13" s="1459">
        <f t="shared" si="0"/>
        <v>100</v>
      </c>
      <c r="T13" s="1458" t="s">
        <v>11</v>
      </c>
      <c r="U13" s="1459">
        <f t="shared" si="1"/>
        <v>100</v>
      </c>
      <c r="V13" s="1458" t="s">
        <v>11</v>
      </c>
      <c r="W13" s="1459">
        <f t="shared" si="2"/>
        <v>100</v>
      </c>
      <c r="X13" s="1460"/>
      <c r="Y13" s="3631"/>
      <c r="Z13" s="1096">
        <f t="shared" si="7"/>
        <v>111</v>
      </c>
      <c r="AA13" s="1461">
        <f t="shared" si="3"/>
        <v>1</v>
      </c>
      <c r="AB13" s="1461">
        <f t="shared" si="4"/>
        <v>1</v>
      </c>
      <c r="AC13" s="1461">
        <f t="shared" si="5"/>
        <v>1</v>
      </c>
    </row>
    <row r="14" spans="1:29" ht="15.6"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83"/>
      <c r="Q14" s="1097">
        <f t="shared" si="6"/>
        <v>111</v>
      </c>
      <c r="R14" s="1458" t="s">
        <v>11</v>
      </c>
      <c r="S14" s="1459">
        <f t="shared" si="0"/>
        <v>100</v>
      </c>
      <c r="T14" s="1458" t="s">
        <v>11</v>
      </c>
      <c r="U14" s="1459">
        <f t="shared" si="1"/>
        <v>100</v>
      </c>
      <c r="V14" s="1458" t="s">
        <v>11</v>
      </c>
      <c r="W14" s="1459">
        <f t="shared" si="2"/>
        <v>100</v>
      </c>
      <c r="X14" s="1460"/>
      <c r="Y14" s="3631"/>
      <c r="Z14" s="1096">
        <f t="shared" si="7"/>
        <v>111</v>
      </c>
      <c r="AA14" s="1461">
        <f t="shared" si="3"/>
        <v>1</v>
      </c>
      <c r="AB14" s="1461">
        <f t="shared" si="4"/>
        <v>1</v>
      </c>
      <c r="AC14" s="1461">
        <f t="shared" si="5"/>
        <v>1</v>
      </c>
    </row>
    <row r="15" spans="1:29" ht="96.6">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105</v>
      </c>
      <c r="G15" s="529"/>
      <c r="H15" s="526">
        <f>SUMIF(76:76,G16,77:77)-SUMIF(76:76,C16,77:77)+100</f>
        <v>105</v>
      </c>
      <c r="I15" s="527"/>
      <c r="J15" s="526">
        <f>SUMIF(76:76,I16,77:77)-SUMIF(76:76,C16,77:77)+100</f>
        <v>105</v>
      </c>
      <c r="K15" s="840">
        <v>5</v>
      </c>
      <c r="L15" s="1978"/>
      <c r="M15" s="1970"/>
      <c r="N15" s="1970"/>
      <c r="O15" s="1977"/>
      <c r="P15" s="3685" t="s">
        <v>523</v>
      </c>
      <c r="Q15" s="1462" t="str">
        <f t="shared" si="6"/>
        <v>居住社区成熟度</v>
      </c>
      <c r="R15" s="1463" t="s">
        <v>11</v>
      </c>
      <c r="S15" s="1464">
        <f t="shared" si="0"/>
        <v>105</v>
      </c>
      <c r="T15" s="1463" t="s">
        <v>11</v>
      </c>
      <c r="U15" s="1464">
        <f t="shared" si="1"/>
        <v>105</v>
      </c>
      <c r="V15" s="1463" t="s">
        <v>11</v>
      </c>
      <c r="W15" s="1464">
        <f t="shared" si="2"/>
        <v>105</v>
      </c>
      <c r="X15" s="1457"/>
      <c r="Y15" s="3685" t="s">
        <v>523</v>
      </c>
      <c r="Z15" s="1465" t="str">
        <f t="shared" si="7"/>
        <v>居住社区成熟度</v>
      </c>
      <c r="AA15" s="1466">
        <f t="shared" si="3"/>
        <v>0.95238095238095233</v>
      </c>
      <c r="AB15" s="1466">
        <f t="shared" si="4"/>
        <v>0.95238095238095233</v>
      </c>
      <c r="AC15" s="1466">
        <f t="shared" si="5"/>
        <v>0.95238095238095233</v>
      </c>
    </row>
    <row r="16" spans="1:29" ht="15">
      <c r="A16" s="509"/>
      <c r="B16" s="841"/>
      <c r="C16" s="3462" t="s">
        <v>3315</v>
      </c>
      <c r="D16" s="532"/>
      <c r="E16" s="3460" t="s">
        <v>3316</v>
      </c>
      <c r="F16" s="534"/>
      <c r="G16" s="3459" t="s">
        <v>3317</v>
      </c>
      <c r="H16" s="536"/>
      <c r="I16" s="3460" t="s">
        <v>3318</v>
      </c>
      <c r="J16" s="532"/>
      <c r="K16" s="842"/>
      <c r="L16" s="1978"/>
      <c r="M16" s="1970"/>
      <c r="N16" s="1970"/>
      <c r="O16" s="1977"/>
      <c r="P16" s="3686"/>
      <c r="Q16" s="1462"/>
      <c r="R16" s="1463"/>
      <c r="S16" s="1464"/>
      <c r="T16" s="1463"/>
      <c r="U16" s="1464"/>
      <c r="V16" s="1463"/>
      <c r="W16" s="1464"/>
      <c r="X16" s="1457"/>
      <c r="Y16" s="3686"/>
      <c r="Z16" s="1465"/>
      <c r="AA16" s="1466">
        <v>1</v>
      </c>
      <c r="AB16" s="1466">
        <v>1</v>
      </c>
      <c r="AC16" s="1466">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686"/>
      <c r="Q17" s="1462" t="str">
        <f>B17</f>
        <v>交通便捷度</v>
      </c>
      <c r="R17" s="1463" t="s">
        <v>11</v>
      </c>
      <c r="S17" s="1464">
        <f>F17</f>
        <v>100</v>
      </c>
      <c r="T17" s="1463" t="s">
        <v>11</v>
      </c>
      <c r="U17" s="1464">
        <f>H17</f>
        <v>100</v>
      </c>
      <c r="V17" s="1463" t="s">
        <v>11</v>
      </c>
      <c r="W17" s="1464">
        <f>J17</f>
        <v>100</v>
      </c>
      <c r="X17" s="1457"/>
      <c r="Y17" s="3686"/>
      <c r="Z17" s="1465" t="str">
        <f>Q17</f>
        <v>交通便捷度</v>
      </c>
      <c r="AA17" s="1466">
        <f t="shared" si="3"/>
        <v>1</v>
      </c>
      <c r="AB17" s="1466">
        <f t="shared" si="4"/>
        <v>1</v>
      </c>
      <c r="AC17" s="1466">
        <f t="shared" si="5"/>
        <v>1</v>
      </c>
    </row>
    <row r="18" spans="1:29" ht="15">
      <c r="A18" s="509"/>
      <c r="B18" s="572"/>
      <c r="C18" s="845" t="s">
        <v>3284</v>
      </c>
      <c r="D18" s="536"/>
      <c r="E18" s="3481" t="s">
        <v>3319</v>
      </c>
      <c r="F18" s="540"/>
      <c r="G18" s="3483" t="s">
        <v>3317</v>
      </c>
      <c r="H18" s="532"/>
      <c r="I18" s="3481" t="s">
        <v>3318</v>
      </c>
      <c r="J18" s="532"/>
      <c r="K18" s="842"/>
      <c r="L18" s="1978"/>
      <c r="M18" s="1970"/>
      <c r="N18" s="1970"/>
      <c r="O18" s="1977"/>
      <c r="P18" s="3686"/>
      <c r="Q18" s="1462"/>
      <c r="R18" s="1463"/>
      <c r="S18" s="1464"/>
      <c r="T18" s="1463"/>
      <c r="U18" s="1464"/>
      <c r="V18" s="1463"/>
      <c r="W18" s="1464"/>
      <c r="X18" s="1457"/>
      <c r="Y18" s="3686"/>
      <c r="Z18" s="1465"/>
      <c r="AA18" s="1466">
        <v>1</v>
      </c>
      <c r="AB18" s="1466">
        <v>1</v>
      </c>
      <c r="AC18" s="1466">
        <v>1</v>
      </c>
    </row>
    <row r="19" spans="1:29" ht="41.4">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686"/>
      <c r="Q19" s="1462" t="str">
        <f>B19</f>
        <v>公共配套设施</v>
      </c>
      <c r="R19" s="1463" t="s">
        <v>11</v>
      </c>
      <c r="S19" s="1464">
        <f>F19</f>
        <v>100</v>
      </c>
      <c r="T19" s="1463" t="s">
        <v>11</v>
      </c>
      <c r="U19" s="1464">
        <f>H19</f>
        <v>100</v>
      </c>
      <c r="V19" s="1463" t="s">
        <v>11</v>
      </c>
      <c r="W19" s="1464">
        <f>J19</f>
        <v>100</v>
      </c>
      <c r="X19" s="1457"/>
      <c r="Y19" s="3686"/>
      <c r="Z19" s="1465" t="str">
        <f>Q19</f>
        <v>公共配套设施</v>
      </c>
      <c r="AA19" s="1466">
        <f t="shared" si="3"/>
        <v>1</v>
      </c>
      <c r="AB19" s="1466">
        <f t="shared" si="4"/>
        <v>1</v>
      </c>
      <c r="AC19" s="1466">
        <f t="shared" si="5"/>
        <v>1</v>
      </c>
    </row>
    <row r="20" spans="1:29" ht="15">
      <c r="A20" s="509"/>
      <c r="B20" s="572"/>
      <c r="C20" s="3462" t="s">
        <v>3318</v>
      </c>
      <c r="D20" s="532"/>
      <c r="E20" s="3460" t="s">
        <v>3318</v>
      </c>
      <c r="F20" s="534"/>
      <c r="G20" s="3459" t="s">
        <v>3318</v>
      </c>
      <c r="H20" s="532"/>
      <c r="I20" s="3460" t="s">
        <v>3318</v>
      </c>
      <c r="J20" s="532"/>
      <c r="K20" s="842"/>
      <c r="L20" s="1978"/>
      <c r="M20" s="1970"/>
      <c r="N20" s="1970"/>
      <c r="O20" s="1977"/>
      <c r="P20" s="3686"/>
      <c r="Q20" s="1462"/>
      <c r="R20" s="1463"/>
      <c r="S20" s="1464"/>
      <c r="T20" s="1463"/>
      <c r="U20" s="1464"/>
      <c r="V20" s="1463"/>
      <c r="W20" s="1464"/>
      <c r="X20" s="1457"/>
      <c r="Y20" s="3686"/>
      <c r="Z20" s="1465"/>
      <c r="AA20" s="1466">
        <v>1</v>
      </c>
      <c r="AB20" s="1466">
        <v>1</v>
      </c>
      <c r="AC20" s="1466">
        <v>1</v>
      </c>
    </row>
    <row r="21" spans="1:29" ht="27.6">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686"/>
      <c r="Q21" s="2351" t="str">
        <f>B21</f>
        <v>基础设施水平</v>
      </c>
      <c r="R21" s="1463" t="s">
        <v>11</v>
      </c>
      <c r="S21" s="1464">
        <f>F21</f>
        <v>100</v>
      </c>
      <c r="T21" s="1463" t="s">
        <v>11</v>
      </c>
      <c r="U21" s="1464">
        <f>H21</f>
        <v>100</v>
      </c>
      <c r="V21" s="1463" t="s">
        <v>11</v>
      </c>
      <c r="W21" s="1464">
        <f>J21</f>
        <v>100</v>
      </c>
      <c r="X21" s="2353"/>
      <c r="Y21" s="3686"/>
      <c r="Z21" s="2352" t="str">
        <f>Q21</f>
        <v>基础设施水平</v>
      </c>
      <c r="AA21" s="1466">
        <f t="shared" ref="AA21" si="8">D21/F21</f>
        <v>1</v>
      </c>
      <c r="AB21" s="1466">
        <f t="shared" ref="AB21" si="9">D21/H21</f>
        <v>1</v>
      </c>
      <c r="AC21" s="1466">
        <f t="shared" ref="AC21" si="10">D21/J21</f>
        <v>1</v>
      </c>
    </row>
    <row r="22" spans="1:29" ht="15">
      <c r="A22" s="509"/>
      <c r="B22" s="893"/>
      <c r="C22" s="3484" t="s">
        <v>3326</v>
      </c>
      <c r="D22" s="532"/>
      <c r="E22" s="3462" t="s">
        <v>3326</v>
      </c>
      <c r="F22" s="534"/>
      <c r="G22" s="3462" t="s">
        <v>3327</v>
      </c>
      <c r="H22" s="532"/>
      <c r="I22" s="3462" t="s">
        <v>3328</v>
      </c>
      <c r="J22" s="532"/>
      <c r="K22" s="2365"/>
      <c r="L22" s="1978"/>
      <c r="M22" s="1970"/>
      <c r="N22" s="1970"/>
      <c r="O22" s="1977"/>
      <c r="P22" s="3686"/>
      <c r="Q22" s="2351"/>
      <c r="R22" s="1463"/>
      <c r="S22" s="1464"/>
      <c r="T22" s="1463"/>
      <c r="U22" s="1464"/>
      <c r="V22" s="1463"/>
      <c r="W22" s="1464"/>
      <c r="X22" s="2353"/>
      <c r="Y22" s="3686"/>
      <c r="Z22" s="2352"/>
      <c r="AA22" s="1466">
        <v>1</v>
      </c>
      <c r="AB22" s="1466">
        <v>1</v>
      </c>
      <c r="AC22" s="1466">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686"/>
      <c r="Q23" s="1462" t="str">
        <f>B23</f>
        <v>自然及人文环境</v>
      </c>
      <c r="R23" s="1463" t="s">
        <v>11</v>
      </c>
      <c r="S23" s="1464">
        <f>F23</f>
        <v>100</v>
      </c>
      <c r="T23" s="1463" t="s">
        <v>11</v>
      </c>
      <c r="U23" s="1464">
        <f>H23</f>
        <v>100</v>
      </c>
      <c r="V23" s="1463" t="s">
        <v>11</v>
      </c>
      <c r="W23" s="1464">
        <f>J23</f>
        <v>100</v>
      </c>
      <c r="X23" s="1457"/>
      <c r="Y23" s="3686"/>
      <c r="Z23" s="1465" t="str">
        <f>Q23</f>
        <v>自然及人文环境</v>
      </c>
      <c r="AA23" s="1466">
        <f t="shared" si="3"/>
        <v>1</v>
      </c>
      <c r="AB23" s="1466">
        <f t="shared" si="4"/>
        <v>1</v>
      </c>
      <c r="AC23" s="1466">
        <f t="shared" si="5"/>
        <v>1</v>
      </c>
    </row>
    <row r="24" spans="1:29" ht="15">
      <c r="A24" s="509"/>
      <c r="B24" s="572"/>
      <c r="C24" s="3462" t="s">
        <v>3329</v>
      </c>
      <c r="D24" s="532"/>
      <c r="E24" s="3460" t="s">
        <v>3329</v>
      </c>
      <c r="F24" s="534"/>
      <c r="G24" s="3459" t="s">
        <v>3315</v>
      </c>
      <c r="H24" s="532"/>
      <c r="I24" s="3460" t="s">
        <v>3329</v>
      </c>
      <c r="J24" s="532"/>
      <c r="K24" s="842"/>
      <c r="L24" s="1978"/>
      <c r="M24" s="1970"/>
      <c r="N24" s="1970"/>
      <c r="O24" s="1977"/>
      <c r="P24" s="3686"/>
      <c r="Q24" s="1462"/>
      <c r="R24" s="1463"/>
      <c r="S24" s="1464"/>
      <c r="T24" s="1463"/>
      <c r="U24" s="1464"/>
      <c r="V24" s="1463"/>
      <c r="W24" s="1464"/>
      <c r="X24" s="1457"/>
      <c r="Y24" s="3686"/>
      <c r="Z24" s="1465"/>
      <c r="AA24" s="1466">
        <v>1</v>
      </c>
      <c r="AB24" s="1466">
        <v>1</v>
      </c>
      <c r="AC24" s="1466">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86"/>
      <c r="Q25" s="1462" t="str">
        <f t="shared" ref="Q25:Q46" si="11">B25</f>
        <v>楼层-1</v>
      </c>
      <c r="R25" s="1463" t="s">
        <v>11</v>
      </c>
      <c r="S25" s="1464">
        <f>F25</f>
        <v>100</v>
      </c>
      <c r="T25" s="1463" t="s">
        <v>11</v>
      </c>
      <c r="U25" s="1464">
        <f>H25</f>
        <v>100</v>
      </c>
      <c r="V25" s="1463" t="s">
        <v>11</v>
      </c>
      <c r="W25" s="1464">
        <f>J25</f>
        <v>100</v>
      </c>
      <c r="X25" s="1457"/>
      <c r="Y25" s="3686"/>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86"/>
      <c r="Q26" s="1462" t="str">
        <f t="shared" si="11"/>
        <v>朝向</v>
      </c>
      <c r="R26" s="1463" t="s">
        <v>11</v>
      </c>
      <c r="S26" s="1464">
        <f>F26</f>
        <v>100</v>
      </c>
      <c r="T26" s="1463" t="s">
        <v>11</v>
      </c>
      <c r="U26" s="1464">
        <f>H26</f>
        <v>100</v>
      </c>
      <c r="V26" s="1463" t="s">
        <v>11</v>
      </c>
      <c r="W26" s="1464">
        <f>J26</f>
        <v>100</v>
      </c>
      <c r="X26" s="1457"/>
      <c r="Y26" s="3686"/>
      <c r="Z26" s="1465" t="str">
        <f>Q26</f>
        <v>朝向</v>
      </c>
      <c r="AA26" s="1466">
        <f t="shared" si="3"/>
        <v>1</v>
      </c>
      <c r="AB26" s="1466">
        <f t="shared" si="4"/>
        <v>1</v>
      </c>
      <c r="AC26" s="1466">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86"/>
      <c r="Q27" s="1097" t="str">
        <f t="shared" si="11"/>
        <v>道路级别</v>
      </c>
      <c r="R27" s="1458" t="s">
        <v>11</v>
      </c>
      <c r="S27" s="1459">
        <f>F27</f>
        <v>100</v>
      </c>
      <c r="T27" s="1458" t="s">
        <v>11</v>
      </c>
      <c r="U27" s="1459">
        <f>H27</f>
        <v>100</v>
      </c>
      <c r="V27" s="1458" t="s">
        <v>11</v>
      </c>
      <c r="W27" s="1459">
        <f>J27</f>
        <v>100</v>
      </c>
      <c r="X27" s="1460"/>
      <c r="Y27" s="3686"/>
      <c r="Z27" s="1096"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86"/>
      <c r="Q28" s="1462">
        <f t="shared" si="11"/>
        <v>111</v>
      </c>
      <c r="R28" s="1463" t="s">
        <v>11</v>
      </c>
      <c r="S28" s="1464">
        <f t="shared" ref="S28:S46" si="12">F28</f>
        <v>100</v>
      </c>
      <c r="T28" s="1463" t="s">
        <v>11</v>
      </c>
      <c r="U28" s="1464">
        <f t="shared" ref="U28:U46" si="13">H28</f>
        <v>100</v>
      </c>
      <c r="V28" s="1463" t="s">
        <v>11</v>
      </c>
      <c r="W28" s="1464">
        <f t="shared" ref="W28:W46" si="14">J28</f>
        <v>100</v>
      </c>
      <c r="X28" s="1457"/>
      <c r="Y28" s="3686"/>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86"/>
      <c r="Q29" s="1462">
        <f t="shared" si="11"/>
        <v>111</v>
      </c>
      <c r="R29" s="1463" t="s">
        <v>11</v>
      </c>
      <c r="S29" s="1464">
        <f t="shared" si="12"/>
        <v>100</v>
      </c>
      <c r="T29" s="1463" t="s">
        <v>11</v>
      </c>
      <c r="U29" s="1464">
        <f t="shared" si="13"/>
        <v>100</v>
      </c>
      <c r="V29" s="1463" t="s">
        <v>11</v>
      </c>
      <c r="W29" s="1464">
        <f t="shared" si="14"/>
        <v>100</v>
      </c>
      <c r="X29" s="1457"/>
      <c r="Y29" s="3686"/>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86"/>
      <c r="Q30" s="1462">
        <f t="shared" si="11"/>
        <v>111</v>
      </c>
      <c r="R30" s="1463" t="s">
        <v>11</v>
      </c>
      <c r="S30" s="1464">
        <f t="shared" si="12"/>
        <v>100</v>
      </c>
      <c r="T30" s="1463" t="s">
        <v>11</v>
      </c>
      <c r="U30" s="1464">
        <f t="shared" si="13"/>
        <v>100</v>
      </c>
      <c r="V30" s="1463" t="s">
        <v>11</v>
      </c>
      <c r="W30" s="1464">
        <f t="shared" si="14"/>
        <v>100</v>
      </c>
      <c r="X30" s="1457"/>
      <c r="Y30" s="3686"/>
      <c r="Z30" s="1465">
        <f t="shared" si="15"/>
        <v>111</v>
      </c>
      <c r="AA30" s="1466">
        <f t="shared" si="3"/>
        <v>1</v>
      </c>
      <c r="AB30" s="1466">
        <f t="shared" si="4"/>
        <v>1</v>
      </c>
      <c r="AC30" s="1466">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86"/>
      <c r="Q31" s="1462">
        <f t="shared" si="11"/>
        <v>111</v>
      </c>
      <c r="R31" s="1463" t="s">
        <v>11</v>
      </c>
      <c r="S31" s="1464">
        <f t="shared" si="12"/>
        <v>100</v>
      </c>
      <c r="T31" s="1463" t="s">
        <v>11</v>
      </c>
      <c r="U31" s="1464">
        <f t="shared" si="13"/>
        <v>100</v>
      </c>
      <c r="V31" s="1463" t="s">
        <v>11</v>
      </c>
      <c r="W31" s="1464">
        <f t="shared" si="14"/>
        <v>100</v>
      </c>
      <c r="X31" s="1457"/>
      <c r="Y31" s="3686"/>
      <c r="Z31" s="1465">
        <f t="shared" si="15"/>
        <v>111</v>
      </c>
      <c r="AA31" s="1466">
        <f t="shared" si="3"/>
        <v>1</v>
      </c>
      <c r="AB31" s="1466">
        <f t="shared" si="4"/>
        <v>1</v>
      </c>
      <c r="AC31" s="1466">
        <f t="shared" si="5"/>
        <v>1</v>
      </c>
    </row>
    <row r="32" spans="1:29" ht="15">
      <c r="A32" s="2546" t="s">
        <v>2472</v>
      </c>
      <c r="B32" s="170" t="s">
        <v>707</v>
      </c>
      <c r="C32" s="3485" t="s">
        <v>3330</v>
      </c>
      <c r="D32" s="574">
        <v>100</v>
      </c>
      <c r="E32" s="3486" t="s">
        <v>3330</v>
      </c>
      <c r="F32" s="552">
        <f>SUMIF(100:100,E32,101:101)-SUMIF(100:100,C32,101:101)+100</f>
        <v>100</v>
      </c>
      <c r="G32" s="3485" t="s">
        <v>3330</v>
      </c>
      <c r="H32" s="574">
        <f>SUMIF(100:100,G32,101:101)-SUMIF(100:100,C32,101:101)+100</f>
        <v>100</v>
      </c>
      <c r="I32" s="3486" t="s">
        <v>3330</v>
      </c>
      <c r="J32" s="517">
        <f>SUMIF(100:100,I32,101:101)-SUMIF(100:100,C32,101:101)+100</f>
        <v>100</v>
      </c>
      <c r="K32" s="836"/>
      <c r="L32" s="1978"/>
      <c r="M32" s="1970"/>
      <c r="N32" s="1970"/>
      <c r="O32" s="1977"/>
      <c r="P32" s="3687" t="s">
        <v>533</v>
      </c>
      <c r="Q32" s="1462" t="str">
        <f t="shared" si="11"/>
        <v>建筑类型</v>
      </c>
      <c r="R32" s="1463" t="s">
        <v>11</v>
      </c>
      <c r="S32" s="1464">
        <f t="shared" si="12"/>
        <v>100</v>
      </c>
      <c r="T32" s="1463" t="s">
        <v>11</v>
      </c>
      <c r="U32" s="1464">
        <f t="shared" si="13"/>
        <v>100</v>
      </c>
      <c r="V32" s="1463" t="s">
        <v>11</v>
      </c>
      <c r="W32" s="1464">
        <f t="shared" si="14"/>
        <v>100</v>
      </c>
      <c r="X32" s="1457"/>
      <c r="Y32" s="3688" t="s">
        <v>533</v>
      </c>
      <c r="Z32" s="1465" t="str">
        <f t="shared" si="15"/>
        <v>建筑类型</v>
      </c>
      <c r="AA32" s="1466">
        <f t="shared" si="3"/>
        <v>1</v>
      </c>
      <c r="AB32" s="1466">
        <f t="shared" si="4"/>
        <v>1</v>
      </c>
      <c r="AC32" s="1466">
        <f t="shared" si="5"/>
        <v>1</v>
      </c>
    </row>
    <row r="33" spans="1:29" s="1248" customFormat="1" ht="15">
      <c r="A33" s="580"/>
      <c r="B33" s="504" t="s">
        <v>708</v>
      </c>
      <c r="C33" s="851">
        <f>'数据-基础表'!B3</f>
        <v>98965.430000000008</v>
      </c>
      <c r="D33" s="253">
        <v>100</v>
      </c>
      <c r="E33" s="511">
        <v>114739</v>
      </c>
      <c r="F33" s="835">
        <f>LOOKUP(E33,103:103,104:104)-LOOKUP(C33,103:103,104:104)+100</f>
        <v>102</v>
      </c>
      <c r="G33" s="510">
        <v>215892</v>
      </c>
      <c r="H33" s="253">
        <f>LOOKUP(G33,103:103,104:104)-LOOKUP(C33,103:103,104:104)+100</f>
        <v>104</v>
      </c>
      <c r="I33" s="511">
        <v>130000</v>
      </c>
      <c r="J33" s="253">
        <f>LOOKUP(I33,103:103,104:104)-LOOKUP(C33,103:103,104:104)+100</f>
        <v>102</v>
      </c>
      <c r="K33" s="837"/>
      <c r="L33" s="1976"/>
      <c r="M33" s="2006"/>
      <c r="N33" s="2006"/>
      <c r="O33" s="1979"/>
      <c r="P33" s="3688"/>
      <c r="Q33" s="1491" t="str">
        <f t="shared" si="11"/>
        <v>项目建筑规模</v>
      </c>
      <c r="R33" s="1467" t="s">
        <v>11</v>
      </c>
      <c r="S33" s="1468">
        <f t="shared" si="12"/>
        <v>102</v>
      </c>
      <c r="T33" s="1467" t="s">
        <v>11</v>
      </c>
      <c r="U33" s="1468">
        <f t="shared" si="13"/>
        <v>104</v>
      </c>
      <c r="V33" s="1467" t="s">
        <v>11</v>
      </c>
      <c r="W33" s="1468">
        <f t="shared" si="14"/>
        <v>102</v>
      </c>
      <c r="X33" s="1469"/>
      <c r="Y33" s="3688"/>
      <c r="Z33" s="1470" t="str">
        <f t="shared" si="15"/>
        <v>项目建筑规模</v>
      </c>
      <c r="AA33" s="1466">
        <f t="shared" si="3"/>
        <v>0.98039215686274506</v>
      </c>
      <c r="AB33" s="1466">
        <f t="shared" si="4"/>
        <v>0.96153846153846156</v>
      </c>
      <c r="AC33" s="1466">
        <f t="shared" si="5"/>
        <v>0.98039215686274506</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688"/>
      <c r="Q34" s="1462" t="str">
        <f t="shared" si="11"/>
        <v>建筑结构</v>
      </c>
      <c r="R34" s="1463" t="s">
        <v>11</v>
      </c>
      <c r="S34" s="1464">
        <f t="shared" si="12"/>
        <v>100</v>
      </c>
      <c r="T34" s="1463" t="s">
        <v>11</v>
      </c>
      <c r="U34" s="1464">
        <f t="shared" si="13"/>
        <v>100</v>
      </c>
      <c r="V34" s="1463" t="s">
        <v>11</v>
      </c>
      <c r="W34" s="1464">
        <f t="shared" si="14"/>
        <v>100</v>
      </c>
      <c r="X34" s="1457"/>
      <c r="Y34" s="3688"/>
      <c r="Z34" s="1465" t="str">
        <f t="shared" si="15"/>
        <v>建筑结构</v>
      </c>
      <c r="AA34" s="1466">
        <f t="shared" si="3"/>
        <v>1</v>
      </c>
      <c r="AB34" s="1466">
        <f t="shared" si="4"/>
        <v>1</v>
      </c>
      <c r="AC34" s="1466">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688"/>
      <c r="Q35" s="1462" t="str">
        <f t="shared" si="11"/>
        <v>建筑品质</v>
      </c>
      <c r="R35" s="1463" t="s">
        <v>11</v>
      </c>
      <c r="S35" s="1464">
        <f t="shared" si="12"/>
        <v>100</v>
      </c>
      <c r="T35" s="1463" t="s">
        <v>11</v>
      </c>
      <c r="U35" s="1464">
        <f t="shared" si="13"/>
        <v>100</v>
      </c>
      <c r="V35" s="1463" t="s">
        <v>11</v>
      </c>
      <c r="W35" s="1464">
        <f t="shared" si="14"/>
        <v>100</v>
      </c>
      <c r="X35" s="1457"/>
      <c r="Y35" s="3688"/>
      <c r="Z35" s="1465" t="str">
        <f t="shared" si="15"/>
        <v>建筑品质</v>
      </c>
      <c r="AA35" s="1466">
        <f t="shared" si="3"/>
        <v>1</v>
      </c>
      <c r="AB35" s="1466">
        <f t="shared" si="4"/>
        <v>1</v>
      </c>
      <c r="AC35" s="1466">
        <f t="shared" si="5"/>
        <v>1</v>
      </c>
    </row>
    <row r="36" spans="1:29" ht="15">
      <c r="A36" s="571"/>
      <c r="B36" s="504" t="s">
        <v>711</v>
      </c>
      <c r="C36" s="3465" t="s">
        <v>3331</v>
      </c>
      <c r="D36" s="517">
        <v>100</v>
      </c>
      <c r="E36" s="3488" t="s">
        <v>3331</v>
      </c>
      <c r="F36" s="552">
        <f>SUMIF(109:109,E36,110:110)-SUMIF(109:109,C36,110:110)+100</f>
        <v>100</v>
      </c>
      <c r="G36" s="3465" t="s">
        <v>3331</v>
      </c>
      <c r="H36" s="517">
        <f>SUMIF(109:109,G36,110:110)-SUMIF(109:109,C36,110:110)+100</f>
        <v>100</v>
      </c>
      <c r="I36" s="3488" t="s">
        <v>3331</v>
      </c>
      <c r="J36" s="517">
        <f>SUMIF(109:109,I36,110:110)-SUMIF(109:109,C36,110:110)+100</f>
        <v>100</v>
      </c>
      <c r="K36" s="836"/>
      <c r="L36" s="1978"/>
      <c r="M36" s="1970"/>
      <c r="N36" s="1970"/>
      <c r="O36" s="1977"/>
      <c r="P36" s="3688"/>
      <c r="Q36" s="1462" t="str">
        <f t="shared" si="11"/>
        <v>公共部分装修</v>
      </c>
      <c r="R36" s="1463" t="s">
        <v>11</v>
      </c>
      <c r="S36" s="1464">
        <f t="shared" si="12"/>
        <v>100</v>
      </c>
      <c r="T36" s="1463" t="s">
        <v>11</v>
      </c>
      <c r="U36" s="1464">
        <f t="shared" si="13"/>
        <v>100</v>
      </c>
      <c r="V36" s="1463" t="s">
        <v>11</v>
      </c>
      <c r="W36" s="1464">
        <f t="shared" si="14"/>
        <v>100</v>
      </c>
      <c r="X36" s="1457"/>
      <c r="Y36" s="3688"/>
      <c r="Z36" s="1465" t="str">
        <f t="shared" si="15"/>
        <v>公共部分装修</v>
      </c>
      <c r="AA36" s="1466">
        <f t="shared" si="3"/>
        <v>1</v>
      </c>
      <c r="AB36" s="1466">
        <f t="shared" si="4"/>
        <v>1</v>
      </c>
      <c r="AC36" s="1466">
        <f t="shared" si="5"/>
        <v>1</v>
      </c>
    </row>
    <row r="37" spans="1:29" s="1166" customFormat="1" ht="15">
      <c r="A37" s="577"/>
      <c r="B37" s="504" t="s">
        <v>712</v>
      </c>
      <c r="C37" s="854">
        <v>0.7</v>
      </c>
      <c r="D37" s="253">
        <v>100</v>
      </c>
      <c r="E37" s="855">
        <f>ROUND(1-(2022-E50)/60,2)</f>
        <v>0.8</v>
      </c>
      <c r="F37" s="835">
        <f>LOOKUP(E37,112:112,113:113)-LOOKUP(C37,112:112,113:113)+100</f>
        <v>105</v>
      </c>
      <c r="G37" s="856">
        <f>ROUND(1-(2022-G50)/60,2)</f>
        <v>0.8</v>
      </c>
      <c r="H37" s="253">
        <f>LOOKUP(G37,112:112,113:113)-LOOKUP(C37,112:112,113:113)+100</f>
        <v>105</v>
      </c>
      <c r="I37" s="855">
        <f>ROUND(1-(2022-I50)/60,2)</f>
        <v>0.7</v>
      </c>
      <c r="J37" s="253">
        <f>LOOKUP(I37,112:112,113:113)-LOOKUP(C37,112:112,113:113)+100</f>
        <v>100</v>
      </c>
      <c r="K37" s="836">
        <v>5</v>
      </c>
      <c r="L37" s="1971"/>
      <c r="M37" s="1972"/>
      <c r="N37" s="1972"/>
      <c r="O37" s="1973"/>
      <c r="P37" s="3688"/>
      <c r="Q37" s="1097" t="str">
        <f t="shared" si="11"/>
        <v>成新度</v>
      </c>
      <c r="R37" s="1458" t="s">
        <v>11</v>
      </c>
      <c r="S37" s="1459">
        <f t="shared" si="12"/>
        <v>105</v>
      </c>
      <c r="T37" s="1458" t="s">
        <v>11</v>
      </c>
      <c r="U37" s="1459">
        <f t="shared" si="13"/>
        <v>105</v>
      </c>
      <c r="V37" s="1458" t="s">
        <v>11</v>
      </c>
      <c r="W37" s="1459">
        <f t="shared" si="14"/>
        <v>100</v>
      </c>
      <c r="X37" s="1460"/>
      <c r="Y37" s="3688"/>
      <c r="Z37" s="1096" t="str">
        <f t="shared" si="15"/>
        <v>成新度</v>
      </c>
      <c r="AA37" s="1461">
        <f t="shared" si="3"/>
        <v>0.95238095238095233</v>
      </c>
      <c r="AB37" s="1461">
        <f t="shared" si="4"/>
        <v>0.95238095238095233</v>
      </c>
      <c r="AC37" s="1461">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688" t="s">
        <v>533</v>
      </c>
      <c r="Q38" s="1462" t="str">
        <f t="shared" si="11"/>
        <v>物业管理</v>
      </c>
      <c r="R38" s="1463" t="s">
        <v>11</v>
      </c>
      <c r="S38" s="1464">
        <f t="shared" si="12"/>
        <v>100</v>
      </c>
      <c r="T38" s="1463" t="s">
        <v>11</v>
      </c>
      <c r="U38" s="1464">
        <f t="shared" si="13"/>
        <v>100</v>
      </c>
      <c r="V38" s="1463" t="s">
        <v>11</v>
      </c>
      <c r="W38" s="1464">
        <f t="shared" si="14"/>
        <v>100</v>
      </c>
      <c r="X38" s="1457"/>
      <c r="Y38" s="3688" t="s">
        <v>533</v>
      </c>
      <c r="Z38" s="1465" t="str">
        <f t="shared" si="15"/>
        <v>物业管理</v>
      </c>
      <c r="AA38" s="1466">
        <f t="shared" si="3"/>
        <v>1</v>
      </c>
      <c r="AB38" s="1466">
        <f t="shared" si="4"/>
        <v>1</v>
      </c>
      <c r="AC38" s="1466">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688"/>
      <c r="Q39" s="1462" t="str">
        <f t="shared" si="11"/>
        <v>市政基础设施</v>
      </c>
      <c r="R39" s="1463" t="s">
        <v>11</v>
      </c>
      <c r="S39" s="1464">
        <f t="shared" si="12"/>
        <v>100</v>
      </c>
      <c r="T39" s="1463" t="s">
        <v>11</v>
      </c>
      <c r="U39" s="1464">
        <f t="shared" si="13"/>
        <v>100</v>
      </c>
      <c r="V39" s="1463" t="s">
        <v>11</v>
      </c>
      <c r="W39" s="1464">
        <f t="shared" si="14"/>
        <v>100</v>
      </c>
      <c r="X39" s="1457"/>
      <c r="Y39" s="3688"/>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688"/>
      <c r="Q40" s="1462" t="str">
        <f t="shared" si="11"/>
        <v>房型</v>
      </c>
      <c r="R40" s="1463" t="s">
        <v>11</v>
      </c>
      <c r="S40" s="1464">
        <f t="shared" si="12"/>
        <v>100</v>
      </c>
      <c r="T40" s="1463" t="s">
        <v>11</v>
      </c>
      <c r="U40" s="1464">
        <f t="shared" si="13"/>
        <v>100</v>
      </c>
      <c r="V40" s="1463" t="s">
        <v>11</v>
      </c>
      <c r="W40" s="1464">
        <f t="shared" si="14"/>
        <v>100</v>
      </c>
      <c r="X40" s="1457"/>
      <c r="Y40" s="3688"/>
      <c r="Z40" s="1465" t="str">
        <f t="shared" si="15"/>
        <v>房型</v>
      </c>
      <c r="AA40" s="1466">
        <f t="shared" si="3"/>
        <v>1</v>
      </c>
      <c r="AB40" s="1466">
        <f t="shared" si="4"/>
        <v>1</v>
      </c>
      <c r="AC40" s="1466">
        <f t="shared" si="5"/>
        <v>1</v>
      </c>
    </row>
    <row r="41" spans="1:29" s="1248" customFormat="1" ht="28.8">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88"/>
      <c r="Q41" s="1491" t="str">
        <f t="shared" si="11"/>
        <v>单套/主力户型建筑面积</v>
      </c>
      <c r="R41" s="1467" t="s">
        <v>11</v>
      </c>
      <c r="S41" s="1468">
        <f t="shared" si="12"/>
        <v>100</v>
      </c>
      <c r="T41" s="1467" t="s">
        <v>11</v>
      </c>
      <c r="U41" s="1468">
        <f t="shared" si="13"/>
        <v>100</v>
      </c>
      <c r="V41" s="1467" t="s">
        <v>11</v>
      </c>
      <c r="W41" s="1468">
        <f t="shared" si="14"/>
        <v>100</v>
      </c>
      <c r="X41" s="1469"/>
      <c r="Y41" s="3688"/>
      <c r="Z41" s="1470" t="str">
        <f t="shared" si="15"/>
        <v>单套/主力户型建筑面积</v>
      </c>
      <c r="AA41" s="1466">
        <f t="shared" si="3"/>
        <v>1</v>
      </c>
      <c r="AB41" s="1466">
        <f t="shared" si="4"/>
        <v>1</v>
      </c>
      <c r="AC41" s="1466">
        <f t="shared" si="5"/>
        <v>1</v>
      </c>
    </row>
    <row r="42" spans="1:29" ht="15">
      <c r="A42" s="571"/>
      <c r="B42" s="504" t="s">
        <v>716</v>
      </c>
      <c r="C42" s="3465" t="s">
        <v>3331</v>
      </c>
      <c r="D42" s="517">
        <v>100</v>
      </c>
      <c r="E42" s="3488" t="s">
        <v>3331</v>
      </c>
      <c r="F42" s="552">
        <f>SUMIF(122:122,E42,123:123)-SUMIF(122:122,C42,123:123)+100</f>
        <v>100</v>
      </c>
      <c r="G42" s="3465" t="s">
        <v>3331</v>
      </c>
      <c r="H42" s="517">
        <f>SUMIF(122:122,G42,123:123)-SUMIF(122:122,C42,123:123)+100</f>
        <v>100</v>
      </c>
      <c r="I42" s="3488" t="s">
        <v>3331</v>
      </c>
      <c r="J42" s="517">
        <f>SUMIF(122:122,I42,123:123)-SUMIF(122:122,C42,123:123)+100</f>
        <v>100</v>
      </c>
      <c r="K42" s="836"/>
      <c r="L42" s="1978"/>
      <c r="M42" s="1970"/>
      <c r="N42" s="1970"/>
      <c r="O42" s="1977"/>
      <c r="P42" s="3688"/>
      <c r="Q42" s="1462" t="str">
        <f t="shared" si="11"/>
        <v>内部装修</v>
      </c>
      <c r="R42" s="1463" t="s">
        <v>11</v>
      </c>
      <c r="S42" s="1464">
        <f t="shared" si="12"/>
        <v>100</v>
      </c>
      <c r="T42" s="1463" t="s">
        <v>11</v>
      </c>
      <c r="U42" s="1464">
        <f t="shared" si="13"/>
        <v>100</v>
      </c>
      <c r="V42" s="1463" t="s">
        <v>11</v>
      </c>
      <c r="W42" s="1464">
        <f t="shared" si="14"/>
        <v>100</v>
      </c>
      <c r="X42" s="1457"/>
      <c r="Y42" s="3688"/>
      <c r="Z42" s="1465" t="str">
        <f t="shared" si="15"/>
        <v>内部装修</v>
      </c>
      <c r="AA42" s="1466">
        <f t="shared" si="3"/>
        <v>1</v>
      </c>
      <c r="AB42" s="1466">
        <f t="shared" si="4"/>
        <v>1</v>
      </c>
      <c r="AC42" s="1466">
        <f t="shared" si="5"/>
        <v>1</v>
      </c>
    </row>
    <row r="43" spans="1:29" ht="28.8">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88"/>
      <c r="Q43" s="1462" t="str">
        <f t="shared" si="11"/>
        <v>内部装修维护情况</v>
      </c>
      <c r="R43" s="1463" t="s">
        <v>11</v>
      </c>
      <c r="S43" s="1464">
        <f t="shared" si="12"/>
        <v>100</v>
      </c>
      <c r="T43" s="1463" t="s">
        <v>11</v>
      </c>
      <c r="U43" s="1464">
        <f t="shared" si="13"/>
        <v>100</v>
      </c>
      <c r="V43" s="1463" t="s">
        <v>11</v>
      </c>
      <c r="W43" s="1464">
        <f t="shared" si="14"/>
        <v>100</v>
      </c>
      <c r="X43" s="1457"/>
      <c r="Y43" s="3688"/>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688"/>
      <c r="Q44" s="1097">
        <f t="shared" si="11"/>
        <v>111</v>
      </c>
      <c r="R44" s="1458" t="s">
        <v>11</v>
      </c>
      <c r="S44" s="1459">
        <f t="shared" si="12"/>
        <v>100</v>
      </c>
      <c r="T44" s="1458" t="s">
        <v>11</v>
      </c>
      <c r="U44" s="1459">
        <f t="shared" si="13"/>
        <v>100</v>
      </c>
      <c r="V44" s="1458" t="s">
        <v>11</v>
      </c>
      <c r="W44" s="1459">
        <f t="shared" si="14"/>
        <v>100</v>
      </c>
      <c r="X44" s="1460"/>
      <c r="Y44" s="3688"/>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88"/>
      <c r="Q45" s="1462">
        <f t="shared" si="11"/>
        <v>111</v>
      </c>
      <c r="R45" s="1463" t="s">
        <v>11</v>
      </c>
      <c r="S45" s="1464">
        <f t="shared" si="12"/>
        <v>100</v>
      </c>
      <c r="T45" s="1463" t="s">
        <v>11</v>
      </c>
      <c r="U45" s="1464">
        <f t="shared" si="13"/>
        <v>100</v>
      </c>
      <c r="V45" s="1463" t="s">
        <v>11</v>
      </c>
      <c r="W45" s="1464">
        <f t="shared" si="14"/>
        <v>100</v>
      </c>
      <c r="X45" s="1457"/>
      <c r="Y45" s="3688"/>
      <c r="Z45" s="1465">
        <f t="shared" si="15"/>
        <v>111</v>
      </c>
      <c r="AA45" s="1466">
        <f t="shared" si="3"/>
        <v>1</v>
      </c>
      <c r="AB45" s="1466">
        <f t="shared" si="4"/>
        <v>1</v>
      </c>
      <c r="AC45" s="1466">
        <f t="shared" si="5"/>
        <v>1</v>
      </c>
    </row>
    <row r="46" spans="1:29" ht="15.6"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00"/>
      <c r="Q46" s="1462">
        <f t="shared" si="11"/>
        <v>111</v>
      </c>
      <c r="R46" s="1463" t="s">
        <v>10</v>
      </c>
      <c r="S46" s="1464">
        <f t="shared" si="12"/>
        <v>100</v>
      </c>
      <c r="T46" s="1463" t="s">
        <v>10</v>
      </c>
      <c r="U46" s="1464">
        <f t="shared" si="13"/>
        <v>100</v>
      </c>
      <c r="V46" s="1463" t="s">
        <v>10</v>
      </c>
      <c r="W46" s="1464">
        <f t="shared" si="14"/>
        <v>100</v>
      </c>
      <c r="X46" s="1457"/>
      <c r="Y46" s="3800"/>
      <c r="Z46" s="1465">
        <f t="shared" si="15"/>
        <v>111</v>
      </c>
      <c r="AA46" s="1466">
        <f t="shared" si="3"/>
        <v>1</v>
      </c>
      <c r="AB46" s="1466">
        <f t="shared" si="4"/>
        <v>1</v>
      </c>
      <c r="AC46" s="1466">
        <f t="shared" si="5"/>
        <v>1</v>
      </c>
    </row>
    <row r="47" spans="1:29" ht="14.4">
      <c r="A47" s="584" t="s">
        <v>718</v>
      </c>
      <c r="B47" s="858"/>
      <c r="C47" s="2392" t="s">
        <v>9</v>
      </c>
      <c r="D47" s="2393"/>
      <c r="E47" s="2394">
        <v>42000</v>
      </c>
      <c r="F47" s="2395"/>
      <c r="G47" s="2396">
        <v>42000</v>
      </c>
      <c r="H47" s="2397"/>
      <c r="I47" s="2394">
        <v>40000</v>
      </c>
      <c r="J47" s="2397"/>
      <c r="K47" s="1492"/>
      <c r="L47" s="1980"/>
      <c r="M47" s="1981"/>
      <c r="N47" s="1970"/>
      <c r="O47" s="1981"/>
      <c r="P47" s="3683" t="str">
        <f>A47</f>
        <v>成交单价（元/平方米）</v>
      </c>
      <c r="Q47" s="3683"/>
      <c r="R47" s="3799">
        <f>E47</f>
        <v>42000</v>
      </c>
      <c r="S47" s="3799"/>
      <c r="T47" s="3799">
        <f>G47</f>
        <v>42000</v>
      </c>
      <c r="U47" s="3799"/>
      <c r="V47" s="3799">
        <f>I47</f>
        <v>40000</v>
      </c>
      <c r="W47" s="3799"/>
      <c r="X47" s="1452"/>
      <c r="Y47" s="1471"/>
      <c r="Z47" s="1452"/>
      <c r="AA47" s="1452"/>
      <c r="AB47" s="1452"/>
      <c r="AC47" s="1452"/>
    </row>
    <row r="48" spans="1:29" ht="15" thickBot="1">
      <c r="A48" s="592" t="s">
        <v>2477</v>
      </c>
      <c r="B48" s="859"/>
      <c r="C48" s="2398">
        <f>R49</f>
        <v>36625</v>
      </c>
      <c r="D48" s="2922" t="s">
        <v>2702</v>
      </c>
      <c r="E48" s="2399">
        <f>R48</f>
        <v>37348</v>
      </c>
      <c r="F48" s="2923"/>
      <c r="G48" s="2398">
        <f>T48</f>
        <v>35912</v>
      </c>
      <c r="H48" s="2923"/>
      <c r="I48" s="2399">
        <f>V48</f>
        <v>36616</v>
      </c>
      <c r="J48" s="2923"/>
      <c r="K48" s="2931">
        <f>F48+H48+J48</f>
        <v>0</v>
      </c>
      <c r="L48" s="1980"/>
      <c r="M48" s="1981"/>
      <c r="N48" s="1981"/>
      <c r="O48" s="1981"/>
      <c r="P48" s="3683" t="str">
        <f>A48</f>
        <v>比较价格（元/平方米）</v>
      </c>
      <c r="Q48" s="3683"/>
      <c r="R48" s="3799">
        <f>IF(F1="售价",ROUND(PRODUCT(R47,AA7:AA46),0),ROUND(PRODUCT(R47,AA7:AA46),1))</f>
        <v>37348</v>
      </c>
      <c r="S48" s="3799"/>
      <c r="T48" s="3799">
        <f>IF(F1="售价",ROUND(PRODUCT(T47,AB7:AB46),0),ROUND(PRODUCT(T47,AB7:AB46),1))</f>
        <v>35912</v>
      </c>
      <c r="U48" s="3799"/>
      <c r="V48" s="3799">
        <f>IF(F1="售价",ROUND(PRODUCT(V47,AC7:AC46),0),ROUND(PRODUCT(V47,AC7:AC46),1))</f>
        <v>36616</v>
      </c>
      <c r="W48" s="3799"/>
      <c r="X48" s="1452"/>
      <c r="Y48" s="1452"/>
      <c r="Z48" s="1452"/>
      <c r="AA48" s="1452"/>
      <c r="AB48" s="1452"/>
      <c r="AC48" s="1452"/>
    </row>
    <row r="49" spans="1:29" ht="15" thickBot="1">
      <c r="A49" s="596" t="s">
        <v>2637</v>
      </c>
      <c r="B49" s="597"/>
      <c r="C49" s="2400">
        <f>R49</f>
        <v>36625</v>
      </c>
      <c r="D49" s="2400"/>
      <c r="E49" s="2400"/>
      <c r="F49" s="2400"/>
      <c r="G49" s="2400"/>
      <c r="H49" s="2400"/>
      <c r="I49" s="2400"/>
      <c r="J49" s="2400"/>
      <c r="K49" s="1493"/>
      <c r="L49" s="1980"/>
      <c r="M49" s="1981"/>
      <c r="N49" s="1981"/>
      <c r="O49" s="1981"/>
      <c r="P49" s="3689" t="str">
        <f>A49</f>
        <v>估价对象XX用房的比较价格（楼面单价，元/平方米）</v>
      </c>
      <c r="Q49" s="3690"/>
      <c r="R49" s="3798">
        <f>IF(F1="售价",ROUND(IF(D48="简单平均",AVERAGE(R48:V48),R48*F48+T48*H48+V48*J48),0),ROUND(IF(D48="简单平均",AVERAGE(R48:V48),R48*F48+T48*H48+V48*J48),1))</f>
        <v>36625</v>
      </c>
      <c r="S49" s="3798"/>
      <c r="T49" s="3798"/>
      <c r="U49" s="3798"/>
      <c r="V49" s="3798"/>
      <c r="W49" s="3798"/>
      <c r="X49" s="1452"/>
      <c r="Y49" s="1452"/>
      <c r="Z49" s="1452"/>
      <c r="AA49" s="1452"/>
      <c r="AB49" s="1452"/>
      <c r="AC49" s="1452"/>
    </row>
    <row r="50" spans="1:29">
      <c r="A50" s="3122"/>
      <c r="B50" s="3122"/>
      <c r="C50" s="3122"/>
      <c r="D50" s="3122"/>
      <c r="E50" s="3122">
        <v>2010</v>
      </c>
      <c r="F50" s="3122"/>
      <c r="G50" s="3487">
        <v>2010</v>
      </c>
      <c r="H50" s="3122"/>
      <c r="I50" s="3122">
        <v>2004</v>
      </c>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0.12455820927492778</v>
      </c>
      <c r="F52" s="602" t="str">
        <f>IF(OR(E52&gt;=0.3,E52&lt;=-0.3),"超过30%","")</f>
        <v/>
      </c>
      <c r="G52" s="601">
        <f>IF(G47&lt;G48,G48/G47-1,G47/G48-1)</f>
        <v>0.16952550679438638</v>
      </c>
      <c r="H52" s="602" t="str">
        <f>IF(OR(G52&gt;=0.3,G52&lt;=-0.3),"超过30%","")</f>
        <v/>
      </c>
      <c r="I52" s="601">
        <f>IF(I47&lt;I48,I48/I47-1,I47/I48-1)</f>
        <v>9.2418614813196465E-2</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3.9986633994208098E-2</v>
      </c>
      <c r="F53" s="602" t="str">
        <f>IF(OR(E53&gt;=0.2,E53&lt;=-0.2),"超过20%","")</f>
        <v/>
      </c>
      <c r="G53" s="601">
        <f>IF(G48&lt;I48,I48/G48-1,G48/I48-1)</f>
        <v>1.9603475161505957E-2</v>
      </c>
      <c r="H53" s="602" t="str">
        <f>IF(OR(G53&gt;=0.2,G53&lt;=-0.2),"超过20%","")</f>
        <v/>
      </c>
      <c r="I53" s="601">
        <f>IF(I48&lt;E48,E48/I48-1,I48/E48-1)</f>
        <v>1.9991260651081477E-2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0</v>
      </c>
      <c r="F54" s="602" t="str">
        <f>IF(OR(E54&gt;=0.3,E54&lt;=-0.3),"超过30%","")</f>
        <v/>
      </c>
      <c r="G54" s="601">
        <f>IF(G47&lt;I47,I47/G47-1,G47/I47-1)</f>
        <v>5.0000000000000044E-2</v>
      </c>
      <c r="H54" s="602" t="str">
        <f>IF(OR(G54&gt;=0.3,G54&lt;=-0.3),"超过30%","")</f>
        <v/>
      </c>
      <c r="I54" s="601">
        <f>IF(I47&lt;E47,E47/I47-1,I47/E47-1)</f>
        <v>5.0000000000000044E-2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2.2"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4.4">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4.4">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4.4"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ht="14.4">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4.4"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4.4"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4.4"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4.4"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4.4"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4.4"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4.4"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4.4"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ht="14.4">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4.4"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4.4"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4.4"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4.4"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4.4"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4.4"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4.4"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4.4"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4.4"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4.4"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4.4"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4.4"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ht="14.4">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28.2"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100000</v>
      </c>
      <c r="F103" s="705">
        <v>150000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4.4"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4.4" thickBot="1">
      <c r="A113" s="662"/>
      <c r="B113" s="653"/>
      <c r="C113" s="687">
        <v>100</v>
      </c>
      <c r="D113" s="654">
        <f>C113+$K37</f>
        <v>105</v>
      </c>
      <c r="E113" s="654">
        <f>D113+$K37</f>
        <v>110</v>
      </c>
      <c r="F113" s="654">
        <f>E113+$K37</f>
        <v>115</v>
      </c>
      <c r="G113" s="654">
        <f>F113+$K37</f>
        <v>120</v>
      </c>
      <c r="H113" s="654">
        <f>G113+$K37</f>
        <v>125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9.4"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4.4"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4.4"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4.4"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4.4"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4.4"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4.4"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4.4"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ht="15.6">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ht="15.6">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6">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6">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6">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6">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6.2"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ht="14.4">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ht="14.4">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4.4">
      <c r="A4" s="489" t="s">
        <v>504</v>
      </c>
      <c r="B4" s="490"/>
      <c r="C4" s="3691" t="s">
        <v>505</v>
      </c>
      <c r="D4" s="3692"/>
      <c r="E4" s="3713" t="s">
        <v>506</v>
      </c>
      <c r="F4" s="3714"/>
      <c r="G4" s="3691" t="s">
        <v>507</v>
      </c>
      <c r="H4" s="3692"/>
      <c r="I4" s="3691" t="s">
        <v>508</v>
      </c>
      <c r="J4" s="3692"/>
      <c r="K4" s="491" t="s">
        <v>509</v>
      </c>
      <c r="L4" s="1969"/>
      <c r="M4" s="1970"/>
      <c r="N4" s="1970"/>
      <c r="O4" s="1970"/>
      <c r="P4" s="3693" t="s">
        <v>510</v>
      </c>
      <c r="Q4" s="3694"/>
      <c r="R4" s="3677" t="s">
        <v>506</v>
      </c>
      <c r="S4" s="3678"/>
      <c r="T4" s="3677" t="s">
        <v>507</v>
      </c>
      <c r="U4" s="3678"/>
      <c r="V4" s="3699" t="s">
        <v>508</v>
      </c>
      <c r="W4" s="3699"/>
      <c r="X4" s="1457"/>
      <c r="Y4" s="3677" t="s">
        <v>510</v>
      </c>
      <c r="Z4" s="3678"/>
      <c r="AA4" s="3672" t="s">
        <v>506</v>
      </c>
      <c r="AB4" s="3699" t="s">
        <v>507</v>
      </c>
      <c r="AC4" s="3672" t="s">
        <v>508</v>
      </c>
    </row>
    <row r="5" spans="1:29">
      <c r="A5" s="492"/>
      <c r="B5" s="493"/>
      <c r="C5" s="3702" t="s">
        <v>2631</v>
      </c>
      <c r="D5" s="3703"/>
      <c r="E5" s="3715" t="s">
        <v>2632</v>
      </c>
      <c r="F5" s="3716"/>
      <c r="G5" s="3702" t="s">
        <v>2633</v>
      </c>
      <c r="H5" s="3703"/>
      <c r="I5" s="3702" t="s">
        <v>2634</v>
      </c>
      <c r="J5" s="3703"/>
      <c r="K5" s="491"/>
      <c r="L5" s="1969"/>
      <c r="M5" s="1970"/>
      <c r="N5" s="1970"/>
      <c r="O5" s="1970"/>
      <c r="P5" s="3695"/>
      <c r="Q5" s="3696"/>
      <c r="R5" s="3679"/>
      <c r="S5" s="3680"/>
      <c r="T5" s="3679"/>
      <c r="U5" s="3680"/>
      <c r="V5" s="3699"/>
      <c r="W5" s="3699"/>
      <c r="X5" s="1457"/>
      <c r="Y5" s="3679"/>
      <c r="Z5" s="3680"/>
      <c r="AA5" s="3673"/>
      <c r="AB5" s="3699"/>
      <c r="AC5" s="3673"/>
    </row>
    <row r="6" spans="1:29" ht="15" thickBot="1">
      <c r="A6" s="494"/>
      <c r="B6" s="495"/>
      <c r="C6" s="3700" t="s">
        <v>2635</v>
      </c>
      <c r="D6" s="3701"/>
      <c r="E6" s="3717" t="s">
        <v>2635</v>
      </c>
      <c r="F6" s="3718"/>
      <c r="G6" s="3700" t="s">
        <v>2635</v>
      </c>
      <c r="H6" s="3701"/>
      <c r="I6" s="3700" t="s">
        <v>2635</v>
      </c>
      <c r="J6" s="3701"/>
      <c r="K6" s="491" t="s">
        <v>511</v>
      </c>
      <c r="L6" s="1969"/>
      <c r="M6" s="1970"/>
      <c r="N6" s="1970"/>
      <c r="O6" s="1970"/>
      <c r="P6" s="3697"/>
      <c r="Q6" s="3698"/>
      <c r="R6" s="3679"/>
      <c r="S6" s="3680"/>
      <c r="T6" s="3681"/>
      <c r="U6" s="3682"/>
      <c r="V6" s="3699"/>
      <c r="W6" s="3699"/>
      <c r="X6" s="1457"/>
      <c r="Y6" s="3681"/>
      <c r="Z6" s="3682"/>
      <c r="AA6" s="3674"/>
      <c r="AB6" s="3699"/>
      <c r="AC6" s="3674"/>
    </row>
    <row r="7" spans="1:29" s="1166" customFormat="1" ht="15" thickBot="1">
      <c r="A7" s="2551"/>
      <c r="B7" s="2558" t="s">
        <v>512</v>
      </c>
      <c r="C7" s="496">
        <f>'数据-取费表'!B2</f>
        <v>44756</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75" t="s">
        <v>513</v>
      </c>
      <c r="Q7" s="3684"/>
      <c r="R7" s="1458" t="s">
        <v>8</v>
      </c>
      <c r="S7" s="1459">
        <f t="shared" ref="S7:S15" si="0">F7</f>
        <v>0</v>
      </c>
      <c r="T7" s="1458" t="s">
        <v>8</v>
      </c>
      <c r="U7" s="1459">
        <f t="shared" ref="U7:U15" si="1">H7</f>
        <v>0</v>
      </c>
      <c r="V7" s="1458" t="s">
        <v>8</v>
      </c>
      <c r="W7" s="1459">
        <f t="shared" ref="W7:W15" si="2">J7</f>
        <v>0</v>
      </c>
      <c r="X7" s="1460"/>
      <c r="Y7" s="3675" t="s">
        <v>513</v>
      </c>
      <c r="Z7" s="3676"/>
      <c r="AA7" s="1461" t="e">
        <f>D7/F7</f>
        <v>#DIV/0!</v>
      </c>
      <c r="AB7" s="1461" t="e">
        <f>D7/H7</f>
        <v>#DIV/0!</v>
      </c>
      <c r="AC7" s="1461" t="e">
        <f>D7/J7</f>
        <v>#DIV/0!</v>
      </c>
    </row>
    <row r="8" spans="1:29" s="1166" customFormat="1" ht="1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75" t="s">
        <v>516</v>
      </c>
      <c r="Q8" s="3676"/>
      <c r="R8" s="1458" t="s">
        <v>8</v>
      </c>
      <c r="S8" s="1459">
        <f t="shared" si="0"/>
        <v>0</v>
      </c>
      <c r="T8" s="1458" t="s">
        <v>8</v>
      </c>
      <c r="U8" s="1459">
        <f t="shared" si="1"/>
        <v>0</v>
      </c>
      <c r="V8" s="1458" t="s">
        <v>8</v>
      </c>
      <c r="W8" s="1459">
        <f t="shared" si="2"/>
        <v>0</v>
      </c>
      <c r="X8" s="1460"/>
      <c r="Y8" s="3675" t="s">
        <v>516</v>
      </c>
      <c r="Z8" s="3676"/>
      <c r="AA8" s="1461" t="e">
        <f t="shared" ref="AA8:AA46" si="3">D8/F8</f>
        <v>#DIV/0!</v>
      </c>
      <c r="AB8" s="1461" t="e">
        <f t="shared" ref="AB8:AB46" si="4">D8/H8</f>
        <v>#DIV/0!</v>
      </c>
      <c r="AC8" s="1461" t="e">
        <f t="shared" ref="AC8:AC46" si="5">D8/J8</f>
        <v>#DIV/0!</v>
      </c>
    </row>
    <row r="9" spans="1:29" s="1166" customFormat="1" ht="14.4">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83" t="s">
        <v>518</v>
      </c>
      <c r="Q9" s="1097" t="str">
        <f t="shared" ref="Q9:Q15" si="6">B9</f>
        <v>用途</v>
      </c>
      <c r="R9" s="1458" t="s">
        <v>8</v>
      </c>
      <c r="S9" s="1459">
        <f t="shared" si="0"/>
        <v>100</v>
      </c>
      <c r="T9" s="1458" t="s">
        <v>8</v>
      </c>
      <c r="U9" s="1459">
        <f t="shared" si="1"/>
        <v>100</v>
      </c>
      <c r="V9" s="1458" t="s">
        <v>8</v>
      </c>
      <c r="W9" s="1459">
        <f t="shared" si="2"/>
        <v>100</v>
      </c>
      <c r="X9" s="1460"/>
      <c r="Y9" s="3631" t="s">
        <v>519</v>
      </c>
      <c r="Z9" s="1096" t="str">
        <f t="shared" ref="Z9:Z15" si="7">Q9</f>
        <v>用途</v>
      </c>
      <c r="AA9" s="1461">
        <f t="shared" si="3"/>
        <v>1</v>
      </c>
      <c r="AB9" s="1461">
        <f t="shared" si="4"/>
        <v>1</v>
      </c>
      <c r="AC9" s="1461">
        <f t="shared" si="5"/>
        <v>1</v>
      </c>
    </row>
    <row r="10" spans="1:29" s="1247" customFormat="1" ht="28.8">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83"/>
      <c r="Q10" s="1097" t="str">
        <f t="shared" si="6"/>
        <v>土地使用年限（年）</v>
      </c>
      <c r="R10" s="1458" t="s">
        <v>8</v>
      </c>
      <c r="S10" s="1459">
        <f t="shared" si="0"/>
        <v>100</v>
      </c>
      <c r="T10" s="1458" t="s">
        <v>8</v>
      </c>
      <c r="U10" s="1459">
        <f t="shared" si="1"/>
        <v>100</v>
      </c>
      <c r="V10" s="1458" t="s">
        <v>8</v>
      </c>
      <c r="W10" s="1459">
        <f t="shared" si="2"/>
        <v>100</v>
      </c>
      <c r="X10" s="1460"/>
      <c r="Y10" s="3631"/>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83"/>
      <c r="Q11" s="1097" t="str">
        <f t="shared" si="6"/>
        <v>容积率</v>
      </c>
      <c r="R11" s="1458" t="s">
        <v>8</v>
      </c>
      <c r="S11" s="1459" t="e">
        <f t="shared" si="0"/>
        <v>#N/A</v>
      </c>
      <c r="T11" s="1458" t="s">
        <v>8</v>
      </c>
      <c r="U11" s="1459" t="e">
        <f t="shared" si="1"/>
        <v>#N/A</v>
      </c>
      <c r="V11" s="1458" t="s">
        <v>8</v>
      </c>
      <c r="W11" s="1459" t="e">
        <f t="shared" si="2"/>
        <v>#N/A</v>
      </c>
      <c r="X11" s="1460"/>
      <c r="Y11" s="363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83"/>
      <c r="Q12" s="1097">
        <f t="shared" si="6"/>
        <v>111</v>
      </c>
      <c r="R12" s="1458" t="s">
        <v>8</v>
      </c>
      <c r="S12" s="1459">
        <f t="shared" si="0"/>
        <v>100</v>
      </c>
      <c r="T12" s="1458" t="s">
        <v>8</v>
      </c>
      <c r="U12" s="1459">
        <f t="shared" si="1"/>
        <v>100</v>
      </c>
      <c r="V12" s="1458" t="s">
        <v>8</v>
      </c>
      <c r="W12" s="1459">
        <f t="shared" si="2"/>
        <v>100</v>
      </c>
      <c r="X12" s="1460"/>
      <c r="Y12" s="3631"/>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83"/>
      <c r="Q13" s="1097">
        <f t="shared" si="6"/>
        <v>111</v>
      </c>
      <c r="R13" s="1458" t="s">
        <v>8</v>
      </c>
      <c r="S13" s="1459">
        <f t="shared" si="0"/>
        <v>100</v>
      </c>
      <c r="T13" s="1458" t="s">
        <v>8</v>
      </c>
      <c r="U13" s="1459">
        <f t="shared" si="1"/>
        <v>100</v>
      </c>
      <c r="V13" s="1458" t="s">
        <v>8</v>
      </c>
      <c r="W13" s="1459">
        <f t="shared" si="2"/>
        <v>100</v>
      </c>
      <c r="X13" s="1460"/>
      <c r="Y13" s="3631"/>
      <c r="Z13" s="1096">
        <f t="shared" si="7"/>
        <v>111</v>
      </c>
      <c r="AA13" s="1461">
        <f t="shared" si="3"/>
        <v>1</v>
      </c>
      <c r="AB13" s="1461">
        <f t="shared" si="4"/>
        <v>1</v>
      </c>
      <c r="AC13" s="1461">
        <f t="shared" si="5"/>
        <v>1</v>
      </c>
    </row>
    <row r="14" spans="1:29" ht="15.6"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83"/>
      <c r="Q14" s="1097">
        <f t="shared" si="6"/>
        <v>111</v>
      </c>
      <c r="R14" s="1458" t="s">
        <v>8</v>
      </c>
      <c r="S14" s="1459">
        <f t="shared" si="0"/>
        <v>100</v>
      </c>
      <c r="T14" s="1458" t="s">
        <v>8</v>
      </c>
      <c r="U14" s="1459">
        <f t="shared" si="1"/>
        <v>100</v>
      </c>
      <c r="V14" s="1458" t="s">
        <v>8</v>
      </c>
      <c r="W14" s="1459">
        <f t="shared" si="2"/>
        <v>100</v>
      </c>
      <c r="X14" s="1460"/>
      <c r="Y14" s="3631"/>
      <c r="Z14" s="1096">
        <f t="shared" si="7"/>
        <v>111</v>
      </c>
      <c r="AA14" s="1461">
        <f t="shared" si="3"/>
        <v>1</v>
      </c>
      <c r="AB14" s="1461">
        <f t="shared" si="4"/>
        <v>1</v>
      </c>
      <c r="AC14" s="1461">
        <f t="shared" si="5"/>
        <v>1</v>
      </c>
    </row>
    <row r="15" spans="1:29" ht="82.8">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685" t="s">
        <v>523</v>
      </c>
      <c r="Q15" s="1462" t="str">
        <f t="shared" si="6"/>
        <v>商业繁华度</v>
      </c>
      <c r="R15" s="1463" t="s">
        <v>8</v>
      </c>
      <c r="S15" s="1464">
        <f t="shared" si="0"/>
        <v>100</v>
      </c>
      <c r="T15" s="1463" t="s">
        <v>8</v>
      </c>
      <c r="U15" s="1464">
        <f t="shared" si="1"/>
        <v>100</v>
      </c>
      <c r="V15" s="1463" t="s">
        <v>8</v>
      </c>
      <c r="W15" s="1464">
        <f t="shared" si="2"/>
        <v>100</v>
      </c>
      <c r="X15" s="1457"/>
      <c r="Y15" s="3685"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86"/>
      <c r="Q16" s="1462"/>
      <c r="R16" s="1463"/>
      <c r="S16" s="1464"/>
      <c r="T16" s="1463"/>
      <c r="U16" s="1464"/>
      <c r="V16" s="1463"/>
      <c r="W16" s="1464"/>
      <c r="X16" s="1457"/>
      <c r="Y16" s="3686"/>
      <c r="Z16" s="1465"/>
      <c r="AA16" s="1466">
        <v>1</v>
      </c>
      <c r="AB16" s="1466">
        <v>1</v>
      </c>
      <c r="AC16" s="1466">
        <v>1</v>
      </c>
    </row>
    <row r="17" spans="1:29" ht="96.6">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686"/>
      <c r="Q17" s="1462" t="str">
        <f>B17</f>
        <v>交通便捷度</v>
      </c>
      <c r="R17" s="1463" t="s">
        <v>8</v>
      </c>
      <c r="S17" s="1464">
        <f>F17</f>
        <v>100</v>
      </c>
      <c r="T17" s="1463" t="s">
        <v>8</v>
      </c>
      <c r="U17" s="1464">
        <f>H17</f>
        <v>100</v>
      </c>
      <c r="V17" s="1463" t="s">
        <v>8</v>
      </c>
      <c r="W17" s="1464">
        <f>J17</f>
        <v>100</v>
      </c>
      <c r="X17" s="1457"/>
      <c r="Y17" s="3686"/>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86"/>
      <c r="Q18" s="1462"/>
      <c r="R18" s="1463"/>
      <c r="S18" s="1464"/>
      <c r="T18" s="1463"/>
      <c r="U18" s="1464"/>
      <c r="V18" s="1463"/>
      <c r="W18" s="1464"/>
      <c r="X18" s="1457"/>
      <c r="Y18" s="3686"/>
      <c r="Z18" s="1465"/>
      <c r="AA18" s="1466">
        <v>1</v>
      </c>
      <c r="AB18" s="1466">
        <v>1</v>
      </c>
      <c r="AC18" s="1466">
        <v>1</v>
      </c>
    </row>
    <row r="19" spans="1:29" ht="41.4">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686"/>
      <c r="Q19" s="1462" t="str">
        <f>B19</f>
        <v>公共配套设施</v>
      </c>
      <c r="R19" s="1463" t="s">
        <v>8</v>
      </c>
      <c r="S19" s="1464">
        <f>F19</f>
        <v>100</v>
      </c>
      <c r="T19" s="1463" t="s">
        <v>8</v>
      </c>
      <c r="U19" s="1464">
        <f>H19</f>
        <v>100</v>
      </c>
      <c r="V19" s="1463" t="s">
        <v>8</v>
      </c>
      <c r="W19" s="1464">
        <f>J19</f>
        <v>100</v>
      </c>
      <c r="X19" s="1457"/>
      <c r="Y19" s="3686"/>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686"/>
      <c r="Q20" s="1462"/>
      <c r="R20" s="1463"/>
      <c r="S20" s="1464"/>
      <c r="T20" s="1463"/>
      <c r="U20" s="1464"/>
      <c r="V20" s="1463"/>
      <c r="W20" s="1464"/>
      <c r="X20" s="1457"/>
      <c r="Y20" s="3686"/>
      <c r="Z20" s="1465"/>
      <c r="AA20" s="1466">
        <v>1</v>
      </c>
      <c r="AB20" s="1466">
        <v>1</v>
      </c>
      <c r="AC20" s="1466">
        <v>1</v>
      </c>
    </row>
    <row r="21" spans="1:29" ht="41.4">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686"/>
      <c r="Q21" s="2351" t="str">
        <f>B21</f>
        <v>基础设施水平</v>
      </c>
      <c r="R21" s="1463" t="s">
        <v>8</v>
      </c>
      <c r="S21" s="1464">
        <f>F21</f>
        <v>100</v>
      </c>
      <c r="T21" s="1463" t="s">
        <v>8</v>
      </c>
      <c r="U21" s="1464">
        <f>H21</f>
        <v>100</v>
      </c>
      <c r="V21" s="1463" t="s">
        <v>8</v>
      </c>
      <c r="W21" s="1464">
        <f>J21</f>
        <v>100</v>
      </c>
      <c r="X21" s="2353"/>
      <c r="Y21" s="3686"/>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686"/>
      <c r="Q22" s="2351"/>
      <c r="R22" s="1463"/>
      <c r="S22" s="1464"/>
      <c r="T22" s="1463"/>
      <c r="U22" s="1464"/>
      <c r="V22" s="1463"/>
      <c r="W22" s="1464"/>
      <c r="X22" s="2353"/>
      <c r="Y22" s="3686"/>
      <c r="Z22" s="2352"/>
      <c r="AA22" s="1466">
        <v>1</v>
      </c>
      <c r="AB22" s="1466">
        <v>1</v>
      </c>
      <c r="AC22" s="1466">
        <v>1</v>
      </c>
    </row>
    <row r="23" spans="1:29" ht="55.2">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686"/>
      <c r="Q23" s="1462" t="str">
        <f>B23</f>
        <v>自然及人文环境</v>
      </c>
      <c r="R23" s="1463" t="s">
        <v>8</v>
      </c>
      <c r="S23" s="1464">
        <f>F23</f>
        <v>100</v>
      </c>
      <c r="T23" s="1463" t="s">
        <v>8</v>
      </c>
      <c r="U23" s="1464">
        <f>H23</f>
        <v>100</v>
      </c>
      <c r="V23" s="1463" t="s">
        <v>8</v>
      </c>
      <c r="W23" s="1464">
        <f>J23</f>
        <v>100</v>
      </c>
      <c r="X23" s="1457"/>
      <c r="Y23" s="3686"/>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686"/>
      <c r="Q24" s="1462"/>
      <c r="R24" s="1463"/>
      <c r="S24" s="1464"/>
      <c r="T24" s="1463"/>
      <c r="U24" s="1464"/>
      <c r="V24" s="1463"/>
      <c r="W24" s="1464"/>
      <c r="X24" s="1457"/>
      <c r="Y24" s="3686"/>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86"/>
      <c r="Q25" s="1462" t="str">
        <f t="shared" ref="Q25:Q46" si="11">B25</f>
        <v>临街状况</v>
      </c>
      <c r="R25" s="1463" t="s">
        <v>8</v>
      </c>
      <c r="S25" s="1464">
        <f>F25</f>
        <v>100</v>
      </c>
      <c r="T25" s="1463" t="s">
        <v>8</v>
      </c>
      <c r="U25" s="1464">
        <f>H25</f>
        <v>100</v>
      </c>
      <c r="V25" s="1463" t="s">
        <v>8</v>
      </c>
      <c r="W25" s="1464">
        <f>J25</f>
        <v>100</v>
      </c>
      <c r="X25" s="1457"/>
      <c r="Y25" s="3686"/>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86"/>
      <c r="Q26" s="1462" t="str">
        <f t="shared" si="11"/>
        <v>平面位置/可视性</v>
      </c>
      <c r="R26" s="1463" t="s">
        <v>8</v>
      </c>
      <c r="S26" s="1464">
        <f>F26</f>
        <v>100</v>
      </c>
      <c r="T26" s="1463" t="s">
        <v>8</v>
      </c>
      <c r="U26" s="1464">
        <f>H26</f>
        <v>100</v>
      </c>
      <c r="V26" s="1463" t="s">
        <v>8</v>
      </c>
      <c r="W26" s="1464">
        <f>J26</f>
        <v>100</v>
      </c>
      <c r="X26" s="1457"/>
      <c r="Y26" s="3686"/>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686"/>
      <c r="Q27" s="1097" t="str">
        <f t="shared" si="11"/>
        <v>人流量</v>
      </c>
      <c r="R27" s="1458" t="s">
        <v>8</v>
      </c>
      <c r="S27" s="1459">
        <f>F27</f>
        <v>100</v>
      </c>
      <c r="T27" s="1458" t="s">
        <v>8</v>
      </c>
      <c r="U27" s="1459">
        <f>H27</f>
        <v>100</v>
      </c>
      <c r="V27" s="1458" t="s">
        <v>8</v>
      </c>
      <c r="W27" s="1459">
        <f>J27</f>
        <v>100</v>
      </c>
      <c r="X27" s="1460"/>
      <c r="Y27" s="3686"/>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86"/>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86"/>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86"/>
      <c r="Q29" s="1462">
        <f t="shared" si="11"/>
        <v>111</v>
      </c>
      <c r="R29" s="1463" t="s">
        <v>8</v>
      </c>
      <c r="S29" s="1464">
        <f t="shared" si="12"/>
        <v>100</v>
      </c>
      <c r="T29" s="1463" t="s">
        <v>8</v>
      </c>
      <c r="U29" s="1464">
        <f t="shared" si="13"/>
        <v>100</v>
      </c>
      <c r="V29" s="1463" t="s">
        <v>8</v>
      </c>
      <c r="W29" s="1464">
        <f t="shared" si="14"/>
        <v>100</v>
      </c>
      <c r="X29" s="1457"/>
      <c r="Y29" s="3686"/>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86"/>
      <c r="Q30" s="1462">
        <f t="shared" si="11"/>
        <v>111</v>
      </c>
      <c r="R30" s="1463" t="s">
        <v>8</v>
      </c>
      <c r="S30" s="1464">
        <f t="shared" si="12"/>
        <v>100</v>
      </c>
      <c r="T30" s="1463" t="s">
        <v>8</v>
      </c>
      <c r="U30" s="1464">
        <f t="shared" si="13"/>
        <v>100</v>
      </c>
      <c r="V30" s="1463" t="s">
        <v>8</v>
      </c>
      <c r="W30" s="1464">
        <f t="shared" si="14"/>
        <v>100</v>
      </c>
      <c r="X30" s="1457"/>
      <c r="Y30" s="3686"/>
      <c r="Z30" s="1465">
        <f t="shared" si="15"/>
        <v>111</v>
      </c>
      <c r="AA30" s="1466">
        <f t="shared" si="3"/>
        <v>1</v>
      </c>
      <c r="AB30" s="1466">
        <f t="shared" si="4"/>
        <v>1</v>
      </c>
      <c r="AC30" s="1466">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86"/>
      <c r="Q31" s="1462">
        <f t="shared" si="11"/>
        <v>111</v>
      </c>
      <c r="R31" s="1463" t="s">
        <v>8</v>
      </c>
      <c r="S31" s="1464">
        <f t="shared" si="12"/>
        <v>100</v>
      </c>
      <c r="T31" s="1463" t="s">
        <v>8</v>
      </c>
      <c r="U31" s="1464">
        <f t="shared" si="13"/>
        <v>100</v>
      </c>
      <c r="V31" s="1463" t="s">
        <v>8</v>
      </c>
      <c r="W31" s="1464">
        <f t="shared" si="14"/>
        <v>100</v>
      </c>
      <c r="X31" s="1457"/>
      <c r="Y31" s="3686"/>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87" t="s">
        <v>533</v>
      </c>
      <c r="Q32" s="1462" t="str">
        <f t="shared" si="11"/>
        <v>商业类型</v>
      </c>
      <c r="R32" s="1463" t="s">
        <v>8</v>
      </c>
      <c r="S32" s="1464">
        <f t="shared" si="12"/>
        <v>100</v>
      </c>
      <c r="T32" s="1463" t="s">
        <v>8</v>
      </c>
      <c r="U32" s="1464">
        <f t="shared" si="13"/>
        <v>100</v>
      </c>
      <c r="V32" s="1463" t="s">
        <v>8</v>
      </c>
      <c r="W32" s="1464">
        <f t="shared" si="14"/>
        <v>100</v>
      </c>
      <c r="X32" s="1457"/>
      <c r="Y32" s="3688"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88"/>
      <c r="Q33" s="1491" t="str">
        <f t="shared" si="11"/>
        <v>项目建筑规模</v>
      </c>
      <c r="R33" s="1467" t="s">
        <v>8</v>
      </c>
      <c r="S33" s="1468" t="e">
        <f t="shared" si="12"/>
        <v>#N/A</v>
      </c>
      <c r="T33" s="1467" t="s">
        <v>8</v>
      </c>
      <c r="U33" s="1468" t="e">
        <f t="shared" si="13"/>
        <v>#N/A</v>
      </c>
      <c r="V33" s="1467" t="s">
        <v>8</v>
      </c>
      <c r="W33" s="1468" t="e">
        <f t="shared" si="14"/>
        <v>#N/A</v>
      </c>
      <c r="X33" s="1469"/>
      <c r="Y33" s="3688"/>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688"/>
      <c r="Q34" s="1462" t="str">
        <f t="shared" si="11"/>
        <v>建筑结构</v>
      </c>
      <c r="R34" s="1463" t="s">
        <v>8</v>
      </c>
      <c r="S34" s="1464">
        <f t="shared" si="12"/>
        <v>100</v>
      </c>
      <c r="T34" s="1463" t="s">
        <v>8</v>
      </c>
      <c r="U34" s="1464">
        <f t="shared" si="13"/>
        <v>100</v>
      </c>
      <c r="V34" s="1463" t="s">
        <v>8</v>
      </c>
      <c r="W34" s="1464">
        <f t="shared" si="14"/>
        <v>100</v>
      </c>
      <c r="X34" s="1457"/>
      <c r="Y34" s="3688"/>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88"/>
      <c r="Q35" s="1462" t="str">
        <f t="shared" si="11"/>
        <v>公共部分装修</v>
      </c>
      <c r="R35" s="1463" t="s">
        <v>8</v>
      </c>
      <c r="S35" s="1464">
        <f t="shared" si="12"/>
        <v>100</v>
      </c>
      <c r="T35" s="1463" t="s">
        <v>8</v>
      </c>
      <c r="U35" s="1464">
        <f t="shared" si="13"/>
        <v>100</v>
      </c>
      <c r="V35" s="1463" t="s">
        <v>8</v>
      </c>
      <c r="W35" s="1464">
        <f t="shared" si="14"/>
        <v>100</v>
      </c>
      <c r="X35" s="1457"/>
      <c r="Y35" s="3688"/>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688"/>
      <c r="Q36" s="1462" t="str">
        <f t="shared" si="11"/>
        <v>成新度</v>
      </c>
      <c r="R36" s="1463" t="s">
        <v>8</v>
      </c>
      <c r="S36" s="1464" t="e">
        <f t="shared" si="12"/>
        <v>#N/A</v>
      </c>
      <c r="T36" s="1463" t="s">
        <v>8</v>
      </c>
      <c r="U36" s="1464" t="e">
        <f t="shared" si="13"/>
        <v>#N/A</v>
      </c>
      <c r="V36" s="1463" t="s">
        <v>8</v>
      </c>
      <c r="W36" s="1464" t="e">
        <f t="shared" si="14"/>
        <v>#N/A</v>
      </c>
      <c r="X36" s="1457"/>
      <c r="Y36" s="3688"/>
      <c r="Z36" s="1465" t="str">
        <f t="shared" si="15"/>
        <v>成新度</v>
      </c>
      <c r="AA36" s="1466" t="e">
        <f t="shared" si="3"/>
        <v>#N/A</v>
      </c>
      <c r="AB36" s="1466" t="e">
        <f t="shared" si="4"/>
        <v>#N/A</v>
      </c>
      <c r="AC36" s="1466" t="e">
        <f t="shared" si="5"/>
        <v>#N/A</v>
      </c>
    </row>
    <row r="37" spans="1:29" s="1166"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88"/>
      <c r="Q37" s="1097" t="str">
        <f t="shared" si="11"/>
        <v>市政基础设施</v>
      </c>
      <c r="R37" s="1458" t="s">
        <v>8</v>
      </c>
      <c r="S37" s="1459">
        <f t="shared" si="12"/>
        <v>100</v>
      </c>
      <c r="T37" s="1458" t="s">
        <v>8</v>
      </c>
      <c r="U37" s="1459">
        <f t="shared" si="13"/>
        <v>100</v>
      </c>
      <c r="V37" s="1458" t="s">
        <v>8</v>
      </c>
      <c r="W37" s="1459">
        <f t="shared" si="14"/>
        <v>100</v>
      </c>
      <c r="X37" s="1460"/>
      <c r="Y37" s="3688"/>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88" t="s">
        <v>748</v>
      </c>
      <c r="Q38" s="1462" t="str">
        <f t="shared" si="11"/>
        <v>业态</v>
      </c>
      <c r="R38" s="1463" t="s">
        <v>8</v>
      </c>
      <c r="S38" s="1464">
        <f t="shared" si="12"/>
        <v>100</v>
      </c>
      <c r="T38" s="1463" t="s">
        <v>8</v>
      </c>
      <c r="U38" s="1464">
        <f t="shared" si="13"/>
        <v>100</v>
      </c>
      <c r="V38" s="1463" t="s">
        <v>8</v>
      </c>
      <c r="W38" s="1464">
        <f t="shared" si="14"/>
        <v>100</v>
      </c>
      <c r="X38" s="1457"/>
      <c r="Y38" s="3688"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88"/>
      <c r="Q39" s="1462" t="str">
        <f t="shared" si="11"/>
        <v>层高</v>
      </c>
      <c r="R39" s="1463" t="s">
        <v>8</v>
      </c>
      <c r="S39" s="1464">
        <f t="shared" si="12"/>
        <v>100</v>
      </c>
      <c r="T39" s="1463" t="s">
        <v>8</v>
      </c>
      <c r="U39" s="1464">
        <f t="shared" si="13"/>
        <v>100</v>
      </c>
      <c r="V39" s="1463" t="s">
        <v>8</v>
      </c>
      <c r="W39" s="1464">
        <f t="shared" si="14"/>
        <v>100</v>
      </c>
      <c r="X39" s="1457"/>
      <c r="Y39" s="3688"/>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688"/>
      <c r="Q40" s="1462" t="str">
        <f t="shared" si="11"/>
        <v>单套建筑面积</v>
      </c>
      <c r="R40" s="1463" t="s">
        <v>8</v>
      </c>
      <c r="S40" s="1464">
        <f t="shared" si="12"/>
        <v>100</v>
      </c>
      <c r="T40" s="1463" t="s">
        <v>8</v>
      </c>
      <c r="U40" s="1464">
        <f t="shared" si="13"/>
        <v>100</v>
      </c>
      <c r="V40" s="1463" t="s">
        <v>8</v>
      </c>
      <c r="W40" s="1464">
        <f t="shared" si="14"/>
        <v>100</v>
      </c>
      <c r="X40" s="1457"/>
      <c r="Y40" s="3688"/>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88"/>
      <c r="Q41" s="1491" t="str">
        <f t="shared" si="11"/>
        <v>进深比</v>
      </c>
      <c r="R41" s="1467" t="s">
        <v>8</v>
      </c>
      <c r="S41" s="1468">
        <f t="shared" si="12"/>
        <v>100</v>
      </c>
      <c r="T41" s="1467" t="s">
        <v>8</v>
      </c>
      <c r="U41" s="1468">
        <f t="shared" si="13"/>
        <v>100</v>
      </c>
      <c r="V41" s="1467" t="s">
        <v>8</v>
      </c>
      <c r="W41" s="1468">
        <f t="shared" si="14"/>
        <v>100</v>
      </c>
      <c r="X41" s="1469"/>
      <c r="Y41" s="3688"/>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88"/>
      <c r="Q42" s="1462" t="str">
        <f t="shared" si="11"/>
        <v>内部装修</v>
      </c>
      <c r="R42" s="1463" t="s">
        <v>8</v>
      </c>
      <c r="S42" s="1464">
        <f t="shared" si="12"/>
        <v>100</v>
      </c>
      <c r="T42" s="1463" t="s">
        <v>8</v>
      </c>
      <c r="U42" s="1464">
        <f t="shared" si="13"/>
        <v>100</v>
      </c>
      <c r="V42" s="1463" t="s">
        <v>8</v>
      </c>
      <c r="W42" s="1464">
        <f t="shared" si="14"/>
        <v>100</v>
      </c>
      <c r="X42" s="1457"/>
      <c r="Y42" s="3688"/>
      <c r="Z42" s="1465" t="str">
        <f t="shared" si="15"/>
        <v>内部装修</v>
      </c>
      <c r="AA42" s="1466">
        <f t="shared" si="3"/>
        <v>1</v>
      </c>
      <c r="AB42" s="1466">
        <f t="shared" si="4"/>
        <v>1</v>
      </c>
      <c r="AC42" s="1466">
        <f t="shared" si="5"/>
        <v>1</v>
      </c>
    </row>
    <row r="43" spans="1:29" ht="28.8">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88"/>
      <c r="Q43" s="1462" t="str">
        <f t="shared" si="11"/>
        <v>内部装修维护情况</v>
      </c>
      <c r="R43" s="1463" t="s">
        <v>8</v>
      </c>
      <c r="S43" s="1464">
        <f t="shared" si="12"/>
        <v>100</v>
      </c>
      <c r="T43" s="1463" t="s">
        <v>8</v>
      </c>
      <c r="U43" s="1464">
        <f t="shared" si="13"/>
        <v>100</v>
      </c>
      <c r="V43" s="1463" t="s">
        <v>8</v>
      </c>
      <c r="W43" s="1464">
        <f t="shared" si="14"/>
        <v>100</v>
      </c>
      <c r="X43" s="1457"/>
      <c r="Y43" s="3688"/>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88"/>
      <c r="Q44" s="1097">
        <f t="shared" si="11"/>
        <v>111</v>
      </c>
      <c r="R44" s="1458" t="s">
        <v>8</v>
      </c>
      <c r="S44" s="1459">
        <f t="shared" si="12"/>
        <v>100</v>
      </c>
      <c r="T44" s="1458" t="s">
        <v>8</v>
      </c>
      <c r="U44" s="1459">
        <f t="shared" si="13"/>
        <v>100</v>
      </c>
      <c r="V44" s="1458" t="s">
        <v>8</v>
      </c>
      <c r="W44" s="1459">
        <f t="shared" si="14"/>
        <v>100</v>
      </c>
      <c r="X44" s="1460"/>
      <c r="Y44" s="3688"/>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88"/>
      <c r="Q45" s="1462">
        <f t="shared" si="11"/>
        <v>111</v>
      </c>
      <c r="R45" s="1463" t="s">
        <v>8</v>
      </c>
      <c r="S45" s="1464">
        <f t="shared" si="12"/>
        <v>100</v>
      </c>
      <c r="T45" s="1463" t="s">
        <v>8</v>
      </c>
      <c r="U45" s="1464">
        <f t="shared" si="13"/>
        <v>100</v>
      </c>
      <c r="V45" s="1463" t="s">
        <v>8</v>
      </c>
      <c r="W45" s="1464">
        <f t="shared" si="14"/>
        <v>100</v>
      </c>
      <c r="X45" s="1457"/>
      <c r="Y45" s="3688"/>
      <c r="Z45" s="1465">
        <f t="shared" si="15"/>
        <v>111</v>
      </c>
      <c r="AA45" s="1466">
        <f t="shared" si="3"/>
        <v>1</v>
      </c>
      <c r="AB45" s="1466">
        <f t="shared" si="4"/>
        <v>1</v>
      </c>
      <c r="AC45" s="1466">
        <f t="shared" si="5"/>
        <v>1</v>
      </c>
    </row>
    <row r="46" spans="1:29" ht="15.6"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00"/>
      <c r="Q46" s="1462">
        <f t="shared" si="11"/>
        <v>111</v>
      </c>
      <c r="R46" s="1463" t="s">
        <v>8</v>
      </c>
      <c r="S46" s="1464">
        <f t="shared" si="12"/>
        <v>100</v>
      </c>
      <c r="T46" s="1463" t="s">
        <v>8</v>
      </c>
      <c r="U46" s="1464">
        <f t="shared" si="13"/>
        <v>100</v>
      </c>
      <c r="V46" s="1463" t="s">
        <v>8</v>
      </c>
      <c r="W46" s="1464">
        <f t="shared" si="14"/>
        <v>100</v>
      </c>
      <c r="X46" s="1457"/>
      <c r="Y46" s="3800"/>
      <c r="Z46" s="1465">
        <f t="shared" si="15"/>
        <v>111</v>
      </c>
      <c r="AA46" s="1466">
        <f t="shared" si="3"/>
        <v>1</v>
      </c>
      <c r="AB46" s="1466">
        <f t="shared" si="4"/>
        <v>1</v>
      </c>
      <c r="AC46" s="1466">
        <f t="shared" si="5"/>
        <v>1</v>
      </c>
    </row>
    <row r="47" spans="1:29" ht="14.4">
      <c r="A47" s="584" t="s">
        <v>718</v>
      </c>
      <c r="B47" s="858"/>
      <c r="C47" s="2392" t="s">
        <v>1</v>
      </c>
      <c r="D47" s="2393"/>
      <c r="E47" s="2394"/>
      <c r="F47" s="2395"/>
      <c r="G47" s="2396"/>
      <c r="H47" s="2397"/>
      <c r="I47" s="2394"/>
      <c r="J47" s="2397"/>
      <c r="K47" s="1496"/>
      <c r="L47" s="1980"/>
      <c r="M47" s="1981"/>
      <c r="N47" s="1970"/>
      <c r="O47" s="1981"/>
      <c r="P47" s="3683" t="str">
        <f>A47</f>
        <v>成交单价（元/平方米）</v>
      </c>
      <c r="Q47" s="3683"/>
      <c r="R47" s="3799">
        <f>E47</f>
        <v>0</v>
      </c>
      <c r="S47" s="3799"/>
      <c r="T47" s="3799">
        <f>G47</f>
        <v>0</v>
      </c>
      <c r="U47" s="3799"/>
      <c r="V47" s="3799">
        <f>I47</f>
        <v>0</v>
      </c>
      <c r="W47" s="3799"/>
      <c r="X47" s="1452"/>
      <c r="Y47" s="1471"/>
      <c r="Z47" s="1452"/>
      <c r="AA47" s="1452"/>
      <c r="AB47" s="1452"/>
      <c r="AC47" s="1452"/>
    </row>
    <row r="48" spans="1:29" ht="15" thickBot="1">
      <c r="A48" s="592"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83" t="str">
        <f>A48</f>
        <v>比较价格（元/平方米）</v>
      </c>
      <c r="Q48" s="3683"/>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1452"/>
      <c r="Y48" s="1452"/>
      <c r="Z48" s="1452"/>
      <c r="AA48" s="1452"/>
      <c r="AB48" s="1452"/>
      <c r="AC48" s="1452"/>
    </row>
    <row r="49" spans="1:29" ht="15" thickBot="1">
      <c r="A49" s="596" t="s">
        <v>2637</v>
      </c>
      <c r="B49" s="597"/>
      <c r="C49" s="2400" t="e">
        <f>R49</f>
        <v>#DIV/0!</v>
      </c>
      <c r="D49" s="2400"/>
      <c r="E49" s="2400"/>
      <c r="F49" s="2400"/>
      <c r="G49" s="2400"/>
      <c r="H49" s="2400"/>
      <c r="I49" s="2400"/>
      <c r="J49" s="2400"/>
      <c r="K49" s="1497"/>
      <c r="L49" s="1980"/>
      <c r="M49" s="1981"/>
      <c r="N49" s="1970"/>
      <c r="O49" s="1981"/>
      <c r="P49" s="3689" t="str">
        <f>A49</f>
        <v>估价对象XX用房的比较价格（楼面单价，元/平方米）</v>
      </c>
      <c r="Q49" s="3690"/>
      <c r="R49" s="3798" t="e">
        <f>IF(F1="售价",ROUND(IF(D48="简单平均",AVERAGE(R48:V48),R48*F48+T48*H48+V48*J48),0),ROUND(IF(D48="简单平均",AVERAGE(R48:V48),R48*F48+T48*H48+V48*J48),1))</f>
        <v>#DIV/0!</v>
      </c>
      <c r="S49" s="3798"/>
      <c r="T49" s="3798"/>
      <c r="U49" s="3798"/>
      <c r="V49" s="3798"/>
      <c r="W49" s="3798"/>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2.2"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4.4">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4.4">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4.4"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ht="14.4">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4.4"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4.4"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4.4"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4.4"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4.4"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4.4"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4.4"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ht="14.4">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4.4"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4.4"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4.4"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4.4"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4.4"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4.4"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4.4"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4.4"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4.4"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4.4"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4.4"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4.4"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ht="14.4">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4.4"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4.4"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4.4"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4.4"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4.4"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4.4"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4.4"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4.4"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2055"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4.4">
      <c r="A4" s="489" t="s">
        <v>504</v>
      </c>
      <c r="B4" s="490"/>
      <c r="C4" s="3691" t="s">
        <v>505</v>
      </c>
      <c r="D4" s="3692"/>
      <c r="E4" s="3713" t="s">
        <v>506</v>
      </c>
      <c r="F4" s="3714"/>
      <c r="G4" s="3691" t="s">
        <v>507</v>
      </c>
      <c r="H4" s="3692"/>
      <c r="I4" s="3691" t="s">
        <v>508</v>
      </c>
      <c r="J4" s="3692"/>
      <c r="K4" s="491" t="s">
        <v>509</v>
      </c>
      <c r="L4" s="1969"/>
      <c r="M4" s="1970"/>
      <c r="N4" s="1970"/>
      <c r="O4" s="1970"/>
      <c r="P4" s="3801" t="s">
        <v>510</v>
      </c>
      <c r="Q4" s="3694"/>
      <c r="R4" s="3677" t="s">
        <v>506</v>
      </c>
      <c r="S4" s="3678"/>
      <c r="T4" s="3677" t="s">
        <v>507</v>
      </c>
      <c r="U4" s="3678"/>
      <c r="V4" s="3699" t="s">
        <v>508</v>
      </c>
      <c r="W4" s="3699"/>
      <c r="X4" s="1457"/>
      <c r="Y4" s="3677" t="s">
        <v>510</v>
      </c>
      <c r="Z4" s="3678"/>
      <c r="AA4" s="3672" t="s">
        <v>506</v>
      </c>
      <c r="AB4" s="3672" t="s">
        <v>507</v>
      </c>
      <c r="AC4" s="3672" t="s">
        <v>508</v>
      </c>
    </row>
    <row r="5" spans="1:29">
      <c r="A5" s="492"/>
      <c r="B5" s="493"/>
      <c r="C5" s="3702" t="s">
        <v>2631</v>
      </c>
      <c r="D5" s="3703"/>
      <c r="E5" s="3715" t="s">
        <v>2632</v>
      </c>
      <c r="F5" s="3716"/>
      <c r="G5" s="3702" t="s">
        <v>2633</v>
      </c>
      <c r="H5" s="3703"/>
      <c r="I5" s="3702" t="s">
        <v>2634</v>
      </c>
      <c r="J5" s="3703"/>
      <c r="K5" s="491"/>
      <c r="L5" s="1969"/>
      <c r="M5" s="1970"/>
      <c r="N5" s="1970"/>
      <c r="O5" s="1970"/>
      <c r="P5" s="3802"/>
      <c r="Q5" s="3696"/>
      <c r="R5" s="3679"/>
      <c r="S5" s="3680"/>
      <c r="T5" s="3679"/>
      <c r="U5" s="3680"/>
      <c r="V5" s="3699"/>
      <c r="W5" s="3699"/>
      <c r="X5" s="1457"/>
      <c r="Y5" s="3679"/>
      <c r="Z5" s="3680"/>
      <c r="AA5" s="3673"/>
      <c r="AB5" s="3673"/>
      <c r="AC5" s="3673"/>
    </row>
    <row r="6" spans="1:29" ht="15" thickBot="1">
      <c r="A6" s="494"/>
      <c r="B6" s="495"/>
      <c r="C6" s="3700" t="s">
        <v>2635</v>
      </c>
      <c r="D6" s="3701"/>
      <c r="E6" s="3717" t="s">
        <v>2635</v>
      </c>
      <c r="F6" s="3718"/>
      <c r="G6" s="3700" t="s">
        <v>2635</v>
      </c>
      <c r="H6" s="3701"/>
      <c r="I6" s="3700" t="s">
        <v>2635</v>
      </c>
      <c r="J6" s="3701"/>
      <c r="K6" s="491" t="s">
        <v>511</v>
      </c>
      <c r="L6" s="1969"/>
      <c r="M6" s="1970"/>
      <c r="N6" s="1970"/>
      <c r="O6" s="1970"/>
      <c r="P6" s="3803"/>
      <c r="Q6" s="3698"/>
      <c r="R6" s="3679"/>
      <c r="S6" s="3680"/>
      <c r="T6" s="3681"/>
      <c r="U6" s="3682"/>
      <c r="V6" s="3699"/>
      <c r="W6" s="3699"/>
      <c r="X6" s="1457"/>
      <c r="Y6" s="3681"/>
      <c r="Z6" s="3682"/>
      <c r="AA6" s="3674"/>
      <c r="AB6" s="3674"/>
      <c r="AC6" s="3674"/>
    </row>
    <row r="7" spans="1:29" s="1166" customFormat="1" ht="15" thickBot="1">
      <c r="A7" s="2551"/>
      <c r="B7" s="2558" t="s">
        <v>512</v>
      </c>
      <c r="C7" s="496">
        <f>'数据-取费表'!B2</f>
        <v>44756</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84" t="s">
        <v>513</v>
      </c>
      <c r="Q7" s="3684"/>
      <c r="R7" s="1458" t="s">
        <v>8</v>
      </c>
      <c r="S7" s="1459">
        <f t="shared" ref="S7:S15" si="0">F7</f>
        <v>0</v>
      </c>
      <c r="T7" s="1458" t="s">
        <v>8</v>
      </c>
      <c r="U7" s="1459">
        <f t="shared" ref="U7:U15" si="1">H7</f>
        <v>0</v>
      </c>
      <c r="V7" s="1458" t="s">
        <v>8</v>
      </c>
      <c r="W7" s="1459">
        <f t="shared" ref="W7:W15" si="2">J7</f>
        <v>0</v>
      </c>
      <c r="X7" s="1460"/>
      <c r="Y7" s="3675" t="s">
        <v>513</v>
      </c>
      <c r="Z7" s="3676"/>
      <c r="AA7" s="1461" t="e">
        <f>D7/F7</f>
        <v>#DIV/0!</v>
      </c>
      <c r="AB7" s="1461" t="e">
        <f>D7/H7</f>
        <v>#DIV/0!</v>
      </c>
      <c r="AC7" s="1461" t="e">
        <f>D7/J7</f>
        <v>#DIV/0!</v>
      </c>
    </row>
    <row r="8" spans="1:29" s="1166" customFormat="1" ht="1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84" t="s">
        <v>516</v>
      </c>
      <c r="Q8" s="3676"/>
      <c r="R8" s="1458" t="s">
        <v>8</v>
      </c>
      <c r="S8" s="1459">
        <f t="shared" si="0"/>
        <v>0</v>
      </c>
      <c r="T8" s="1458" t="s">
        <v>8</v>
      </c>
      <c r="U8" s="1459">
        <f t="shared" si="1"/>
        <v>0</v>
      </c>
      <c r="V8" s="1458" t="s">
        <v>8</v>
      </c>
      <c r="W8" s="1459">
        <f t="shared" si="2"/>
        <v>0</v>
      </c>
      <c r="X8" s="1460"/>
      <c r="Y8" s="3675" t="s">
        <v>516</v>
      </c>
      <c r="Z8" s="3676"/>
      <c r="AA8" s="1461" t="e">
        <f t="shared" ref="AA8:AA47" si="3">D8/F8</f>
        <v>#DIV/0!</v>
      </c>
      <c r="AB8" s="1461" t="e">
        <f t="shared" ref="AB8:AB47" si="4">D8/H8</f>
        <v>#DIV/0!</v>
      </c>
      <c r="AC8" s="1461" t="e">
        <f t="shared" ref="AC8:AC47" si="5">D8/J8</f>
        <v>#DIV/0!</v>
      </c>
    </row>
    <row r="9" spans="1:29" s="1166" customFormat="1" ht="14.4">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83" t="s">
        <v>518</v>
      </c>
      <c r="Q9" s="1097" t="str">
        <f t="shared" ref="Q9:Q15" si="6">B9</f>
        <v>用途</v>
      </c>
      <c r="R9" s="1458" t="s">
        <v>8</v>
      </c>
      <c r="S9" s="1459">
        <f t="shared" si="0"/>
        <v>100</v>
      </c>
      <c r="T9" s="1458" t="s">
        <v>8</v>
      </c>
      <c r="U9" s="1459">
        <f t="shared" si="1"/>
        <v>100</v>
      </c>
      <c r="V9" s="1458" t="s">
        <v>8</v>
      </c>
      <c r="W9" s="1459">
        <f t="shared" si="2"/>
        <v>100</v>
      </c>
      <c r="X9" s="1460"/>
      <c r="Y9" s="3631" t="s">
        <v>519</v>
      </c>
      <c r="Z9" s="1096" t="str">
        <f t="shared" ref="Z9:Z15" si="7">Q9</f>
        <v>用途</v>
      </c>
      <c r="AA9" s="1461">
        <f t="shared" si="3"/>
        <v>1</v>
      </c>
      <c r="AB9" s="1461">
        <f t="shared" si="4"/>
        <v>1</v>
      </c>
      <c r="AC9" s="1461">
        <f t="shared" si="5"/>
        <v>1</v>
      </c>
    </row>
    <row r="10" spans="1:29" s="1247" customFormat="1" ht="28.8">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83"/>
      <c r="Q10" s="1097" t="str">
        <f t="shared" si="6"/>
        <v>土地使用年限（年）</v>
      </c>
      <c r="R10" s="1458" t="s">
        <v>8</v>
      </c>
      <c r="S10" s="1459">
        <f t="shared" si="0"/>
        <v>100</v>
      </c>
      <c r="T10" s="1458" t="s">
        <v>8</v>
      </c>
      <c r="U10" s="1459">
        <f t="shared" si="1"/>
        <v>100</v>
      </c>
      <c r="V10" s="1458" t="s">
        <v>8</v>
      </c>
      <c r="W10" s="1459">
        <f t="shared" si="2"/>
        <v>100</v>
      </c>
      <c r="X10" s="1460"/>
      <c r="Y10" s="3631"/>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83"/>
      <c r="Q11" s="1097" t="str">
        <f t="shared" si="6"/>
        <v>容积率</v>
      </c>
      <c r="R11" s="1458" t="s">
        <v>8</v>
      </c>
      <c r="S11" s="1459" t="e">
        <f t="shared" si="0"/>
        <v>#N/A</v>
      </c>
      <c r="T11" s="1458" t="s">
        <v>8</v>
      </c>
      <c r="U11" s="1459" t="e">
        <f t="shared" si="1"/>
        <v>#N/A</v>
      </c>
      <c r="V11" s="1458" t="s">
        <v>8</v>
      </c>
      <c r="W11" s="1459" t="e">
        <f t="shared" si="2"/>
        <v>#N/A</v>
      </c>
      <c r="X11" s="1460"/>
      <c r="Y11" s="363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83"/>
      <c r="Q12" s="1097">
        <f t="shared" si="6"/>
        <v>111</v>
      </c>
      <c r="R12" s="1458" t="s">
        <v>8</v>
      </c>
      <c r="S12" s="1459">
        <f t="shared" si="0"/>
        <v>100</v>
      </c>
      <c r="T12" s="1458" t="s">
        <v>8</v>
      </c>
      <c r="U12" s="1459">
        <f t="shared" si="1"/>
        <v>100</v>
      </c>
      <c r="V12" s="1458" t="s">
        <v>8</v>
      </c>
      <c r="W12" s="1459">
        <f t="shared" si="2"/>
        <v>100</v>
      </c>
      <c r="X12" s="1460"/>
      <c r="Y12" s="3631"/>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83"/>
      <c r="Q13" s="1097">
        <f t="shared" si="6"/>
        <v>111</v>
      </c>
      <c r="R13" s="1458" t="s">
        <v>8</v>
      </c>
      <c r="S13" s="1459">
        <f t="shared" si="0"/>
        <v>100</v>
      </c>
      <c r="T13" s="1458" t="s">
        <v>8</v>
      </c>
      <c r="U13" s="1459">
        <f t="shared" si="1"/>
        <v>100</v>
      </c>
      <c r="V13" s="1458" t="s">
        <v>8</v>
      </c>
      <c r="W13" s="1459">
        <f t="shared" si="2"/>
        <v>100</v>
      </c>
      <c r="X13" s="1460"/>
      <c r="Y13" s="3631"/>
      <c r="Z13" s="1096">
        <f t="shared" si="7"/>
        <v>111</v>
      </c>
      <c r="AA13" s="1461">
        <f t="shared" si="3"/>
        <v>1</v>
      </c>
      <c r="AB13" s="1461">
        <f t="shared" si="4"/>
        <v>1</v>
      </c>
      <c r="AC13" s="1461">
        <f t="shared" si="5"/>
        <v>1</v>
      </c>
    </row>
    <row r="14" spans="1:29" ht="15.6"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83"/>
      <c r="Q14" s="1097">
        <f t="shared" si="6"/>
        <v>111</v>
      </c>
      <c r="R14" s="1458" t="s">
        <v>8</v>
      </c>
      <c r="S14" s="1459">
        <f t="shared" si="0"/>
        <v>100</v>
      </c>
      <c r="T14" s="1458" t="s">
        <v>8</v>
      </c>
      <c r="U14" s="1459">
        <f t="shared" si="1"/>
        <v>100</v>
      </c>
      <c r="V14" s="1458" t="s">
        <v>8</v>
      </c>
      <c r="W14" s="1459">
        <f t="shared" si="2"/>
        <v>100</v>
      </c>
      <c r="X14" s="1460"/>
      <c r="Y14" s="3631"/>
      <c r="Z14" s="1096">
        <f t="shared" si="7"/>
        <v>111</v>
      </c>
      <c r="AA14" s="1461">
        <f t="shared" si="3"/>
        <v>1</v>
      </c>
      <c r="AB14" s="1461">
        <f t="shared" si="4"/>
        <v>1</v>
      </c>
      <c r="AC14" s="1461">
        <f t="shared" si="5"/>
        <v>1</v>
      </c>
    </row>
    <row r="15" spans="1:29" ht="82.8">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685" t="s">
        <v>523</v>
      </c>
      <c r="Q15" s="1462" t="str">
        <f t="shared" si="6"/>
        <v>办公集聚程度</v>
      </c>
      <c r="R15" s="1463" t="s">
        <v>8</v>
      </c>
      <c r="S15" s="1464">
        <f t="shared" si="0"/>
        <v>100</v>
      </c>
      <c r="T15" s="1463" t="s">
        <v>8</v>
      </c>
      <c r="U15" s="1464">
        <f t="shared" si="1"/>
        <v>100</v>
      </c>
      <c r="V15" s="1463" t="s">
        <v>8</v>
      </c>
      <c r="W15" s="1464">
        <f t="shared" si="2"/>
        <v>100</v>
      </c>
      <c r="X15" s="1457"/>
      <c r="Y15" s="3685"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686"/>
      <c r="Q16" s="1462"/>
      <c r="R16" s="1463"/>
      <c r="S16" s="1464"/>
      <c r="T16" s="1463"/>
      <c r="U16" s="1464"/>
      <c r="V16" s="1463"/>
      <c r="W16" s="1464"/>
      <c r="X16" s="1457"/>
      <c r="Y16" s="3686"/>
      <c r="Z16" s="1465"/>
      <c r="AA16" s="1466">
        <v>1</v>
      </c>
      <c r="AB16" s="1466">
        <v>1</v>
      </c>
      <c r="AC16" s="1466">
        <v>1</v>
      </c>
    </row>
    <row r="17" spans="1:29" ht="96.6">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686"/>
      <c r="Q17" s="1462" t="str">
        <f>B17</f>
        <v>交通便捷度</v>
      </c>
      <c r="R17" s="1463" t="s">
        <v>8</v>
      </c>
      <c r="S17" s="1464">
        <f>F17</f>
        <v>100</v>
      </c>
      <c r="T17" s="1463" t="s">
        <v>8</v>
      </c>
      <c r="U17" s="1464">
        <f>H17</f>
        <v>100</v>
      </c>
      <c r="V17" s="1463" t="s">
        <v>8</v>
      </c>
      <c r="W17" s="1464">
        <f>J17</f>
        <v>100</v>
      </c>
      <c r="X17" s="1457"/>
      <c r="Y17" s="3686"/>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686"/>
      <c r="Q18" s="1462"/>
      <c r="R18" s="1463"/>
      <c r="S18" s="1464"/>
      <c r="T18" s="1463"/>
      <c r="U18" s="1464"/>
      <c r="V18" s="1463"/>
      <c r="W18" s="1464"/>
      <c r="X18" s="1457"/>
      <c r="Y18" s="3686"/>
      <c r="Z18" s="1465"/>
      <c r="AA18" s="1466">
        <v>1</v>
      </c>
      <c r="AB18" s="1466">
        <v>1</v>
      </c>
      <c r="AC18" s="1466">
        <v>1</v>
      </c>
    </row>
    <row r="19" spans="1:29" ht="41.4">
      <c r="A19" s="509"/>
      <c r="B19" s="2369"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686"/>
      <c r="Q19" s="1462" t="str">
        <f>B19</f>
        <v>公共配套设施</v>
      </c>
      <c r="R19" s="1463" t="s">
        <v>8</v>
      </c>
      <c r="S19" s="1464">
        <f>F19</f>
        <v>100</v>
      </c>
      <c r="T19" s="1463" t="s">
        <v>8</v>
      </c>
      <c r="U19" s="1464">
        <f>H19</f>
        <v>100</v>
      </c>
      <c r="V19" s="1463" t="s">
        <v>8</v>
      </c>
      <c r="W19" s="1464">
        <f>J19</f>
        <v>100</v>
      </c>
      <c r="X19" s="1457"/>
      <c r="Y19" s="3686"/>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686"/>
      <c r="Q20" s="1462"/>
      <c r="R20" s="1463"/>
      <c r="S20" s="1464"/>
      <c r="T20" s="1463"/>
      <c r="U20" s="1464"/>
      <c r="V20" s="1463"/>
      <c r="W20" s="1464"/>
      <c r="X20" s="1457"/>
      <c r="Y20" s="3686"/>
      <c r="Z20" s="1465"/>
      <c r="AA20" s="1466">
        <v>1</v>
      </c>
      <c r="AB20" s="1466">
        <v>1</v>
      </c>
      <c r="AC20" s="1466">
        <v>1</v>
      </c>
    </row>
    <row r="21" spans="1:29" ht="41.4">
      <c r="A21" s="509"/>
      <c r="B21" s="2357"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686"/>
      <c r="Q21" s="2351" t="str">
        <f>B21</f>
        <v>基础设施水平</v>
      </c>
      <c r="R21" s="1463" t="s">
        <v>8</v>
      </c>
      <c r="S21" s="1464">
        <f>F21</f>
        <v>100</v>
      </c>
      <c r="T21" s="1463" t="s">
        <v>8</v>
      </c>
      <c r="U21" s="1464">
        <f>H21</f>
        <v>100</v>
      </c>
      <c r="V21" s="1463" t="s">
        <v>8</v>
      </c>
      <c r="W21" s="1464">
        <f>J21</f>
        <v>100</v>
      </c>
      <c r="X21" s="2353"/>
      <c r="Y21" s="3686"/>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86"/>
      <c r="Q22" s="2351"/>
      <c r="R22" s="1463"/>
      <c r="S22" s="1464"/>
      <c r="T22" s="1463"/>
      <c r="U22" s="1464"/>
      <c r="V22" s="1463"/>
      <c r="W22" s="1464"/>
      <c r="X22" s="2353"/>
      <c r="Y22" s="3686"/>
      <c r="Z22" s="2352"/>
      <c r="AA22" s="1466">
        <v>1</v>
      </c>
      <c r="AB22" s="1466">
        <v>1</v>
      </c>
      <c r="AC22" s="1466">
        <v>1</v>
      </c>
    </row>
    <row r="23" spans="1:29" ht="55.2">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686"/>
      <c r="Q23" s="1462" t="str">
        <f>B23</f>
        <v>环境质量</v>
      </c>
      <c r="R23" s="1463" t="s">
        <v>8</v>
      </c>
      <c r="S23" s="1464">
        <f>F23</f>
        <v>100</v>
      </c>
      <c r="T23" s="1463" t="s">
        <v>8</v>
      </c>
      <c r="U23" s="1464">
        <f>H23</f>
        <v>100</v>
      </c>
      <c r="V23" s="1463" t="s">
        <v>8</v>
      </c>
      <c r="W23" s="1464">
        <f>J23</f>
        <v>100</v>
      </c>
      <c r="X23" s="1457"/>
      <c r="Y23" s="3686"/>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686"/>
      <c r="Q24" s="1462"/>
      <c r="R24" s="1463"/>
      <c r="S24" s="1464"/>
      <c r="T24" s="1463"/>
      <c r="U24" s="1464"/>
      <c r="V24" s="1463"/>
      <c r="W24" s="1464"/>
      <c r="X24" s="1457"/>
      <c r="Y24" s="3686"/>
      <c r="Z24" s="1465"/>
      <c r="AA24" s="1466">
        <v>1</v>
      </c>
      <c r="AB24" s="1466">
        <v>1</v>
      </c>
      <c r="AC24" s="1466">
        <v>1</v>
      </c>
    </row>
    <row r="25" spans="1:29" ht="28.8">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686"/>
      <c r="Q25" s="1462" t="str">
        <f>B25</f>
        <v>毗邻道路的类型与等级</v>
      </c>
      <c r="R25" s="1463" t="s">
        <v>8</v>
      </c>
      <c r="S25" s="1464">
        <f>F25</f>
        <v>100</v>
      </c>
      <c r="T25" s="1463" t="s">
        <v>8</v>
      </c>
      <c r="U25" s="1464">
        <f>H25</f>
        <v>100</v>
      </c>
      <c r="V25" s="1463" t="s">
        <v>8</v>
      </c>
      <c r="W25" s="1464">
        <f>J25</f>
        <v>100</v>
      </c>
      <c r="X25" s="1457"/>
      <c r="Y25" s="3686"/>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686"/>
      <c r="Q26" s="1462"/>
      <c r="R26" s="1463"/>
      <c r="S26" s="1464"/>
      <c r="T26" s="1463"/>
      <c r="U26" s="1464"/>
      <c r="V26" s="1463"/>
      <c r="W26" s="1464"/>
      <c r="X26" s="1457"/>
      <c r="Y26" s="3686"/>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86"/>
      <c r="Q27" s="1462" t="str">
        <f t="shared" ref="Q27:Q47" si="11">B27</f>
        <v>楼层</v>
      </c>
      <c r="R27" s="1463" t="s">
        <v>8</v>
      </c>
      <c r="S27" s="1464">
        <f>F27</f>
        <v>100</v>
      </c>
      <c r="T27" s="1463" t="s">
        <v>8</v>
      </c>
      <c r="U27" s="1464">
        <f>H27</f>
        <v>100</v>
      </c>
      <c r="V27" s="1463" t="s">
        <v>8</v>
      </c>
      <c r="W27" s="1464">
        <f>J27</f>
        <v>100</v>
      </c>
      <c r="X27" s="1457"/>
      <c r="Y27" s="3686"/>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686"/>
      <c r="Q28" s="1097" t="str">
        <f t="shared" si="11"/>
        <v>朝向</v>
      </c>
      <c r="R28" s="1458" t="s">
        <v>8</v>
      </c>
      <c r="S28" s="1459">
        <f>F28</f>
        <v>100</v>
      </c>
      <c r="T28" s="1458" t="s">
        <v>8</v>
      </c>
      <c r="U28" s="1459">
        <f>H28</f>
        <v>100</v>
      </c>
      <c r="V28" s="1458" t="s">
        <v>8</v>
      </c>
      <c r="W28" s="1459">
        <f>J28</f>
        <v>100</v>
      </c>
      <c r="X28" s="1460"/>
      <c r="Y28" s="3686"/>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686"/>
      <c r="Q29" s="1462">
        <f t="shared" si="11"/>
        <v>111</v>
      </c>
      <c r="R29" s="1463" t="s">
        <v>8</v>
      </c>
      <c r="S29" s="1464">
        <f t="shared" ref="S29:S47" si="12">F29</f>
        <v>100</v>
      </c>
      <c r="T29" s="1463" t="s">
        <v>8</v>
      </c>
      <c r="U29" s="1464">
        <f t="shared" ref="U29:U47" si="13">H29</f>
        <v>100</v>
      </c>
      <c r="V29" s="1463" t="s">
        <v>8</v>
      </c>
      <c r="W29" s="1464">
        <f t="shared" ref="W29:W47" si="14">J29</f>
        <v>100</v>
      </c>
      <c r="X29" s="1457"/>
      <c r="Y29" s="3686"/>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686"/>
      <c r="Q30" s="1462">
        <f t="shared" si="11"/>
        <v>111</v>
      </c>
      <c r="R30" s="1463" t="s">
        <v>8</v>
      </c>
      <c r="S30" s="1464">
        <f t="shared" si="12"/>
        <v>100</v>
      </c>
      <c r="T30" s="1463" t="s">
        <v>8</v>
      </c>
      <c r="U30" s="1464">
        <f t="shared" si="13"/>
        <v>100</v>
      </c>
      <c r="V30" s="1463" t="s">
        <v>8</v>
      </c>
      <c r="W30" s="1464">
        <f t="shared" si="14"/>
        <v>100</v>
      </c>
      <c r="X30" s="1457"/>
      <c r="Y30" s="3686"/>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686"/>
      <c r="Q31" s="1462">
        <f t="shared" si="11"/>
        <v>111</v>
      </c>
      <c r="R31" s="1463" t="s">
        <v>8</v>
      </c>
      <c r="S31" s="1464">
        <f t="shared" si="12"/>
        <v>100</v>
      </c>
      <c r="T31" s="1463" t="s">
        <v>8</v>
      </c>
      <c r="U31" s="1464">
        <f t="shared" si="13"/>
        <v>100</v>
      </c>
      <c r="V31" s="1463" t="s">
        <v>8</v>
      </c>
      <c r="W31" s="1464">
        <f t="shared" si="14"/>
        <v>100</v>
      </c>
      <c r="X31" s="1457"/>
      <c r="Y31" s="3686"/>
      <c r="Z31" s="1465">
        <f t="shared" si="15"/>
        <v>111</v>
      </c>
      <c r="AA31" s="1466">
        <f t="shared" si="3"/>
        <v>1</v>
      </c>
      <c r="AB31" s="1466">
        <f t="shared" si="4"/>
        <v>1</v>
      </c>
      <c r="AC31" s="1466">
        <f t="shared" si="5"/>
        <v>1</v>
      </c>
    </row>
    <row r="32" spans="1:29" ht="15.6"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686"/>
      <c r="Q32" s="1462">
        <f t="shared" si="11"/>
        <v>111</v>
      </c>
      <c r="R32" s="1463" t="s">
        <v>8</v>
      </c>
      <c r="S32" s="1464">
        <f t="shared" si="12"/>
        <v>100</v>
      </c>
      <c r="T32" s="1463" t="s">
        <v>8</v>
      </c>
      <c r="U32" s="1464">
        <f t="shared" si="13"/>
        <v>100</v>
      </c>
      <c r="V32" s="1463" t="s">
        <v>8</v>
      </c>
      <c r="W32" s="1464">
        <f t="shared" si="14"/>
        <v>100</v>
      </c>
      <c r="X32" s="1457"/>
      <c r="Y32" s="3686"/>
      <c r="Z32" s="1465">
        <f t="shared" si="15"/>
        <v>111</v>
      </c>
      <c r="AA32" s="1466">
        <f t="shared" si="3"/>
        <v>1</v>
      </c>
      <c r="AB32" s="1466">
        <f t="shared" si="4"/>
        <v>1</v>
      </c>
      <c r="AC32" s="1466">
        <f t="shared" si="5"/>
        <v>1</v>
      </c>
    </row>
    <row r="33" spans="1:29" ht="15">
      <c r="A33" s="2546" t="s">
        <v>2472</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687" t="s">
        <v>533</v>
      </c>
      <c r="Q33" s="1462" t="str">
        <f t="shared" si="11"/>
        <v>建筑类型</v>
      </c>
      <c r="R33" s="1463" t="s">
        <v>8</v>
      </c>
      <c r="S33" s="1464">
        <f t="shared" si="12"/>
        <v>100</v>
      </c>
      <c r="T33" s="1463" t="s">
        <v>8</v>
      </c>
      <c r="U33" s="1464">
        <f t="shared" si="13"/>
        <v>100</v>
      </c>
      <c r="V33" s="1463" t="s">
        <v>8</v>
      </c>
      <c r="W33" s="1464">
        <f t="shared" si="14"/>
        <v>100</v>
      </c>
      <c r="X33" s="1457"/>
      <c r="Y33" s="3688"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88"/>
      <c r="Q34" s="1491" t="str">
        <f t="shared" si="11"/>
        <v>项目建筑规模</v>
      </c>
      <c r="R34" s="1467" t="s">
        <v>8</v>
      </c>
      <c r="S34" s="1468" t="e">
        <f t="shared" si="12"/>
        <v>#N/A</v>
      </c>
      <c r="T34" s="1467" t="s">
        <v>8</v>
      </c>
      <c r="U34" s="1468" t="e">
        <f t="shared" si="13"/>
        <v>#N/A</v>
      </c>
      <c r="V34" s="1467" t="s">
        <v>8</v>
      </c>
      <c r="W34" s="1468" t="e">
        <f t="shared" si="14"/>
        <v>#N/A</v>
      </c>
      <c r="X34" s="1469"/>
      <c r="Y34" s="3688"/>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88"/>
      <c r="Q35" s="1462" t="str">
        <f t="shared" si="11"/>
        <v>建筑结构</v>
      </c>
      <c r="R35" s="1463" t="s">
        <v>8</v>
      </c>
      <c r="S35" s="1464">
        <f t="shared" si="12"/>
        <v>100</v>
      </c>
      <c r="T35" s="1463" t="s">
        <v>8</v>
      </c>
      <c r="U35" s="1464">
        <f t="shared" si="13"/>
        <v>100</v>
      </c>
      <c r="V35" s="1463" t="s">
        <v>8</v>
      </c>
      <c r="W35" s="1464">
        <f t="shared" si="14"/>
        <v>100</v>
      </c>
      <c r="X35" s="1457"/>
      <c r="Y35" s="3688"/>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88"/>
      <c r="Q36" s="1462" t="str">
        <f t="shared" si="11"/>
        <v>公共部分装修</v>
      </c>
      <c r="R36" s="1463" t="s">
        <v>8</v>
      </c>
      <c r="S36" s="1464">
        <f t="shared" si="12"/>
        <v>100</v>
      </c>
      <c r="T36" s="1463" t="s">
        <v>8</v>
      </c>
      <c r="U36" s="1464">
        <f t="shared" si="13"/>
        <v>100</v>
      </c>
      <c r="V36" s="1463" t="s">
        <v>8</v>
      </c>
      <c r="W36" s="1464">
        <f t="shared" si="14"/>
        <v>100</v>
      </c>
      <c r="X36" s="1457"/>
      <c r="Y36" s="3688"/>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688"/>
      <c r="Q37" s="1462" t="str">
        <f t="shared" si="11"/>
        <v>成新度</v>
      </c>
      <c r="R37" s="1463" t="s">
        <v>8</v>
      </c>
      <c r="S37" s="1464" t="e">
        <f t="shared" si="12"/>
        <v>#N/A</v>
      </c>
      <c r="T37" s="1463" t="s">
        <v>8</v>
      </c>
      <c r="U37" s="1464" t="e">
        <f t="shared" si="13"/>
        <v>#N/A</v>
      </c>
      <c r="V37" s="1463" t="s">
        <v>8</v>
      </c>
      <c r="W37" s="1464" t="e">
        <f t="shared" si="14"/>
        <v>#N/A</v>
      </c>
      <c r="X37" s="1457"/>
      <c r="Y37" s="3688"/>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88"/>
      <c r="Q38" s="1097" t="str">
        <f t="shared" si="11"/>
        <v>写字楼等级</v>
      </c>
      <c r="R38" s="1458" t="s">
        <v>8</v>
      </c>
      <c r="S38" s="1459">
        <f t="shared" si="12"/>
        <v>100</v>
      </c>
      <c r="T38" s="1458" t="s">
        <v>8</v>
      </c>
      <c r="U38" s="1459">
        <f t="shared" si="13"/>
        <v>100</v>
      </c>
      <c r="V38" s="1458" t="s">
        <v>8</v>
      </c>
      <c r="W38" s="1459">
        <f t="shared" si="14"/>
        <v>100</v>
      </c>
      <c r="X38" s="1460"/>
      <c r="Y38" s="3688"/>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88" t="s">
        <v>533</v>
      </c>
      <c r="Q39" s="1462" t="str">
        <f t="shared" si="11"/>
        <v>物业管理</v>
      </c>
      <c r="R39" s="1463" t="s">
        <v>8</v>
      </c>
      <c r="S39" s="1464">
        <f t="shared" si="12"/>
        <v>100</v>
      </c>
      <c r="T39" s="1463" t="s">
        <v>8</v>
      </c>
      <c r="U39" s="1464">
        <f t="shared" si="13"/>
        <v>100</v>
      </c>
      <c r="V39" s="1463" t="s">
        <v>8</v>
      </c>
      <c r="W39" s="1464">
        <f t="shared" si="14"/>
        <v>100</v>
      </c>
      <c r="X39" s="1457"/>
      <c r="Y39" s="3688"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88"/>
      <c r="Q40" s="1462" t="str">
        <f t="shared" si="11"/>
        <v>市政基础设施</v>
      </c>
      <c r="R40" s="1463" t="s">
        <v>8</v>
      </c>
      <c r="S40" s="1464">
        <f t="shared" si="12"/>
        <v>100</v>
      </c>
      <c r="T40" s="1463" t="s">
        <v>8</v>
      </c>
      <c r="U40" s="1464">
        <f t="shared" si="13"/>
        <v>100</v>
      </c>
      <c r="V40" s="1463" t="s">
        <v>8</v>
      </c>
      <c r="W40" s="1464">
        <f t="shared" si="14"/>
        <v>100</v>
      </c>
      <c r="X40" s="1457"/>
      <c r="Y40" s="3688"/>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88"/>
      <c r="Q41" s="1462" t="str">
        <f t="shared" si="11"/>
        <v>层高</v>
      </c>
      <c r="R41" s="1463" t="s">
        <v>8</v>
      </c>
      <c r="S41" s="1464">
        <f t="shared" si="12"/>
        <v>100</v>
      </c>
      <c r="T41" s="1463" t="s">
        <v>8</v>
      </c>
      <c r="U41" s="1464">
        <f t="shared" si="13"/>
        <v>100</v>
      </c>
      <c r="V41" s="1463" t="s">
        <v>8</v>
      </c>
      <c r="W41" s="1464">
        <f t="shared" si="14"/>
        <v>100</v>
      </c>
      <c r="X41" s="1457"/>
      <c r="Y41" s="3688"/>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88"/>
      <c r="Q42" s="1491" t="str">
        <f t="shared" si="11"/>
        <v>单套建筑面积</v>
      </c>
      <c r="R42" s="1467" t="s">
        <v>8</v>
      </c>
      <c r="S42" s="1468">
        <f t="shared" si="12"/>
        <v>100</v>
      </c>
      <c r="T42" s="1467" t="s">
        <v>8</v>
      </c>
      <c r="U42" s="1468">
        <f t="shared" si="13"/>
        <v>100</v>
      </c>
      <c r="V42" s="1467" t="s">
        <v>8</v>
      </c>
      <c r="W42" s="1468">
        <f t="shared" si="14"/>
        <v>100</v>
      </c>
      <c r="X42" s="1469"/>
      <c r="Y42" s="3688"/>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88"/>
      <c r="Q43" s="1462" t="str">
        <f t="shared" si="11"/>
        <v>内部装修</v>
      </c>
      <c r="R43" s="1463" t="s">
        <v>8</v>
      </c>
      <c r="S43" s="1464">
        <f t="shared" si="12"/>
        <v>100</v>
      </c>
      <c r="T43" s="1463" t="s">
        <v>8</v>
      </c>
      <c r="U43" s="1464">
        <f t="shared" si="13"/>
        <v>100</v>
      </c>
      <c r="V43" s="1463" t="s">
        <v>8</v>
      </c>
      <c r="W43" s="1464">
        <f t="shared" si="14"/>
        <v>100</v>
      </c>
      <c r="X43" s="1457"/>
      <c r="Y43" s="3688"/>
      <c r="Z43" s="1465" t="str">
        <f t="shared" si="15"/>
        <v>内部装修</v>
      </c>
      <c r="AA43" s="1466">
        <f t="shared" si="3"/>
        <v>1</v>
      </c>
      <c r="AB43" s="1466">
        <f t="shared" si="4"/>
        <v>1</v>
      </c>
      <c r="AC43" s="1466">
        <f t="shared" si="5"/>
        <v>1</v>
      </c>
    </row>
    <row r="44" spans="1:29" ht="28.8">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88"/>
      <c r="Q44" s="1462" t="str">
        <f t="shared" si="11"/>
        <v>内部装修维护情况</v>
      </c>
      <c r="R44" s="1463" t="s">
        <v>8</v>
      </c>
      <c r="S44" s="1464">
        <f t="shared" si="12"/>
        <v>100</v>
      </c>
      <c r="T44" s="1463" t="s">
        <v>8</v>
      </c>
      <c r="U44" s="1464">
        <f t="shared" si="13"/>
        <v>100</v>
      </c>
      <c r="V44" s="1463" t="s">
        <v>8</v>
      </c>
      <c r="W44" s="1464">
        <f t="shared" si="14"/>
        <v>100</v>
      </c>
      <c r="X44" s="1457"/>
      <c r="Y44" s="3688"/>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88"/>
      <c r="Q45" s="1097">
        <f t="shared" si="11"/>
        <v>111</v>
      </c>
      <c r="R45" s="1458" t="s">
        <v>8</v>
      </c>
      <c r="S45" s="1459">
        <f t="shared" si="12"/>
        <v>100</v>
      </c>
      <c r="T45" s="1458" t="s">
        <v>8</v>
      </c>
      <c r="U45" s="1459">
        <f t="shared" si="13"/>
        <v>100</v>
      </c>
      <c r="V45" s="1458" t="s">
        <v>8</v>
      </c>
      <c r="W45" s="1459">
        <f t="shared" si="14"/>
        <v>100</v>
      </c>
      <c r="X45" s="1460"/>
      <c r="Y45" s="3688"/>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88"/>
      <c r="Q46" s="1462">
        <f t="shared" si="11"/>
        <v>111</v>
      </c>
      <c r="R46" s="1463" t="s">
        <v>8</v>
      </c>
      <c r="S46" s="1464">
        <f t="shared" si="12"/>
        <v>100</v>
      </c>
      <c r="T46" s="1463" t="s">
        <v>8</v>
      </c>
      <c r="U46" s="1464">
        <f t="shared" si="13"/>
        <v>100</v>
      </c>
      <c r="V46" s="1463" t="s">
        <v>8</v>
      </c>
      <c r="W46" s="1464">
        <f t="shared" si="14"/>
        <v>100</v>
      </c>
      <c r="X46" s="1457"/>
      <c r="Y46" s="3688"/>
      <c r="Z46" s="1465">
        <f t="shared" si="15"/>
        <v>111</v>
      </c>
      <c r="AA46" s="1466">
        <f t="shared" si="3"/>
        <v>1</v>
      </c>
      <c r="AB46" s="1466">
        <f t="shared" si="4"/>
        <v>1</v>
      </c>
      <c r="AC46" s="1466">
        <f t="shared" si="5"/>
        <v>1</v>
      </c>
    </row>
    <row r="47" spans="1:29" ht="15.6"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00"/>
      <c r="Q47" s="1462">
        <f t="shared" si="11"/>
        <v>111</v>
      </c>
      <c r="R47" s="1463" t="s">
        <v>8</v>
      </c>
      <c r="S47" s="1464">
        <f t="shared" si="12"/>
        <v>100</v>
      </c>
      <c r="T47" s="1463" t="s">
        <v>8</v>
      </c>
      <c r="U47" s="1464">
        <f t="shared" si="13"/>
        <v>100</v>
      </c>
      <c r="V47" s="1463" t="s">
        <v>8</v>
      </c>
      <c r="W47" s="1464">
        <f t="shared" si="14"/>
        <v>100</v>
      </c>
      <c r="X47" s="1457"/>
      <c r="Y47" s="3800"/>
      <c r="Z47" s="1465">
        <f t="shared" si="15"/>
        <v>111</v>
      </c>
      <c r="AA47" s="1466">
        <f t="shared" si="3"/>
        <v>1</v>
      </c>
      <c r="AB47" s="1466">
        <f t="shared" si="4"/>
        <v>1</v>
      </c>
      <c r="AC47" s="1466">
        <f t="shared" si="5"/>
        <v>1</v>
      </c>
    </row>
    <row r="48" spans="1:29" ht="14.4">
      <c r="A48" s="584" t="s">
        <v>718</v>
      </c>
      <c r="B48" s="858"/>
      <c r="C48" s="2392" t="s">
        <v>1</v>
      </c>
      <c r="D48" s="2393"/>
      <c r="E48" s="2394"/>
      <c r="F48" s="2395"/>
      <c r="G48" s="2396"/>
      <c r="H48" s="2397"/>
      <c r="I48" s="2394"/>
      <c r="J48" s="2397"/>
      <c r="K48" s="1496"/>
      <c r="L48" s="1980"/>
      <c r="M48" s="1970"/>
      <c r="N48" s="1970"/>
      <c r="O48" s="1970"/>
      <c r="P48" s="3690" t="str">
        <f>A48</f>
        <v>成交单价（元/平方米）</v>
      </c>
      <c r="Q48" s="3683"/>
      <c r="R48" s="3799">
        <f>E48</f>
        <v>0</v>
      </c>
      <c r="S48" s="3799"/>
      <c r="T48" s="3799">
        <f>G48</f>
        <v>0</v>
      </c>
      <c r="U48" s="3799"/>
      <c r="V48" s="3799">
        <f>I48</f>
        <v>0</v>
      </c>
      <c r="W48" s="3799"/>
      <c r="X48" s="1452"/>
      <c r="Y48" s="1471"/>
      <c r="Z48" s="1452"/>
      <c r="AA48" s="1452"/>
      <c r="AB48" s="1452"/>
      <c r="AC48" s="1452"/>
    </row>
    <row r="49" spans="1:29" ht="15" thickBot="1">
      <c r="A49" s="592"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90" t="str">
        <f>A49</f>
        <v>比较价格（元/平方米）</v>
      </c>
      <c r="Q49" s="3683"/>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1452"/>
      <c r="Y49" s="1452"/>
      <c r="Z49" s="1452"/>
      <c r="AA49" s="1452"/>
      <c r="AB49" s="1452"/>
      <c r="AC49" s="1452"/>
    </row>
    <row r="50" spans="1:29" ht="15" thickBot="1">
      <c r="A50" s="596" t="s">
        <v>2637</v>
      </c>
      <c r="B50" s="597"/>
      <c r="C50" s="2400" t="e">
        <f>R50</f>
        <v>#DIV/0!</v>
      </c>
      <c r="D50" s="2400"/>
      <c r="E50" s="2400"/>
      <c r="F50" s="2400"/>
      <c r="G50" s="2400"/>
      <c r="H50" s="2400"/>
      <c r="I50" s="2400"/>
      <c r="J50" s="2400"/>
      <c r="K50" s="1497"/>
      <c r="L50" s="1980"/>
      <c r="M50" s="1970"/>
      <c r="N50" s="1970"/>
      <c r="O50" s="1970"/>
      <c r="P50" s="3804" t="str">
        <f>A50</f>
        <v>估价对象XX用房的比较价格（楼面单价，元/平方米）</v>
      </c>
      <c r="Q50" s="3690"/>
      <c r="R50" s="3798" t="e">
        <f>IF(F1="售价",ROUND(IF(D49="简单平均",AVERAGE(R49:V49),R49*F49+T49*H49+V49*J49),0),ROUND(IF(D49="简单平均",AVERAGE(R49:V49),R49*F49+T49*H49+V49*J49),1))</f>
        <v>#DIV/0!</v>
      </c>
      <c r="S50" s="3798"/>
      <c r="T50" s="3798"/>
      <c r="U50" s="3798"/>
      <c r="V50" s="3798"/>
      <c r="W50" s="3798"/>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2.2"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4.4">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4.4">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4.4"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ht="14.4">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4.4"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9.4"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4.4"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4.4"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4.4"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4.4"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4.4"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4.4"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ht="14.4">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4.4"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4.4"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4.4"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4.4"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4.4"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9.4"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4.4"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4.4"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4.4"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4.4"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4.4"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4.4"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4.4"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4.4"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4.4"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4.4"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ht="14.4">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4.4"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4.4"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9.4"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4.4"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4.4"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4.4"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4.4"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4.4"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4.4"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4.4">
      <c r="A4" s="489" t="s">
        <v>504</v>
      </c>
      <c r="B4" s="490"/>
      <c r="C4" s="3691" t="s">
        <v>505</v>
      </c>
      <c r="D4" s="3692"/>
      <c r="E4" s="3713" t="s">
        <v>506</v>
      </c>
      <c r="F4" s="3714"/>
      <c r="G4" s="3691" t="s">
        <v>507</v>
      </c>
      <c r="H4" s="3692"/>
      <c r="I4" s="3691" t="s">
        <v>508</v>
      </c>
      <c r="J4" s="3692"/>
      <c r="K4" s="491" t="s">
        <v>509</v>
      </c>
      <c r="L4" s="1969"/>
      <c r="M4" s="1970"/>
      <c r="N4" s="1970"/>
      <c r="O4" s="1970"/>
      <c r="P4" s="3693" t="s">
        <v>510</v>
      </c>
      <c r="Q4" s="3694"/>
      <c r="R4" s="3677" t="s">
        <v>506</v>
      </c>
      <c r="S4" s="3678"/>
      <c r="T4" s="3677" t="s">
        <v>507</v>
      </c>
      <c r="U4" s="3678"/>
      <c r="V4" s="3699" t="s">
        <v>508</v>
      </c>
      <c r="W4" s="3699"/>
      <c r="X4" s="1457"/>
      <c r="Y4" s="3677" t="s">
        <v>510</v>
      </c>
      <c r="Z4" s="3678"/>
      <c r="AA4" s="3672" t="s">
        <v>506</v>
      </c>
      <c r="AB4" s="3673" t="s">
        <v>507</v>
      </c>
      <c r="AC4" s="3672" t="s">
        <v>508</v>
      </c>
    </row>
    <row r="5" spans="1:29">
      <c r="A5" s="492"/>
      <c r="B5" s="493"/>
      <c r="C5" s="3702" t="s">
        <v>2631</v>
      </c>
      <c r="D5" s="3703"/>
      <c r="E5" s="3715" t="s">
        <v>2632</v>
      </c>
      <c r="F5" s="3716"/>
      <c r="G5" s="3702" t="s">
        <v>2633</v>
      </c>
      <c r="H5" s="3703"/>
      <c r="I5" s="3702" t="s">
        <v>2634</v>
      </c>
      <c r="J5" s="3703"/>
      <c r="K5" s="491"/>
      <c r="L5" s="1969"/>
      <c r="M5" s="1970"/>
      <c r="N5" s="1970"/>
      <c r="O5" s="1970"/>
      <c r="P5" s="3695"/>
      <c r="Q5" s="3696"/>
      <c r="R5" s="3679"/>
      <c r="S5" s="3680"/>
      <c r="T5" s="3679"/>
      <c r="U5" s="3680"/>
      <c r="V5" s="3699"/>
      <c r="W5" s="3699"/>
      <c r="X5" s="1457"/>
      <c r="Y5" s="3679"/>
      <c r="Z5" s="3680"/>
      <c r="AA5" s="3673"/>
      <c r="AB5" s="3673"/>
      <c r="AC5" s="3673"/>
    </row>
    <row r="6" spans="1:29" ht="15" thickBot="1">
      <c r="A6" s="494"/>
      <c r="B6" s="495"/>
      <c r="C6" s="3700" t="s">
        <v>2635</v>
      </c>
      <c r="D6" s="3701"/>
      <c r="E6" s="3717" t="s">
        <v>2635</v>
      </c>
      <c r="F6" s="3718"/>
      <c r="G6" s="3700" t="s">
        <v>2635</v>
      </c>
      <c r="H6" s="3701"/>
      <c r="I6" s="3700" t="s">
        <v>2635</v>
      </c>
      <c r="J6" s="3701"/>
      <c r="K6" s="491" t="s">
        <v>511</v>
      </c>
      <c r="L6" s="1969"/>
      <c r="M6" s="1970"/>
      <c r="N6" s="1970"/>
      <c r="O6" s="1970"/>
      <c r="P6" s="3697"/>
      <c r="Q6" s="3698"/>
      <c r="R6" s="3679"/>
      <c r="S6" s="3680"/>
      <c r="T6" s="3681"/>
      <c r="U6" s="3682"/>
      <c r="V6" s="3699"/>
      <c r="W6" s="3699"/>
      <c r="X6" s="1457"/>
      <c r="Y6" s="3681"/>
      <c r="Z6" s="3682"/>
      <c r="AA6" s="3674"/>
      <c r="AB6" s="3674"/>
      <c r="AC6" s="3674"/>
    </row>
    <row r="7" spans="1:29" s="1166" customFormat="1" ht="15" thickBot="1">
      <c r="A7" s="2551"/>
      <c r="B7" s="2558" t="s">
        <v>512</v>
      </c>
      <c r="C7" s="496">
        <f>'数据-取费表'!B2</f>
        <v>44756</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75" t="s">
        <v>513</v>
      </c>
      <c r="Q7" s="3684"/>
      <c r="R7" s="1458" t="s">
        <v>8</v>
      </c>
      <c r="S7" s="1459">
        <f t="shared" ref="S7:S15" si="0">F7</f>
        <v>0</v>
      </c>
      <c r="T7" s="1458" t="s">
        <v>8</v>
      </c>
      <c r="U7" s="1459">
        <f t="shared" ref="U7:U15" si="1">H7</f>
        <v>0</v>
      </c>
      <c r="V7" s="1458" t="s">
        <v>8</v>
      </c>
      <c r="W7" s="1459">
        <f t="shared" ref="W7:W15" si="2">J7</f>
        <v>0</v>
      </c>
      <c r="X7" s="1460"/>
      <c r="Y7" s="3675" t="s">
        <v>513</v>
      </c>
      <c r="Z7" s="3676"/>
      <c r="AA7" s="1461" t="e">
        <f>D7/F7</f>
        <v>#DIV/0!</v>
      </c>
      <c r="AB7" s="1461" t="e">
        <f>D7/H7</f>
        <v>#DIV/0!</v>
      </c>
      <c r="AC7" s="1461" t="e">
        <f>D7/J7</f>
        <v>#DIV/0!</v>
      </c>
    </row>
    <row r="8" spans="1:29" s="1166" customFormat="1" ht="1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75" t="s">
        <v>516</v>
      </c>
      <c r="Q8" s="3676"/>
      <c r="R8" s="1458" t="s">
        <v>8</v>
      </c>
      <c r="S8" s="1459">
        <f t="shared" si="0"/>
        <v>0</v>
      </c>
      <c r="T8" s="1458" t="s">
        <v>8</v>
      </c>
      <c r="U8" s="1459">
        <f t="shared" si="1"/>
        <v>0</v>
      </c>
      <c r="V8" s="1458" t="s">
        <v>8</v>
      </c>
      <c r="W8" s="1459">
        <f t="shared" si="2"/>
        <v>0</v>
      </c>
      <c r="X8" s="1460"/>
      <c r="Y8" s="3675" t="s">
        <v>516</v>
      </c>
      <c r="Z8" s="3676"/>
      <c r="AA8" s="1461" t="e">
        <f t="shared" ref="AA8:AA40" si="3">D8/F8</f>
        <v>#DIV/0!</v>
      </c>
      <c r="AB8" s="1461" t="e">
        <f t="shared" ref="AB8:AB40" si="4">D8/H8</f>
        <v>#DIV/0!</v>
      </c>
      <c r="AC8" s="1461" t="e">
        <f t="shared" ref="AC8:AC40" si="5">D8/J8</f>
        <v>#DIV/0!</v>
      </c>
    </row>
    <row r="9" spans="1:29" s="1166" customFormat="1" ht="14.4">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83" t="s">
        <v>518</v>
      </c>
      <c r="Q9" s="1097" t="str">
        <f t="shared" ref="Q9:Q15" si="6">B9</f>
        <v>用途</v>
      </c>
      <c r="R9" s="1458" t="s">
        <v>8</v>
      </c>
      <c r="S9" s="1459">
        <f t="shared" si="0"/>
        <v>100</v>
      </c>
      <c r="T9" s="1458" t="s">
        <v>8</v>
      </c>
      <c r="U9" s="1459">
        <f t="shared" si="1"/>
        <v>100</v>
      </c>
      <c r="V9" s="1458" t="s">
        <v>8</v>
      </c>
      <c r="W9" s="1459">
        <f t="shared" si="2"/>
        <v>100</v>
      </c>
      <c r="X9" s="1460"/>
      <c r="Y9" s="3631" t="s">
        <v>519</v>
      </c>
      <c r="Z9" s="1096" t="str">
        <f t="shared" ref="Z9:Z15" si="7">Q9</f>
        <v>用途</v>
      </c>
      <c r="AA9" s="1461">
        <f t="shared" si="3"/>
        <v>1</v>
      </c>
      <c r="AB9" s="1461">
        <f t="shared" si="4"/>
        <v>1</v>
      </c>
      <c r="AC9" s="1461">
        <f t="shared" si="5"/>
        <v>1</v>
      </c>
    </row>
    <row r="10" spans="1:29" s="1247" customFormat="1" ht="28.8">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83"/>
      <c r="Q10" s="1097" t="str">
        <f t="shared" si="6"/>
        <v>土地使用年限（年）</v>
      </c>
      <c r="R10" s="1458" t="s">
        <v>8</v>
      </c>
      <c r="S10" s="1459">
        <f t="shared" si="0"/>
        <v>100</v>
      </c>
      <c r="T10" s="1458" t="s">
        <v>8</v>
      </c>
      <c r="U10" s="1459">
        <f t="shared" si="1"/>
        <v>100</v>
      </c>
      <c r="V10" s="1458" t="s">
        <v>8</v>
      </c>
      <c r="W10" s="1459">
        <f t="shared" si="2"/>
        <v>100</v>
      </c>
      <c r="X10" s="1460"/>
      <c r="Y10" s="3631"/>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83"/>
      <c r="Q11" s="1097" t="str">
        <f t="shared" si="6"/>
        <v>容积率</v>
      </c>
      <c r="R11" s="1458" t="s">
        <v>8</v>
      </c>
      <c r="S11" s="1459" t="e">
        <f t="shared" si="0"/>
        <v>#N/A</v>
      </c>
      <c r="T11" s="1458" t="s">
        <v>8</v>
      </c>
      <c r="U11" s="1459" t="e">
        <f t="shared" si="1"/>
        <v>#N/A</v>
      </c>
      <c r="V11" s="1458" t="s">
        <v>8</v>
      </c>
      <c r="W11" s="1459" t="e">
        <f t="shared" si="2"/>
        <v>#N/A</v>
      </c>
      <c r="X11" s="1460"/>
      <c r="Y11" s="363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83"/>
      <c r="Q12" s="1097">
        <f t="shared" si="6"/>
        <v>111</v>
      </c>
      <c r="R12" s="1458" t="s">
        <v>8</v>
      </c>
      <c r="S12" s="1459">
        <f t="shared" si="0"/>
        <v>100</v>
      </c>
      <c r="T12" s="1458" t="s">
        <v>8</v>
      </c>
      <c r="U12" s="1459">
        <f t="shared" si="1"/>
        <v>100</v>
      </c>
      <c r="V12" s="1458" t="s">
        <v>8</v>
      </c>
      <c r="W12" s="1459">
        <f t="shared" si="2"/>
        <v>100</v>
      </c>
      <c r="X12" s="1460"/>
      <c r="Y12" s="3631"/>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83"/>
      <c r="Q13" s="1097">
        <f t="shared" si="6"/>
        <v>111</v>
      </c>
      <c r="R13" s="1458" t="s">
        <v>8</v>
      </c>
      <c r="S13" s="1459">
        <f t="shared" si="0"/>
        <v>100</v>
      </c>
      <c r="T13" s="1458" t="s">
        <v>8</v>
      </c>
      <c r="U13" s="1459">
        <f t="shared" si="1"/>
        <v>100</v>
      </c>
      <c r="V13" s="1458" t="s">
        <v>8</v>
      </c>
      <c r="W13" s="1459">
        <f t="shared" si="2"/>
        <v>100</v>
      </c>
      <c r="X13" s="1460"/>
      <c r="Y13" s="3631"/>
      <c r="Z13" s="1096">
        <f t="shared" si="7"/>
        <v>111</v>
      </c>
      <c r="AA13" s="1461">
        <f t="shared" si="3"/>
        <v>1</v>
      </c>
      <c r="AB13" s="1461">
        <f t="shared" si="4"/>
        <v>1</v>
      </c>
      <c r="AC13" s="1461">
        <f t="shared" si="5"/>
        <v>1</v>
      </c>
    </row>
    <row r="14" spans="1:29" ht="15.6"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83"/>
      <c r="Q14" s="1097">
        <f t="shared" si="6"/>
        <v>111</v>
      </c>
      <c r="R14" s="1458" t="s">
        <v>8</v>
      </c>
      <c r="S14" s="1459">
        <f t="shared" si="0"/>
        <v>100</v>
      </c>
      <c r="T14" s="1458" t="s">
        <v>8</v>
      </c>
      <c r="U14" s="1459">
        <f t="shared" si="1"/>
        <v>100</v>
      </c>
      <c r="V14" s="1458" t="s">
        <v>8</v>
      </c>
      <c r="W14" s="1459">
        <f t="shared" si="2"/>
        <v>100</v>
      </c>
      <c r="X14" s="1460"/>
      <c r="Y14" s="3631"/>
      <c r="Z14" s="1096">
        <f t="shared" si="7"/>
        <v>111</v>
      </c>
      <c r="AA14" s="1461">
        <f t="shared" si="3"/>
        <v>1</v>
      </c>
      <c r="AB14" s="1461">
        <f t="shared" si="4"/>
        <v>1</v>
      </c>
      <c r="AC14" s="1461">
        <f t="shared" si="5"/>
        <v>1</v>
      </c>
    </row>
    <row r="15" spans="1:29" ht="69">
      <c r="A15" s="2549" t="s">
        <v>2471</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685" t="s">
        <v>523</v>
      </c>
      <c r="Q15" s="1462" t="str">
        <f t="shared" si="6"/>
        <v>产业集聚程度</v>
      </c>
      <c r="R15" s="1463" t="s">
        <v>8</v>
      </c>
      <c r="S15" s="1464">
        <f t="shared" si="0"/>
        <v>100</v>
      </c>
      <c r="T15" s="1463" t="s">
        <v>8</v>
      </c>
      <c r="U15" s="1464">
        <f t="shared" si="1"/>
        <v>100</v>
      </c>
      <c r="V15" s="1463" t="s">
        <v>8</v>
      </c>
      <c r="W15" s="1464">
        <f t="shared" si="2"/>
        <v>100</v>
      </c>
      <c r="X15" s="1457"/>
      <c r="Y15" s="3685"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86"/>
      <c r="Q16" s="1462"/>
      <c r="R16" s="1463"/>
      <c r="S16" s="1464"/>
      <c r="T16" s="1463"/>
      <c r="U16" s="1464"/>
      <c r="V16" s="1463"/>
      <c r="W16" s="1464"/>
      <c r="X16" s="1457"/>
      <c r="Y16" s="3686"/>
      <c r="Z16" s="1465"/>
      <c r="AA16" s="1466">
        <v>1</v>
      </c>
      <c r="AB16" s="1466">
        <v>1</v>
      </c>
      <c r="AC16" s="1466">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686"/>
      <c r="Q17" s="1462" t="str">
        <f>B17</f>
        <v>交通便捷度</v>
      </c>
      <c r="R17" s="1463" t="s">
        <v>8</v>
      </c>
      <c r="S17" s="1464">
        <f>F17</f>
        <v>100</v>
      </c>
      <c r="T17" s="1463" t="s">
        <v>8</v>
      </c>
      <c r="U17" s="1464">
        <f>H17</f>
        <v>100</v>
      </c>
      <c r="V17" s="1463" t="s">
        <v>8</v>
      </c>
      <c r="W17" s="1464">
        <f>J17</f>
        <v>100</v>
      </c>
      <c r="X17" s="1457"/>
      <c r="Y17" s="3686"/>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86"/>
      <c r="Q18" s="1462"/>
      <c r="R18" s="1463"/>
      <c r="S18" s="1464"/>
      <c r="T18" s="1463"/>
      <c r="U18" s="1464"/>
      <c r="V18" s="1463"/>
      <c r="W18" s="1464"/>
      <c r="X18" s="1457"/>
      <c r="Y18" s="3686"/>
      <c r="Z18" s="1465"/>
      <c r="AA18" s="1466">
        <v>1</v>
      </c>
      <c r="AB18" s="1466">
        <v>1</v>
      </c>
      <c r="AC18" s="1466">
        <v>1</v>
      </c>
    </row>
    <row r="19" spans="1:29" ht="41.4">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686"/>
      <c r="Q19" s="1462" t="str">
        <f>B19</f>
        <v>公共配套设施</v>
      </c>
      <c r="R19" s="1463" t="s">
        <v>8</v>
      </c>
      <c r="S19" s="1464">
        <f>F19</f>
        <v>100</v>
      </c>
      <c r="T19" s="1463" t="s">
        <v>8</v>
      </c>
      <c r="U19" s="1464">
        <f>H19</f>
        <v>100</v>
      </c>
      <c r="V19" s="1463" t="s">
        <v>8</v>
      </c>
      <c r="W19" s="1464">
        <f>J19</f>
        <v>100</v>
      </c>
      <c r="X19" s="1457"/>
      <c r="Y19" s="3686"/>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686"/>
      <c r="Q20" s="1462"/>
      <c r="R20" s="1463"/>
      <c r="S20" s="1464"/>
      <c r="T20" s="1463"/>
      <c r="U20" s="1464"/>
      <c r="V20" s="1463"/>
      <c r="W20" s="1464"/>
      <c r="X20" s="1457"/>
      <c r="Y20" s="3686"/>
      <c r="Z20" s="1465"/>
      <c r="AA20" s="1466">
        <v>1</v>
      </c>
      <c r="AB20" s="1466">
        <v>1</v>
      </c>
      <c r="AC20" s="1466">
        <v>1</v>
      </c>
    </row>
    <row r="21" spans="1:29" ht="41.4">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686"/>
      <c r="Q21" s="2351" t="str">
        <f>B21</f>
        <v>基础设施水平</v>
      </c>
      <c r="R21" s="1463" t="s">
        <v>8</v>
      </c>
      <c r="S21" s="1464">
        <f>F21</f>
        <v>100</v>
      </c>
      <c r="T21" s="1463" t="s">
        <v>8</v>
      </c>
      <c r="U21" s="1464">
        <f>H21</f>
        <v>100</v>
      </c>
      <c r="V21" s="1463" t="s">
        <v>8</v>
      </c>
      <c r="W21" s="1464">
        <f>J21</f>
        <v>100</v>
      </c>
      <c r="X21" s="2353"/>
      <c r="Y21" s="3686"/>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86"/>
      <c r="Q22" s="2351"/>
      <c r="R22" s="1463"/>
      <c r="S22" s="1464"/>
      <c r="T22" s="1463"/>
      <c r="U22" s="1464"/>
      <c r="V22" s="1463"/>
      <c r="W22" s="1464"/>
      <c r="X22" s="2353"/>
      <c r="Y22" s="3686"/>
      <c r="Z22" s="2352"/>
      <c r="AA22" s="1466">
        <v>1</v>
      </c>
      <c r="AB22" s="1466">
        <v>1</v>
      </c>
      <c r="AC22" s="1466">
        <v>1</v>
      </c>
    </row>
    <row r="23" spans="1:29" ht="82.8">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686"/>
      <c r="Q23" s="1462" t="str">
        <f>B23</f>
        <v>环境质量</v>
      </c>
      <c r="R23" s="1463" t="s">
        <v>8</v>
      </c>
      <c r="S23" s="1464">
        <f>F23</f>
        <v>100</v>
      </c>
      <c r="T23" s="1463" t="s">
        <v>8</v>
      </c>
      <c r="U23" s="1464">
        <f>H23</f>
        <v>100</v>
      </c>
      <c r="V23" s="1463" t="s">
        <v>8</v>
      </c>
      <c r="W23" s="1464">
        <f>J23</f>
        <v>100</v>
      </c>
      <c r="X23" s="1457"/>
      <c r="Y23" s="3686"/>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686"/>
      <c r="Q24" s="1462"/>
      <c r="R24" s="1463"/>
      <c r="S24" s="1464"/>
      <c r="T24" s="1463"/>
      <c r="U24" s="1464"/>
      <c r="V24" s="1463"/>
      <c r="W24" s="1464"/>
      <c r="X24" s="1457"/>
      <c r="Y24" s="3686"/>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86"/>
      <c r="Q25" s="1462">
        <f>B25</f>
        <v>111</v>
      </c>
      <c r="R25" s="1463" t="s">
        <v>8</v>
      </c>
      <c r="S25" s="1464">
        <f>F25</f>
        <v>100</v>
      </c>
      <c r="T25" s="1463" t="s">
        <v>8</v>
      </c>
      <c r="U25" s="1464">
        <f>H25</f>
        <v>100</v>
      </c>
      <c r="V25" s="1463" t="s">
        <v>8</v>
      </c>
      <c r="W25" s="1464">
        <f>J25</f>
        <v>100</v>
      </c>
      <c r="X25" s="1457"/>
      <c r="Y25" s="3686"/>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86"/>
      <c r="Q26" s="1462">
        <f t="shared" ref="Q26:Q40" si="11">B26</f>
        <v>111</v>
      </c>
      <c r="R26" s="1463" t="s">
        <v>8</v>
      </c>
      <c r="S26" s="1464">
        <f>F26</f>
        <v>100</v>
      </c>
      <c r="T26" s="1463" t="s">
        <v>8</v>
      </c>
      <c r="U26" s="1464">
        <f>H26</f>
        <v>100</v>
      </c>
      <c r="V26" s="1463" t="s">
        <v>8</v>
      </c>
      <c r="W26" s="1464">
        <f>J26</f>
        <v>100</v>
      </c>
      <c r="X26" s="1457"/>
      <c r="Y26" s="3686"/>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86"/>
      <c r="Q27" s="1097">
        <f t="shared" si="11"/>
        <v>111</v>
      </c>
      <c r="R27" s="1458" t="s">
        <v>8</v>
      </c>
      <c r="S27" s="1459">
        <f>F27</f>
        <v>100</v>
      </c>
      <c r="T27" s="1458" t="s">
        <v>8</v>
      </c>
      <c r="U27" s="1459">
        <f>H27</f>
        <v>100</v>
      </c>
      <c r="V27" s="1458" t="s">
        <v>8</v>
      </c>
      <c r="W27" s="1459">
        <f>J27</f>
        <v>100</v>
      </c>
      <c r="X27" s="1460"/>
      <c r="Y27" s="3686"/>
      <c r="Z27" s="1096">
        <f>Q27</f>
        <v>111</v>
      </c>
      <c r="AA27" s="1466">
        <f>D27/F27</f>
        <v>1</v>
      </c>
      <c r="AB27" s="1466">
        <f>D27/H27</f>
        <v>1</v>
      </c>
      <c r="AC27" s="1466">
        <f>D27/J27</f>
        <v>1</v>
      </c>
    </row>
    <row r="28" spans="1:29" ht="15.6"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686"/>
      <c r="Q28" s="1462">
        <f t="shared" si="11"/>
        <v>111</v>
      </c>
      <c r="R28" s="1463" t="s">
        <v>8</v>
      </c>
      <c r="S28" s="1464">
        <f t="shared" ref="S28:S40" si="12">F28</f>
        <v>100</v>
      </c>
      <c r="T28" s="1463" t="s">
        <v>8</v>
      </c>
      <c r="U28" s="1464">
        <f t="shared" ref="U28:U40" si="13">H28</f>
        <v>100</v>
      </c>
      <c r="V28" s="1463" t="s">
        <v>8</v>
      </c>
      <c r="W28" s="1464">
        <f t="shared" ref="W28:W40" si="14">J28</f>
        <v>100</v>
      </c>
      <c r="X28" s="1457"/>
      <c r="Y28" s="3686"/>
      <c r="Z28" s="1465">
        <f t="shared" ref="Z28:Z40" si="15">Q28</f>
        <v>111</v>
      </c>
      <c r="AA28" s="1466">
        <f t="shared" si="3"/>
        <v>1</v>
      </c>
      <c r="AB28" s="1466">
        <f t="shared" si="4"/>
        <v>1</v>
      </c>
      <c r="AC28" s="1466">
        <f t="shared" si="5"/>
        <v>1</v>
      </c>
    </row>
    <row r="29" spans="1:29" ht="15">
      <c r="A29" s="2546" t="s">
        <v>2472</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687" t="s">
        <v>533</v>
      </c>
      <c r="Q29" s="1462" t="str">
        <f t="shared" si="11"/>
        <v>建筑类型</v>
      </c>
      <c r="R29" s="1463" t="s">
        <v>8</v>
      </c>
      <c r="S29" s="1464">
        <f t="shared" si="12"/>
        <v>100</v>
      </c>
      <c r="T29" s="1463" t="s">
        <v>8</v>
      </c>
      <c r="U29" s="1464">
        <f t="shared" si="13"/>
        <v>100</v>
      </c>
      <c r="V29" s="1463" t="s">
        <v>8</v>
      </c>
      <c r="W29" s="1464">
        <f t="shared" si="14"/>
        <v>100</v>
      </c>
      <c r="X29" s="1457"/>
      <c r="Y29" s="3688"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88"/>
      <c r="Q30" s="1491" t="str">
        <f t="shared" si="11"/>
        <v>项目建筑规模</v>
      </c>
      <c r="R30" s="1467" t="s">
        <v>8</v>
      </c>
      <c r="S30" s="1468" t="e">
        <f t="shared" si="12"/>
        <v>#N/A</v>
      </c>
      <c r="T30" s="1467" t="s">
        <v>8</v>
      </c>
      <c r="U30" s="1468" t="e">
        <f t="shared" si="13"/>
        <v>#N/A</v>
      </c>
      <c r="V30" s="1467" t="s">
        <v>8</v>
      </c>
      <c r="W30" s="1468" t="e">
        <f t="shared" si="14"/>
        <v>#N/A</v>
      </c>
      <c r="X30" s="1469"/>
      <c r="Y30" s="3688"/>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88"/>
      <c r="Q31" s="1462" t="str">
        <f t="shared" si="11"/>
        <v>建筑结构</v>
      </c>
      <c r="R31" s="1463" t="s">
        <v>8</v>
      </c>
      <c r="S31" s="1464">
        <f t="shared" si="12"/>
        <v>100</v>
      </c>
      <c r="T31" s="1463" t="s">
        <v>8</v>
      </c>
      <c r="U31" s="1464">
        <f t="shared" si="13"/>
        <v>100</v>
      </c>
      <c r="V31" s="1463" t="s">
        <v>8</v>
      </c>
      <c r="W31" s="1464">
        <f t="shared" si="14"/>
        <v>100</v>
      </c>
      <c r="X31" s="1457"/>
      <c r="Y31" s="3688"/>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88"/>
      <c r="Q32" s="1462" t="str">
        <f t="shared" si="11"/>
        <v>公共部分装修</v>
      </c>
      <c r="R32" s="1463" t="s">
        <v>8</v>
      </c>
      <c r="S32" s="1464">
        <f t="shared" si="12"/>
        <v>100</v>
      </c>
      <c r="T32" s="1463" t="s">
        <v>8</v>
      </c>
      <c r="U32" s="1464">
        <f t="shared" si="13"/>
        <v>100</v>
      </c>
      <c r="V32" s="1463" t="s">
        <v>8</v>
      </c>
      <c r="W32" s="1464">
        <f t="shared" si="14"/>
        <v>100</v>
      </c>
      <c r="X32" s="1457"/>
      <c r="Y32" s="3688"/>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688"/>
      <c r="Q33" s="1462" t="str">
        <f t="shared" si="11"/>
        <v>成新度</v>
      </c>
      <c r="R33" s="1463" t="s">
        <v>8</v>
      </c>
      <c r="S33" s="1464" t="e">
        <f t="shared" si="12"/>
        <v>#N/A</v>
      </c>
      <c r="T33" s="1463" t="s">
        <v>8</v>
      </c>
      <c r="U33" s="1464" t="e">
        <f t="shared" si="13"/>
        <v>#N/A</v>
      </c>
      <c r="V33" s="1463" t="s">
        <v>8</v>
      </c>
      <c r="W33" s="1464" t="e">
        <f t="shared" si="14"/>
        <v>#N/A</v>
      </c>
      <c r="X33" s="1457"/>
      <c r="Y33" s="3688"/>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88"/>
      <c r="Q34" s="1097" t="str">
        <f t="shared" si="11"/>
        <v>物业管理</v>
      </c>
      <c r="R34" s="1458" t="s">
        <v>8</v>
      </c>
      <c r="S34" s="1459">
        <f t="shared" si="12"/>
        <v>100</v>
      </c>
      <c r="T34" s="1458" t="s">
        <v>8</v>
      </c>
      <c r="U34" s="1459">
        <f t="shared" si="13"/>
        <v>100</v>
      </c>
      <c r="V34" s="1458" t="s">
        <v>8</v>
      </c>
      <c r="W34" s="1459">
        <f t="shared" si="14"/>
        <v>100</v>
      </c>
      <c r="X34" s="1460"/>
      <c r="Y34" s="3688"/>
      <c r="Z34" s="1096"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88" t="s">
        <v>533</v>
      </c>
      <c r="Q35" s="1462" t="str">
        <f t="shared" si="11"/>
        <v>市政基础设施</v>
      </c>
      <c r="R35" s="1463" t="s">
        <v>8</v>
      </c>
      <c r="S35" s="1464">
        <f t="shared" si="12"/>
        <v>100</v>
      </c>
      <c r="T35" s="1463" t="s">
        <v>8</v>
      </c>
      <c r="U35" s="1464">
        <f t="shared" si="13"/>
        <v>100</v>
      </c>
      <c r="V35" s="1463" t="s">
        <v>8</v>
      </c>
      <c r="W35" s="1464">
        <f t="shared" si="14"/>
        <v>100</v>
      </c>
      <c r="X35" s="1457"/>
      <c r="Y35" s="3688"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88"/>
      <c r="Q36" s="1462" t="str">
        <f t="shared" si="11"/>
        <v>内部装修</v>
      </c>
      <c r="R36" s="1463" t="s">
        <v>8</v>
      </c>
      <c r="S36" s="1464">
        <f t="shared" si="12"/>
        <v>100</v>
      </c>
      <c r="T36" s="1463" t="s">
        <v>8</v>
      </c>
      <c r="U36" s="1464">
        <f t="shared" si="13"/>
        <v>100</v>
      </c>
      <c r="V36" s="1463" t="s">
        <v>8</v>
      </c>
      <c r="W36" s="1464">
        <f t="shared" si="14"/>
        <v>100</v>
      </c>
      <c r="X36" s="1457"/>
      <c r="Y36" s="3688"/>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88"/>
      <c r="Q37" s="1462" t="str">
        <f t="shared" si="11"/>
        <v>内部装修状况</v>
      </c>
      <c r="R37" s="1463" t="s">
        <v>8</v>
      </c>
      <c r="S37" s="1464">
        <f t="shared" si="12"/>
        <v>100</v>
      </c>
      <c r="T37" s="1463" t="s">
        <v>8</v>
      </c>
      <c r="U37" s="1464">
        <f t="shared" si="13"/>
        <v>100</v>
      </c>
      <c r="V37" s="1463" t="s">
        <v>8</v>
      </c>
      <c r="W37" s="1464">
        <f t="shared" si="14"/>
        <v>100</v>
      </c>
      <c r="X37" s="1457"/>
      <c r="Y37" s="3688"/>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688"/>
      <c r="Q38" s="1491">
        <f t="shared" si="11"/>
        <v>111</v>
      </c>
      <c r="R38" s="1467" t="s">
        <v>8</v>
      </c>
      <c r="S38" s="1468">
        <f t="shared" si="12"/>
        <v>100</v>
      </c>
      <c r="T38" s="1467" t="s">
        <v>8</v>
      </c>
      <c r="U38" s="1468">
        <f t="shared" si="13"/>
        <v>100</v>
      </c>
      <c r="V38" s="1467" t="s">
        <v>8</v>
      </c>
      <c r="W38" s="1468">
        <f t="shared" si="14"/>
        <v>100</v>
      </c>
      <c r="X38" s="1469"/>
      <c r="Y38" s="3688"/>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688"/>
      <c r="Q39" s="1462">
        <f t="shared" si="11"/>
        <v>111</v>
      </c>
      <c r="R39" s="1463" t="s">
        <v>8</v>
      </c>
      <c r="S39" s="1464">
        <f t="shared" si="12"/>
        <v>100</v>
      </c>
      <c r="T39" s="1463" t="s">
        <v>8</v>
      </c>
      <c r="U39" s="1464">
        <f t="shared" si="13"/>
        <v>100</v>
      </c>
      <c r="V39" s="1463" t="s">
        <v>8</v>
      </c>
      <c r="W39" s="1464">
        <f t="shared" si="14"/>
        <v>100</v>
      </c>
      <c r="X39" s="1457"/>
      <c r="Y39" s="3688"/>
      <c r="Z39" s="1465">
        <f t="shared" si="15"/>
        <v>111</v>
      </c>
      <c r="AA39" s="1466">
        <f t="shared" si="3"/>
        <v>1</v>
      </c>
      <c r="AB39" s="1466">
        <f t="shared" si="4"/>
        <v>1</v>
      </c>
      <c r="AC39" s="1466">
        <f t="shared" si="5"/>
        <v>1</v>
      </c>
    </row>
    <row r="40" spans="1:29" ht="15.6"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800"/>
      <c r="Q40" s="1462">
        <f t="shared" si="11"/>
        <v>111</v>
      </c>
      <c r="R40" s="1463" t="s">
        <v>8</v>
      </c>
      <c r="S40" s="1464">
        <f t="shared" si="12"/>
        <v>100</v>
      </c>
      <c r="T40" s="1463" t="s">
        <v>8</v>
      </c>
      <c r="U40" s="1464">
        <f t="shared" si="13"/>
        <v>100</v>
      </c>
      <c r="V40" s="1463" t="s">
        <v>8</v>
      </c>
      <c r="W40" s="1464">
        <f t="shared" si="14"/>
        <v>100</v>
      </c>
      <c r="X40" s="1457"/>
      <c r="Y40" s="3800"/>
      <c r="Z40" s="1465">
        <f t="shared" si="15"/>
        <v>111</v>
      </c>
      <c r="AA40" s="1466">
        <f t="shared" si="3"/>
        <v>1</v>
      </c>
      <c r="AB40" s="1466">
        <f t="shared" si="4"/>
        <v>1</v>
      </c>
      <c r="AC40" s="1466">
        <f t="shared" si="5"/>
        <v>1</v>
      </c>
    </row>
    <row r="41" spans="1:29" ht="14.4">
      <c r="A41" s="584" t="s">
        <v>718</v>
      </c>
      <c r="B41" s="858"/>
      <c r="C41" s="2392" t="s">
        <v>1</v>
      </c>
      <c r="D41" s="2393"/>
      <c r="E41" s="2394"/>
      <c r="F41" s="2395"/>
      <c r="G41" s="2396"/>
      <c r="H41" s="2397"/>
      <c r="I41" s="2394"/>
      <c r="J41" s="2397"/>
      <c r="K41" s="1496"/>
      <c r="L41" s="1980"/>
      <c r="M41" s="1981"/>
      <c r="N41" s="1970"/>
      <c r="O41" s="1981"/>
      <c r="P41" s="3683" t="str">
        <f>A41</f>
        <v>成交单价（元/平方米）</v>
      </c>
      <c r="Q41" s="3683"/>
      <c r="R41" s="3799">
        <f>E41</f>
        <v>0</v>
      </c>
      <c r="S41" s="3799"/>
      <c r="T41" s="3799">
        <f>G41</f>
        <v>0</v>
      </c>
      <c r="U41" s="3799"/>
      <c r="V41" s="3799">
        <f>I41</f>
        <v>0</v>
      </c>
      <c r="W41" s="3799"/>
      <c r="X41" s="1452"/>
      <c r="Y41" s="1471"/>
      <c r="Z41" s="1452"/>
      <c r="AA41" s="1452"/>
      <c r="AB41" s="1452"/>
      <c r="AC41" s="1452"/>
    </row>
    <row r="42" spans="1:29" ht="15" thickBot="1">
      <c r="A42" s="592"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83" t="str">
        <f>A42</f>
        <v>比较价格（元/平方米）</v>
      </c>
      <c r="Q42" s="3683"/>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1452"/>
      <c r="Y42" s="1452"/>
      <c r="Z42" s="1452"/>
      <c r="AA42" s="1452"/>
      <c r="AB42" s="1452"/>
      <c r="AC42" s="1452"/>
    </row>
    <row r="43" spans="1:29" ht="15" thickBot="1">
      <c r="A43" s="596" t="s">
        <v>2637</v>
      </c>
      <c r="B43" s="597"/>
      <c r="C43" s="2400" t="e">
        <f>R43</f>
        <v>#DIV/0!</v>
      </c>
      <c r="D43" s="2400"/>
      <c r="E43" s="2400"/>
      <c r="F43" s="2400"/>
      <c r="G43" s="2400"/>
      <c r="H43" s="2400"/>
      <c r="I43" s="2400"/>
      <c r="J43" s="2400"/>
      <c r="K43" s="1497"/>
      <c r="L43" s="1980"/>
      <c r="M43" s="1981"/>
      <c r="N43" s="1981"/>
      <c r="O43" s="1981"/>
      <c r="P43" s="3689" t="str">
        <f>A43</f>
        <v>估价对象XX用房的比较价格（楼面单价，元/平方米）</v>
      </c>
      <c r="Q43" s="3690"/>
      <c r="R43" s="3798" t="e">
        <f>IF(F1="售价",ROUND(IF(D42="简单平均",AVERAGE(R42:V42),R42*F42+T42*H42+V42*J42),0),ROUND(IF(D42="简单平均",AVERAGE(R42:V42),R42*F42+T42*H42+V42*J42),1))</f>
        <v>#DIV/0!</v>
      </c>
      <c r="S43" s="3798"/>
      <c r="T43" s="3798"/>
      <c r="U43" s="3798"/>
      <c r="V43" s="3798"/>
      <c r="W43" s="3798"/>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2.2"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4.4">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4.4">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4.4"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ht="14.4">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4.4"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9.4"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4.4"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4.4"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4.4"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4.4"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4.4"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4.4"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ht="14.4">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4.4"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4.4"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4.4"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 thickTop="1">
      <c r="A76" s="644"/>
      <c r="B76" s="2363" t="s">
        <v>2276</v>
      </c>
      <c r="C76" s="2364" t="s">
        <v>2277</v>
      </c>
      <c r="D76" s="2364" t="s">
        <v>2278</v>
      </c>
      <c r="E76" s="2364" t="s">
        <v>2279</v>
      </c>
      <c r="F76" s="2364" t="s">
        <v>2280</v>
      </c>
      <c r="G76" s="2364" t="s">
        <v>2281</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4.4"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4.4"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4.4"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4.4"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4.4"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4.4"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4.4"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4.4"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4.4"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4.4"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ht="14.4">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4.4"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9.4"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4.4"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4.4"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4.4"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4.4"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4.4"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4.4"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4.4">
      <c r="A4" s="489" t="s">
        <v>779</v>
      </c>
      <c r="B4" s="490"/>
      <c r="C4" s="3691" t="s">
        <v>780</v>
      </c>
      <c r="D4" s="3692"/>
      <c r="E4" s="3691" t="s">
        <v>781</v>
      </c>
      <c r="F4" s="3692"/>
      <c r="G4" s="3691" t="s">
        <v>782</v>
      </c>
      <c r="H4" s="3692"/>
      <c r="I4" s="3691" t="s">
        <v>783</v>
      </c>
      <c r="J4" s="3692"/>
      <c r="K4" s="491" t="s">
        <v>784</v>
      </c>
      <c r="L4" s="1969"/>
      <c r="M4" s="1970"/>
      <c r="N4" s="1970"/>
      <c r="O4" s="1970"/>
      <c r="P4" s="3693" t="s">
        <v>785</v>
      </c>
      <c r="Q4" s="3694"/>
      <c r="R4" s="3677" t="s">
        <v>781</v>
      </c>
      <c r="S4" s="3678"/>
      <c r="T4" s="3677" t="s">
        <v>782</v>
      </c>
      <c r="U4" s="3678"/>
      <c r="V4" s="3699" t="s">
        <v>783</v>
      </c>
      <c r="W4" s="3699"/>
      <c r="X4" s="1457"/>
      <c r="Y4" s="3677" t="s">
        <v>785</v>
      </c>
      <c r="Z4" s="3678"/>
      <c r="AA4" s="3672" t="s">
        <v>781</v>
      </c>
      <c r="AB4" s="3673" t="s">
        <v>782</v>
      </c>
      <c r="AC4" s="3672" t="s">
        <v>783</v>
      </c>
    </row>
    <row r="5" spans="1:29">
      <c r="A5" s="492"/>
      <c r="B5" s="493"/>
      <c r="C5" s="3702" t="s">
        <v>2631</v>
      </c>
      <c r="D5" s="3703"/>
      <c r="E5" s="3702" t="s">
        <v>2632</v>
      </c>
      <c r="F5" s="3703"/>
      <c r="G5" s="3702" t="s">
        <v>2633</v>
      </c>
      <c r="H5" s="3703"/>
      <c r="I5" s="3702" t="s">
        <v>2634</v>
      </c>
      <c r="J5" s="3703"/>
      <c r="K5" s="491"/>
      <c r="L5" s="1969"/>
      <c r="M5" s="1970"/>
      <c r="N5" s="1970"/>
      <c r="O5" s="1970"/>
      <c r="P5" s="3695"/>
      <c r="Q5" s="3696"/>
      <c r="R5" s="3679"/>
      <c r="S5" s="3680"/>
      <c r="T5" s="3679"/>
      <c r="U5" s="3680"/>
      <c r="V5" s="3699"/>
      <c r="W5" s="3699"/>
      <c r="X5" s="1457"/>
      <c r="Y5" s="3679"/>
      <c r="Z5" s="3680"/>
      <c r="AA5" s="3673"/>
      <c r="AB5" s="3673"/>
      <c r="AC5" s="3673"/>
    </row>
    <row r="6" spans="1:29" ht="15" thickBot="1">
      <c r="A6" s="494"/>
      <c r="B6" s="495"/>
      <c r="C6" s="3700" t="s">
        <v>2635</v>
      </c>
      <c r="D6" s="3701"/>
      <c r="E6" s="3704" t="s">
        <v>2635</v>
      </c>
      <c r="F6" s="3705"/>
      <c r="G6" s="3700" t="s">
        <v>2635</v>
      </c>
      <c r="H6" s="3701"/>
      <c r="I6" s="3700" t="s">
        <v>2635</v>
      </c>
      <c r="J6" s="3701"/>
      <c r="K6" s="491" t="s">
        <v>511</v>
      </c>
      <c r="L6" s="1969"/>
      <c r="M6" s="1970"/>
      <c r="N6" s="1970"/>
      <c r="O6" s="1970"/>
      <c r="P6" s="3697"/>
      <c r="Q6" s="3698"/>
      <c r="R6" s="3679"/>
      <c r="S6" s="3680"/>
      <c r="T6" s="3681"/>
      <c r="U6" s="3682"/>
      <c r="V6" s="3699"/>
      <c r="W6" s="3699"/>
      <c r="X6" s="1457"/>
      <c r="Y6" s="3681"/>
      <c r="Z6" s="3682"/>
      <c r="AA6" s="3674"/>
      <c r="AB6" s="3674"/>
      <c r="AC6" s="3674"/>
    </row>
    <row r="7" spans="1:29" s="1166" customFormat="1" ht="15" thickBot="1">
      <c r="A7" s="2551"/>
      <c r="B7" s="2558" t="s">
        <v>512</v>
      </c>
      <c r="C7" s="496">
        <f>'数据-取费表'!B2</f>
        <v>44756</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75" t="s">
        <v>513</v>
      </c>
      <c r="Q7" s="3684"/>
      <c r="R7" s="1458" t="s">
        <v>8</v>
      </c>
      <c r="S7" s="1459">
        <f t="shared" ref="S7:S14" si="0">F7</f>
        <v>0</v>
      </c>
      <c r="T7" s="1458" t="s">
        <v>8</v>
      </c>
      <c r="U7" s="1459">
        <f t="shared" ref="U7:U14" si="1">H7</f>
        <v>0</v>
      </c>
      <c r="V7" s="1458" t="s">
        <v>8</v>
      </c>
      <c r="W7" s="1459">
        <f t="shared" ref="W7:W14" si="2">J7</f>
        <v>0</v>
      </c>
      <c r="X7" s="1460"/>
      <c r="Y7" s="3675" t="s">
        <v>513</v>
      </c>
      <c r="Z7" s="3676"/>
      <c r="AA7" s="1461" t="e">
        <f>D7/F7</f>
        <v>#DIV/0!</v>
      </c>
      <c r="AB7" s="1461" t="e">
        <f>D7/H7</f>
        <v>#DIV/0!</v>
      </c>
      <c r="AC7" s="1461" t="e">
        <f>D7/J7</f>
        <v>#DIV/0!</v>
      </c>
    </row>
    <row r="8" spans="1:29" s="1166" customFormat="1" ht="1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75" t="s">
        <v>516</v>
      </c>
      <c r="Q8" s="3676"/>
      <c r="R8" s="1458" t="s">
        <v>8</v>
      </c>
      <c r="S8" s="1459">
        <f t="shared" si="0"/>
        <v>0</v>
      </c>
      <c r="T8" s="1458" t="s">
        <v>8</v>
      </c>
      <c r="U8" s="1459">
        <f t="shared" si="1"/>
        <v>0</v>
      </c>
      <c r="V8" s="1458" t="s">
        <v>8</v>
      </c>
      <c r="W8" s="1459">
        <f t="shared" si="2"/>
        <v>0</v>
      </c>
      <c r="X8" s="1460"/>
      <c r="Y8" s="3675" t="s">
        <v>516</v>
      </c>
      <c r="Z8" s="3676"/>
      <c r="AA8" s="1461" t="e">
        <f t="shared" ref="AA8:AA36" si="3">D8/F8</f>
        <v>#DIV/0!</v>
      </c>
      <c r="AB8" s="1461" t="e">
        <f t="shared" ref="AB8:AB36" si="4">D8/H8</f>
        <v>#DIV/0!</v>
      </c>
      <c r="AC8" s="1461" t="e">
        <f t="shared" ref="AC8:AC36" si="5">D8/J8</f>
        <v>#DIV/0!</v>
      </c>
    </row>
    <row r="9" spans="1:29" s="1166" customFormat="1" ht="14.4">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83" t="s">
        <v>518</v>
      </c>
      <c r="Q9" s="1097" t="str">
        <f t="shared" ref="Q9:Q14" si="6">B9</f>
        <v>用途</v>
      </c>
      <c r="R9" s="1458" t="s">
        <v>8</v>
      </c>
      <c r="S9" s="1459">
        <f t="shared" si="0"/>
        <v>100</v>
      </c>
      <c r="T9" s="1458" t="s">
        <v>8</v>
      </c>
      <c r="U9" s="1459">
        <f t="shared" si="1"/>
        <v>100</v>
      </c>
      <c r="V9" s="1458" t="s">
        <v>8</v>
      </c>
      <c r="W9" s="1459">
        <f t="shared" si="2"/>
        <v>100</v>
      </c>
      <c r="X9" s="1460"/>
      <c r="Y9" s="3631" t="s">
        <v>519</v>
      </c>
      <c r="Z9" s="1096" t="str">
        <f t="shared" ref="Z9:Z14" si="7">Q9</f>
        <v>用途</v>
      </c>
      <c r="AA9" s="1461">
        <f t="shared" si="3"/>
        <v>1</v>
      </c>
      <c r="AB9" s="1461">
        <f t="shared" si="4"/>
        <v>1</v>
      </c>
      <c r="AC9" s="1461">
        <f t="shared" si="5"/>
        <v>1</v>
      </c>
    </row>
    <row r="10" spans="1:29" s="1247" customFormat="1" ht="28.8">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83"/>
      <c r="Q10" s="1097" t="str">
        <f t="shared" si="6"/>
        <v>土地使用年限（年）</v>
      </c>
      <c r="R10" s="1458" t="s">
        <v>8</v>
      </c>
      <c r="S10" s="1459">
        <f t="shared" si="0"/>
        <v>100</v>
      </c>
      <c r="T10" s="1458" t="s">
        <v>8</v>
      </c>
      <c r="U10" s="1459">
        <f t="shared" si="1"/>
        <v>100</v>
      </c>
      <c r="V10" s="1458" t="s">
        <v>8</v>
      </c>
      <c r="W10" s="1459">
        <f t="shared" si="2"/>
        <v>100</v>
      </c>
      <c r="X10" s="1460"/>
      <c r="Y10" s="3631"/>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83"/>
      <c r="Q11" s="1097">
        <f t="shared" si="6"/>
        <v>111</v>
      </c>
      <c r="R11" s="1458" t="s">
        <v>8</v>
      </c>
      <c r="S11" s="1459">
        <f t="shared" si="0"/>
        <v>100</v>
      </c>
      <c r="T11" s="1458" t="s">
        <v>8</v>
      </c>
      <c r="U11" s="1459">
        <f t="shared" si="1"/>
        <v>100</v>
      </c>
      <c r="V11" s="1458" t="s">
        <v>8</v>
      </c>
      <c r="W11" s="1459">
        <f t="shared" si="2"/>
        <v>100</v>
      </c>
      <c r="X11" s="1460"/>
      <c r="Y11" s="3631"/>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83"/>
      <c r="Q12" s="1097">
        <f t="shared" si="6"/>
        <v>111</v>
      </c>
      <c r="R12" s="1458" t="s">
        <v>8</v>
      </c>
      <c r="S12" s="1459">
        <f t="shared" si="0"/>
        <v>100</v>
      </c>
      <c r="T12" s="1458" t="s">
        <v>8</v>
      </c>
      <c r="U12" s="1459">
        <f t="shared" si="1"/>
        <v>100</v>
      </c>
      <c r="V12" s="1458" t="s">
        <v>8</v>
      </c>
      <c r="W12" s="1459">
        <f t="shared" si="2"/>
        <v>100</v>
      </c>
      <c r="X12" s="1460"/>
      <c r="Y12" s="3631"/>
      <c r="Z12" s="1096">
        <f t="shared" si="7"/>
        <v>111</v>
      </c>
      <c r="AA12" s="1461">
        <f>D12/F12</f>
        <v>1</v>
      </c>
      <c r="AB12" s="1461">
        <f>D12/H12</f>
        <v>1</v>
      </c>
      <c r="AC12" s="1461">
        <f>D12/J12</f>
        <v>1</v>
      </c>
    </row>
    <row r="13" spans="1:29" ht="15.6"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83"/>
      <c r="Q13" s="1097">
        <f t="shared" si="6"/>
        <v>111</v>
      </c>
      <c r="R13" s="1458" t="s">
        <v>8</v>
      </c>
      <c r="S13" s="1459">
        <f t="shared" si="0"/>
        <v>100</v>
      </c>
      <c r="T13" s="1458" t="s">
        <v>8</v>
      </c>
      <c r="U13" s="1459">
        <f t="shared" si="1"/>
        <v>100</v>
      </c>
      <c r="V13" s="1458" t="s">
        <v>8</v>
      </c>
      <c r="W13" s="1459">
        <f t="shared" si="2"/>
        <v>100</v>
      </c>
      <c r="X13" s="1460"/>
      <c r="Y13" s="3631"/>
      <c r="Z13" s="1096">
        <f t="shared" si="7"/>
        <v>111</v>
      </c>
      <c r="AA13" s="1461">
        <f t="shared" si="3"/>
        <v>1</v>
      </c>
      <c r="AB13" s="1461">
        <f t="shared" si="4"/>
        <v>1</v>
      </c>
      <c r="AC13" s="1461">
        <f t="shared" si="5"/>
        <v>1</v>
      </c>
    </row>
    <row r="14" spans="1:29" ht="96.6">
      <c r="A14" s="2549" t="s">
        <v>2471</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685" t="s">
        <v>523</v>
      </c>
      <c r="Q14" s="1462" t="str">
        <f t="shared" si="6"/>
        <v>交通便捷度</v>
      </c>
      <c r="R14" s="1463" t="s">
        <v>8</v>
      </c>
      <c r="S14" s="1464">
        <f t="shared" si="0"/>
        <v>100</v>
      </c>
      <c r="T14" s="1463" t="s">
        <v>8</v>
      </c>
      <c r="U14" s="1464">
        <f t="shared" si="1"/>
        <v>100</v>
      </c>
      <c r="V14" s="1463" t="s">
        <v>8</v>
      </c>
      <c r="W14" s="1464">
        <f t="shared" si="2"/>
        <v>100</v>
      </c>
      <c r="X14" s="1457"/>
      <c r="Y14" s="3685"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686"/>
      <c r="Q15" s="1462"/>
      <c r="R15" s="1463"/>
      <c r="S15" s="1464"/>
      <c r="T15" s="1463"/>
      <c r="U15" s="1464"/>
      <c r="V15" s="1463"/>
      <c r="W15" s="1464"/>
      <c r="X15" s="1457"/>
      <c r="Y15" s="3686"/>
      <c r="Z15" s="1465"/>
      <c r="AA15" s="1466">
        <v>1</v>
      </c>
      <c r="AB15" s="1466">
        <v>1</v>
      </c>
      <c r="AC15" s="1466">
        <v>1</v>
      </c>
    </row>
    <row r="16" spans="1:29" ht="41.4">
      <c r="A16" s="492"/>
      <c r="B16" s="2369"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686"/>
      <c r="Q16" s="1462" t="str">
        <f>B16</f>
        <v>公共配套设施</v>
      </c>
      <c r="R16" s="1463" t="s">
        <v>8</v>
      </c>
      <c r="S16" s="1464">
        <f>F16</f>
        <v>100</v>
      </c>
      <c r="T16" s="1463" t="s">
        <v>8</v>
      </c>
      <c r="U16" s="1464">
        <f>H16</f>
        <v>100</v>
      </c>
      <c r="V16" s="1463" t="s">
        <v>8</v>
      </c>
      <c r="W16" s="1464">
        <f>J16</f>
        <v>100</v>
      </c>
      <c r="X16" s="1457"/>
      <c r="Y16" s="3686"/>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686"/>
      <c r="Q17" s="1462"/>
      <c r="R17" s="1463"/>
      <c r="S17" s="1464"/>
      <c r="T17" s="1463"/>
      <c r="U17" s="1464"/>
      <c r="V17" s="1463"/>
      <c r="W17" s="1464"/>
      <c r="X17" s="1457"/>
      <c r="Y17" s="3686"/>
      <c r="Z17" s="1465"/>
      <c r="AA17" s="1466">
        <v>1</v>
      </c>
      <c r="AB17" s="1466">
        <v>1</v>
      </c>
      <c r="AC17" s="1466">
        <v>1</v>
      </c>
    </row>
    <row r="18" spans="1:29" ht="41.4">
      <c r="A18" s="492"/>
      <c r="B18" s="2357"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686"/>
      <c r="Q18" s="2351" t="str">
        <f>B18</f>
        <v>基础设施水平</v>
      </c>
      <c r="R18" s="1463" t="s">
        <v>8</v>
      </c>
      <c r="S18" s="1464">
        <f>F18</f>
        <v>100</v>
      </c>
      <c r="T18" s="1463" t="s">
        <v>8</v>
      </c>
      <c r="U18" s="1464">
        <f>H18</f>
        <v>100</v>
      </c>
      <c r="V18" s="1463" t="s">
        <v>8</v>
      </c>
      <c r="W18" s="1464">
        <f>J18</f>
        <v>100</v>
      </c>
      <c r="X18" s="2353"/>
      <c r="Y18" s="3686"/>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686"/>
      <c r="Q19" s="2351"/>
      <c r="R19" s="1463"/>
      <c r="S19" s="1464"/>
      <c r="T19" s="1463"/>
      <c r="U19" s="1464"/>
      <c r="V19" s="1463"/>
      <c r="W19" s="1464"/>
      <c r="X19" s="2353"/>
      <c r="Y19" s="3686"/>
      <c r="Z19" s="2352"/>
      <c r="AA19" s="1466">
        <v>1</v>
      </c>
      <c r="AB19" s="1466">
        <v>1</v>
      </c>
      <c r="AC19" s="1466">
        <v>1</v>
      </c>
    </row>
    <row r="20" spans="1:29" ht="55.2">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686"/>
      <c r="Q20" s="1462" t="str">
        <f>B20</f>
        <v>自然及人文环境</v>
      </c>
      <c r="R20" s="1463" t="s">
        <v>8</v>
      </c>
      <c r="S20" s="1464">
        <f>F20</f>
        <v>100</v>
      </c>
      <c r="T20" s="1463" t="s">
        <v>8</v>
      </c>
      <c r="U20" s="1464">
        <f>H20</f>
        <v>100</v>
      </c>
      <c r="V20" s="1463" t="s">
        <v>8</v>
      </c>
      <c r="W20" s="1464">
        <f>J20</f>
        <v>100</v>
      </c>
      <c r="X20" s="1457"/>
      <c r="Y20" s="3686"/>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686"/>
      <c r="Q21" s="1462"/>
      <c r="R21" s="1463"/>
      <c r="S21" s="1464"/>
      <c r="T21" s="1463"/>
      <c r="U21" s="1464"/>
      <c r="V21" s="1463"/>
      <c r="W21" s="1464"/>
      <c r="X21" s="1457"/>
      <c r="Y21" s="3686"/>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86"/>
      <c r="Q22" s="1462" t="str">
        <f>B22</f>
        <v>楼层</v>
      </c>
      <c r="R22" s="1463" t="s">
        <v>8</v>
      </c>
      <c r="S22" s="1464">
        <f>F22</f>
        <v>100</v>
      </c>
      <c r="T22" s="1463" t="s">
        <v>8</v>
      </c>
      <c r="U22" s="1464">
        <f>H22</f>
        <v>100</v>
      </c>
      <c r="V22" s="1463" t="s">
        <v>8</v>
      </c>
      <c r="W22" s="1464">
        <f>J22</f>
        <v>100</v>
      </c>
      <c r="X22" s="1457"/>
      <c r="Y22" s="3686"/>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86"/>
      <c r="Q23" s="1462">
        <f>B23</f>
        <v>111</v>
      </c>
      <c r="R23" s="1463" t="s">
        <v>8</v>
      </c>
      <c r="S23" s="1464">
        <f>F23</f>
        <v>100</v>
      </c>
      <c r="T23" s="1463" t="s">
        <v>8</v>
      </c>
      <c r="U23" s="1464">
        <f>H23</f>
        <v>100</v>
      </c>
      <c r="V23" s="1463" t="s">
        <v>8</v>
      </c>
      <c r="W23" s="1464">
        <f>J23</f>
        <v>100</v>
      </c>
      <c r="X23" s="1457"/>
      <c r="Y23" s="3686"/>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86"/>
      <c r="Q24" s="1462">
        <f t="shared" ref="Q24:Q36" si="11">B24</f>
        <v>111</v>
      </c>
      <c r="R24" s="1463" t="s">
        <v>8</v>
      </c>
      <c r="S24" s="1464">
        <f>F24</f>
        <v>100</v>
      </c>
      <c r="T24" s="1463" t="s">
        <v>8</v>
      </c>
      <c r="U24" s="1464">
        <f>H24</f>
        <v>100</v>
      </c>
      <c r="V24" s="1463" t="s">
        <v>8</v>
      </c>
      <c r="W24" s="1464">
        <f>J24</f>
        <v>100</v>
      </c>
      <c r="X24" s="1457"/>
      <c r="Y24" s="3686"/>
      <c r="Z24" s="1465">
        <f>Q24</f>
        <v>111</v>
      </c>
      <c r="AA24" s="1466">
        <f t="shared" si="3"/>
        <v>1</v>
      </c>
      <c r="AB24" s="1466">
        <f t="shared" si="4"/>
        <v>1</v>
      </c>
      <c r="AC24" s="1466">
        <f t="shared" si="5"/>
        <v>1</v>
      </c>
    </row>
    <row r="25" spans="1:29" s="1166" customFormat="1" ht="15.6"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686"/>
      <c r="Q25" s="1097">
        <f t="shared" si="11"/>
        <v>111</v>
      </c>
      <c r="R25" s="1458" t="s">
        <v>8</v>
      </c>
      <c r="S25" s="1459">
        <f>F25</f>
        <v>100</v>
      </c>
      <c r="T25" s="1458" t="s">
        <v>8</v>
      </c>
      <c r="U25" s="1459">
        <f>H25</f>
        <v>100</v>
      </c>
      <c r="V25" s="1458" t="s">
        <v>8</v>
      </c>
      <c r="W25" s="1459">
        <f>J25</f>
        <v>100</v>
      </c>
      <c r="X25" s="1460"/>
      <c r="Y25" s="3686"/>
      <c r="Z25" s="1096">
        <f>Q25</f>
        <v>111</v>
      </c>
      <c r="AA25" s="1466">
        <f>D25/F25</f>
        <v>1</v>
      </c>
      <c r="AB25" s="1466">
        <f>D25/H25</f>
        <v>1</v>
      </c>
      <c r="AC25" s="1466">
        <f>D25/J25</f>
        <v>1</v>
      </c>
    </row>
    <row r="26" spans="1:29" ht="15">
      <c r="A26" s="2546" t="s">
        <v>2472</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687"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88"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688"/>
      <c r="Q27" s="1491" t="str">
        <f t="shared" si="11"/>
        <v>项目停车位配比</v>
      </c>
      <c r="R27" s="1467" t="s">
        <v>8</v>
      </c>
      <c r="S27" s="1468">
        <f t="shared" si="12"/>
        <v>100</v>
      </c>
      <c r="T27" s="1467" t="s">
        <v>8</v>
      </c>
      <c r="U27" s="1468">
        <f t="shared" si="13"/>
        <v>100</v>
      </c>
      <c r="V27" s="1467" t="s">
        <v>8</v>
      </c>
      <c r="W27" s="1468">
        <f t="shared" si="14"/>
        <v>100</v>
      </c>
      <c r="X27" s="1469"/>
      <c r="Y27" s="3688"/>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88"/>
      <c r="Q28" s="1462" t="str">
        <f t="shared" si="11"/>
        <v>公共部分装修</v>
      </c>
      <c r="R28" s="1463" t="s">
        <v>8</v>
      </c>
      <c r="S28" s="1464">
        <f t="shared" si="12"/>
        <v>100</v>
      </c>
      <c r="T28" s="1463" t="s">
        <v>8</v>
      </c>
      <c r="U28" s="1464">
        <f t="shared" si="13"/>
        <v>100</v>
      </c>
      <c r="V28" s="1463" t="s">
        <v>8</v>
      </c>
      <c r="W28" s="1464">
        <f t="shared" si="14"/>
        <v>100</v>
      </c>
      <c r="X28" s="1457"/>
      <c r="Y28" s="3688"/>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688"/>
      <c r="Q29" s="1462" t="str">
        <f t="shared" si="11"/>
        <v>成新率</v>
      </c>
      <c r="R29" s="1463" t="s">
        <v>8</v>
      </c>
      <c r="S29" s="1464" t="e">
        <f t="shared" si="12"/>
        <v>#N/A</v>
      </c>
      <c r="T29" s="1463" t="s">
        <v>8</v>
      </c>
      <c r="U29" s="1464" t="e">
        <f t="shared" si="13"/>
        <v>#N/A</v>
      </c>
      <c r="V29" s="1463" t="s">
        <v>8</v>
      </c>
      <c r="W29" s="1464" t="e">
        <f t="shared" si="14"/>
        <v>#N/A</v>
      </c>
      <c r="X29" s="1457"/>
      <c r="Y29" s="3688"/>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688"/>
      <c r="Q30" s="1462" t="str">
        <f t="shared" si="11"/>
        <v>物业等级</v>
      </c>
      <c r="R30" s="1463" t="s">
        <v>8</v>
      </c>
      <c r="S30" s="1464">
        <f t="shared" si="12"/>
        <v>100</v>
      </c>
      <c r="T30" s="1463" t="s">
        <v>8</v>
      </c>
      <c r="U30" s="1464">
        <f t="shared" si="13"/>
        <v>100</v>
      </c>
      <c r="V30" s="1463" t="s">
        <v>8</v>
      </c>
      <c r="W30" s="1464">
        <f t="shared" si="14"/>
        <v>100</v>
      </c>
      <c r="X30" s="1457"/>
      <c r="Y30" s="3688"/>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688"/>
      <c r="Q31" s="1097" t="str">
        <f t="shared" si="11"/>
        <v>停车位面积</v>
      </c>
      <c r="R31" s="1458" t="s">
        <v>8</v>
      </c>
      <c r="S31" s="1459" t="e">
        <f t="shared" si="12"/>
        <v>#N/A</v>
      </c>
      <c r="T31" s="1458" t="s">
        <v>8</v>
      </c>
      <c r="U31" s="1459" t="e">
        <f t="shared" si="13"/>
        <v>#N/A</v>
      </c>
      <c r="V31" s="1458" t="s">
        <v>8</v>
      </c>
      <c r="W31" s="1459" t="e">
        <f t="shared" si="14"/>
        <v>#N/A</v>
      </c>
      <c r="X31" s="1460"/>
      <c r="Y31" s="3688"/>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88" t="s">
        <v>533</v>
      </c>
      <c r="Q32" s="1462" t="str">
        <f t="shared" si="11"/>
        <v>车位类型</v>
      </c>
      <c r="R32" s="1463" t="s">
        <v>8</v>
      </c>
      <c r="S32" s="1464">
        <f t="shared" si="12"/>
        <v>100</v>
      </c>
      <c r="T32" s="1463" t="s">
        <v>8</v>
      </c>
      <c r="U32" s="1464">
        <f t="shared" si="13"/>
        <v>100</v>
      </c>
      <c r="V32" s="1463" t="s">
        <v>8</v>
      </c>
      <c r="W32" s="1464">
        <f t="shared" si="14"/>
        <v>100</v>
      </c>
      <c r="X32" s="1457"/>
      <c r="Y32" s="3688"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88"/>
      <c r="Q33" s="1462" t="str">
        <f t="shared" si="11"/>
        <v>是否直接入户</v>
      </c>
      <c r="R33" s="1463" t="s">
        <v>8</v>
      </c>
      <c r="S33" s="1464">
        <f t="shared" si="12"/>
        <v>100</v>
      </c>
      <c r="T33" s="1463" t="s">
        <v>8</v>
      </c>
      <c r="U33" s="1464">
        <f t="shared" si="13"/>
        <v>100</v>
      </c>
      <c r="V33" s="1463" t="s">
        <v>8</v>
      </c>
      <c r="W33" s="1464">
        <f t="shared" si="14"/>
        <v>100</v>
      </c>
      <c r="X33" s="1457"/>
      <c r="Y33" s="3688"/>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88"/>
      <c r="Q34" s="1462">
        <f t="shared" si="11"/>
        <v>111</v>
      </c>
      <c r="R34" s="1463" t="s">
        <v>8</v>
      </c>
      <c r="S34" s="1464">
        <f t="shared" si="12"/>
        <v>100</v>
      </c>
      <c r="T34" s="1463" t="s">
        <v>8</v>
      </c>
      <c r="U34" s="1464">
        <f t="shared" si="13"/>
        <v>100</v>
      </c>
      <c r="V34" s="1463" t="s">
        <v>8</v>
      </c>
      <c r="W34" s="1464">
        <f t="shared" si="14"/>
        <v>100</v>
      </c>
      <c r="X34" s="1457"/>
      <c r="Y34" s="3688"/>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88"/>
      <c r="Q35" s="1491">
        <f t="shared" si="11"/>
        <v>111</v>
      </c>
      <c r="R35" s="1467" t="s">
        <v>8</v>
      </c>
      <c r="S35" s="1468">
        <f t="shared" si="12"/>
        <v>100</v>
      </c>
      <c r="T35" s="1467" t="s">
        <v>8</v>
      </c>
      <c r="U35" s="1468">
        <f t="shared" si="13"/>
        <v>100</v>
      </c>
      <c r="V35" s="1467" t="s">
        <v>8</v>
      </c>
      <c r="W35" s="1468">
        <f t="shared" si="14"/>
        <v>100</v>
      </c>
      <c r="X35" s="1469"/>
      <c r="Y35" s="3688"/>
      <c r="Z35" s="1470">
        <f t="shared" si="15"/>
        <v>111</v>
      </c>
      <c r="AA35" s="1466">
        <f t="shared" si="3"/>
        <v>1</v>
      </c>
      <c r="AB35" s="1466">
        <f t="shared" si="4"/>
        <v>1</v>
      </c>
      <c r="AC35" s="1466">
        <f t="shared" si="5"/>
        <v>1</v>
      </c>
    </row>
    <row r="36" spans="1:29" ht="15.6"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88"/>
      <c r="Q36" s="1462">
        <f t="shared" si="11"/>
        <v>111</v>
      </c>
      <c r="R36" s="1463" t="s">
        <v>8</v>
      </c>
      <c r="S36" s="1464">
        <f t="shared" si="12"/>
        <v>100</v>
      </c>
      <c r="T36" s="1463" t="s">
        <v>8</v>
      </c>
      <c r="U36" s="1464">
        <f t="shared" si="13"/>
        <v>100</v>
      </c>
      <c r="V36" s="1463" t="s">
        <v>8</v>
      </c>
      <c r="W36" s="1464">
        <f t="shared" si="14"/>
        <v>100</v>
      </c>
      <c r="X36" s="1457"/>
      <c r="Y36" s="3688"/>
      <c r="Z36" s="1465">
        <f t="shared" si="15"/>
        <v>111</v>
      </c>
      <c r="AA36" s="1466">
        <f t="shared" si="3"/>
        <v>1</v>
      </c>
      <c r="AB36" s="1466">
        <f t="shared" si="4"/>
        <v>1</v>
      </c>
      <c r="AC36" s="1466">
        <f t="shared" si="5"/>
        <v>1</v>
      </c>
    </row>
    <row r="37" spans="1:29" ht="14.4">
      <c r="A37" s="1715" t="s">
        <v>1869</v>
      </c>
      <c r="B37" s="1716" t="s">
        <v>1870</v>
      </c>
      <c r="C37" s="2392" t="s">
        <v>1</v>
      </c>
      <c r="D37" s="2393"/>
      <c r="E37" s="2394"/>
      <c r="F37" s="2395"/>
      <c r="G37" s="2396"/>
      <c r="H37" s="2397"/>
      <c r="I37" s="2394"/>
      <c r="J37" s="2397"/>
      <c r="K37" s="1496"/>
      <c r="L37" s="1980"/>
      <c r="M37" s="1981"/>
      <c r="N37" s="1970"/>
      <c r="O37" s="1981"/>
      <c r="P37" s="3683" t="str">
        <f>A37</f>
        <v>成交单价</v>
      </c>
      <c r="Q37" s="3683"/>
      <c r="R37" s="3799">
        <f>E37</f>
        <v>0</v>
      </c>
      <c r="S37" s="3799"/>
      <c r="T37" s="3799">
        <f>G37</f>
        <v>0</v>
      </c>
      <c r="U37" s="3799"/>
      <c r="V37" s="3799">
        <f>I37</f>
        <v>0</v>
      </c>
      <c r="W37" s="3799"/>
      <c r="X37" s="1452"/>
      <c r="Y37" s="1471"/>
      <c r="Z37" s="1452"/>
      <c r="AA37" s="1452"/>
      <c r="AB37" s="1452"/>
      <c r="AC37" s="1452"/>
    </row>
    <row r="38" spans="1:29" ht="15" thickBot="1">
      <c r="A38" s="592"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83" t="str">
        <f>A38</f>
        <v>比较价格（元/平方米）</v>
      </c>
      <c r="Q38" s="3683"/>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1452"/>
      <c r="Y38" s="1452"/>
      <c r="Z38" s="1452"/>
      <c r="AA38" s="1452"/>
      <c r="AB38" s="1452"/>
      <c r="AC38" s="1452"/>
    </row>
    <row r="39" spans="1:29" ht="15" thickBot="1">
      <c r="A39" s="596" t="s">
        <v>2637</v>
      </c>
      <c r="B39" s="597"/>
      <c r="C39" s="2400" t="e">
        <f>R39</f>
        <v>#DIV/0!</v>
      </c>
      <c r="D39" s="2400"/>
      <c r="E39" s="2400"/>
      <c r="F39" s="2400"/>
      <c r="G39" s="2400"/>
      <c r="H39" s="2400"/>
      <c r="I39" s="2400"/>
      <c r="J39" s="2400"/>
      <c r="K39" s="1497"/>
      <c r="L39" s="1980"/>
      <c r="M39" s="1981"/>
      <c r="N39" s="1981"/>
      <c r="O39" s="1981"/>
      <c r="P39" s="3689" t="str">
        <f>A39</f>
        <v>估价对象XX用房的比较价格（楼面单价，元/平方米）</v>
      </c>
      <c r="Q39" s="3690"/>
      <c r="R39" s="3798" t="e">
        <f>IF(F1="售价",ROUND(IF(D38="简单平均",AVERAGE(R38:W38),R38*F38+T38*H38+V38*J38),0),ROUND(IF(D38="简单平均",AVERAGE(R38:V38),R38*F38+T38*H38+V38*J38),1))</f>
        <v>#DIV/0!</v>
      </c>
      <c r="S39" s="3798"/>
      <c r="T39" s="3798"/>
      <c r="U39" s="3798"/>
      <c r="V39" s="3798"/>
      <c r="W39" s="3798"/>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2.2"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4.4">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4.4">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4.4"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ht="14.4">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4.4"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9.4"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4.4"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4.4"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4.4"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4.4"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4.4"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4.4"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4.4"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4.4"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4.4"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4.4"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4.4"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4.4"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4.4"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4.4"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4.4"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4.4"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4.4"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4.4"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9.4"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4.4"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4.4"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4.4"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4.4"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4.4"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4.4"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4.4"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4.4"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4.4"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4.4"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46" customWidth="1"/>
    <col min="2" max="2" width="15.77734375" style="1246" customWidth="1"/>
    <col min="3" max="3" width="14.3320312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4.4">
      <c r="A4" s="489" t="s">
        <v>779</v>
      </c>
      <c r="B4" s="490"/>
      <c r="C4" s="3691" t="s">
        <v>780</v>
      </c>
      <c r="D4" s="3692"/>
      <c r="E4" s="3713" t="s">
        <v>781</v>
      </c>
      <c r="F4" s="3714"/>
      <c r="G4" s="3691" t="s">
        <v>782</v>
      </c>
      <c r="H4" s="3692"/>
      <c r="I4" s="3691" t="s">
        <v>783</v>
      </c>
      <c r="J4" s="3692"/>
      <c r="K4" s="491" t="s">
        <v>784</v>
      </c>
      <c r="L4" s="1969"/>
      <c r="M4" s="1970"/>
      <c r="N4" s="1970"/>
      <c r="O4" s="1970"/>
      <c r="P4" s="3693" t="s">
        <v>785</v>
      </c>
      <c r="Q4" s="3694"/>
      <c r="R4" s="3677" t="s">
        <v>781</v>
      </c>
      <c r="S4" s="3678"/>
      <c r="T4" s="3677" t="s">
        <v>782</v>
      </c>
      <c r="U4" s="3678"/>
      <c r="V4" s="3699" t="s">
        <v>783</v>
      </c>
      <c r="W4" s="3699"/>
      <c r="X4" s="1457"/>
      <c r="Y4" s="3677" t="s">
        <v>785</v>
      </c>
      <c r="Z4" s="3678"/>
      <c r="AA4" s="3672" t="s">
        <v>781</v>
      </c>
      <c r="AB4" s="3673" t="s">
        <v>782</v>
      </c>
      <c r="AC4" s="3672" t="s">
        <v>783</v>
      </c>
    </row>
    <row r="5" spans="1:29">
      <c r="A5" s="492"/>
      <c r="B5" s="493"/>
      <c r="C5" s="3702" t="s">
        <v>2631</v>
      </c>
      <c r="D5" s="3703"/>
      <c r="E5" s="3715" t="s">
        <v>2632</v>
      </c>
      <c r="F5" s="3716"/>
      <c r="G5" s="3702" t="s">
        <v>2633</v>
      </c>
      <c r="H5" s="3703"/>
      <c r="I5" s="3702" t="s">
        <v>2634</v>
      </c>
      <c r="J5" s="3703"/>
      <c r="K5" s="491"/>
      <c r="L5" s="1969"/>
      <c r="M5" s="1970"/>
      <c r="N5" s="1970"/>
      <c r="O5" s="1970"/>
      <c r="P5" s="3695"/>
      <c r="Q5" s="3696"/>
      <c r="R5" s="3679"/>
      <c r="S5" s="3680"/>
      <c r="T5" s="3679"/>
      <c r="U5" s="3680"/>
      <c r="V5" s="3699"/>
      <c r="W5" s="3699"/>
      <c r="X5" s="1457"/>
      <c r="Y5" s="3679"/>
      <c r="Z5" s="3680"/>
      <c r="AA5" s="3673"/>
      <c r="AB5" s="3673"/>
      <c r="AC5" s="3673"/>
    </row>
    <row r="6" spans="1:29" ht="15" thickBot="1">
      <c r="A6" s="494"/>
      <c r="B6" s="495"/>
      <c r="C6" s="3700" t="s">
        <v>2635</v>
      </c>
      <c r="D6" s="3701"/>
      <c r="E6" s="3717" t="s">
        <v>2635</v>
      </c>
      <c r="F6" s="3718"/>
      <c r="G6" s="3700" t="s">
        <v>2635</v>
      </c>
      <c r="H6" s="3701"/>
      <c r="I6" s="3700" t="s">
        <v>2635</v>
      </c>
      <c r="J6" s="3701"/>
      <c r="K6" s="491" t="s">
        <v>511</v>
      </c>
      <c r="L6" s="1969"/>
      <c r="M6" s="1970"/>
      <c r="N6" s="1970"/>
      <c r="O6" s="1970"/>
      <c r="P6" s="3697"/>
      <c r="Q6" s="3698"/>
      <c r="R6" s="3679"/>
      <c r="S6" s="3680"/>
      <c r="T6" s="3681"/>
      <c r="U6" s="3682"/>
      <c r="V6" s="3699"/>
      <c r="W6" s="3699"/>
      <c r="X6" s="1457"/>
      <c r="Y6" s="3681"/>
      <c r="Z6" s="3682"/>
      <c r="AA6" s="3674"/>
      <c r="AB6" s="3674"/>
      <c r="AC6" s="3674"/>
    </row>
    <row r="7" spans="1:29" s="1166" customFormat="1" ht="15" thickBot="1">
      <c r="A7" s="2551"/>
      <c r="B7" s="2558" t="s">
        <v>512</v>
      </c>
      <c r="C7" s="496">
        <f>'数据-取费表'!B2</f>
        <v>44756</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75" t="s">
        <v>513</v>
      </c>
      <c r="Q7" s="3684"/>
      <c r="R7" s="1458" t="s">
        <v>8</v>
      </c>
      <c r="S7" s="1459">
        <f t="shared" ref="S7:S14" si="0">F7</f>
        <v>0</v>
      </c>
      <c r="T7" s="1458" t="s">
        <v>8</v>
      </c>
      <c r="U7" s="1459">
        <f t="shared" ref="U7:U14" si="1">H7</f>
        <v>0</v>
      </c>
      <c r="V7" s="1458" t="s">
        <v>8</v>
      </c>
      <c r="W7" s="1459">
        <f t="shared" ref="W7:W14" si="2">J7</f>
        <v>0</v>
      </c>
      <c r="X7" s="1460"/>
      <c r="Y7" s="3675" t="s">
        <v>513</v>
      </c>
      <c r="Z7" s="3676"/>
      <c r="AA7" s="1461" t="e">
        <f>D7/F7</f>
        <v>#DIV/0!</v>
      </c>
      <c r="AB7" s="1461" t="e">
        <f>D7/H7</f>
        <v>#DIV/0!</v>
      </c>
      <c r="AC7" s="1461" t="e">
        <f>D7/J7</f>
        <v>#DIV/0!</v>
      </c>
    </row>
    <row r="8" spans="1:29" s="1166" customFormat="1" ht="1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75" t="s">
        <v>516</v>
      </c>
      <c r="Q8" s="3676"/>
      <c r="R8" s="1458" t="s">
        <v>8</v>
      </c>
      <c r="S8" s="1459">
        <f t="shared" si="0"/>
        <v>0</v>
      </c>
      <c r="T8" s="1458" t="s">
        <v>8</v>
      </c>
      <c r="U8" s="1459">
        <f t="shared" si="1"/>
        <v>0</v>
      </c>
      <c r="V8" s="1458" t="s">
        <v>8</v>
      </c>
      <c r="W8" s="1459">
        <f t="shared" si="2"/>
        <v>0</v>
      </c>
      <c r="X8" s="1460"/>
      <c r="Y8" s="3675" t="s">
        <v>516</v>
      </c>
      <c r="Z8" s="3676"/>
      <c r="AA8" s="1461" t="e">
        <f t="shared" ref="AA8:AA34" si="3">D8/F8</f>
        <v>#DIV/0!</v>
      </c>
      <c r="AB8" s="1461" t="e">
        <f t="shared" ref="AB8:AB34" si="4">D8/H8</f>
        <v>#DIV/0!</v>
      </c>
      <c r="AC8" s="1461" t="e">
        <f t="shared" ref="AC8:AC34" si="5">D8/J8</f>
        <v>#DIV/0!</v>
      </c>
    </row>
    <row r="9" spans="1:29" s="1166" customFormat="1" ht="14.4">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83" t="s">
        <v>518</v>
      </c>
      <c r="Q9" s="1097" t="str">
        <f t="shared" ref="Q9:Q14" si="6">B9</f>
        <v>用途</v>
      </c>
      <c r="R9" s="1458" t="s">
        <v>8</v>
      </c>
      <c r="S9" s="1459">
        <f t="shared" si="0"/>
        <v>100</v>
      </c>
      <c r="T9" s="1458" t="s">
        <v>8</v>
      </c>
      <c r="U9" s="1459">
        <f t="shared" si="1"/>
        <v>100</v>
      </c>
      <c r="V9" s="1458" t="s">
        <v>8</v>
      </c>
      <c r="W9" s="1459">
        <f t="shared" si="2"/>
        <v>100</v>
      </c>
      <c r="X9" s="1460"/>
      <c r="Y9" s="3631" t="s">
        <v>519</v>
      </c>
      <c r="Z9" s="1096" t="str">
        <f t="shared" ref="Z9:Z14" si="7">Q9</f>
        <v>用途</v>
      </c>
      <c r="AA9" s="1461">
        <f t="shared" si="3"/>
        <v>1</v>
      </c>
      <c r="AB9" s="1461">
        <f t="shared" si="4"/>
        <v>1</v>
      </c>
      <c r="AC9" s="1461">
        <f t="shared" si="5"/>
        <v>1</v>
      </c>
    </row>
    <row r="10" spans="1:29" s="1247" customFormat="1" ht="28.8">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83"/>
      <c r="Q10" s="1097" t="str">
        <f t="shared" si="6"/>
        <v>土地使用年限（年）</v>
      </c>
      <c r="R10" s="1458" t="s">
        <v>8</v>
      </c>
      <c r="S10" s="1459">
        <f t="shared" si="0"/>
        <v>100</v>
      </c>
      <c r="T10" s="1458" t="s">
        <v>8</v>
      </c>
      <c r="U10" s="1459">
        <f t="shared" si="1"/>
        <v>100</v>
      </c>
      <c r="V10" s="1458" t="s">
        <v>8</v>
      </c>
      <c r="W10" s="1459">
        <f t="shared" si="2"/>
        <v>100</v>
      </c>
      <c r="X10" s="1460"/>
      <c r="Y10" s="3631"/>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83"/>
      <c r="Q11" s="1097">
        <f t="shared" si="6"/>
        <v>111</v>
      </c>
      <c r="R11" s="1458" t="s">
        <v>8</v>
      </c>
      <c r="S11" s="1459">
        <f t="shared" si="0"/>
        <v>100</v>
      </c>
      <c r="T11" s="1458" t="s">
        <v>8</v>
      </c>
      <c r="U11" s="1459">
        <f t="shared" si="1"/>
        <v>100</v>
      </c>
      <c r="V11" s="1458" t="s">
        <v>8</v>
      </c>
      <c r="W11" s="1459">
        <f t="shared" si="2"/>
        <v>100</v>
      </c>
      <c r="X11" s="1460"/>
      <c r="Y11" s="3631"/>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83"/>
      <c r="Q12" s="1097">
        <f t="shared" si="6"/>
        <v>111</v>
      </c>
      <c r="R12" s="1458" t="s">
        <v>8</v>
      </c>
      <c r="S12" s="1459">
        <f t="shared" si="0"/>
        <v>100</v>
      </c>
      <c r="T12" s="1458" t="s">
        <v>8</v>
      </c>
      <c r="U12" s="1459">
        <f t="shared" si="1"/>
        <v>100</v>
      </c>
      <c r="V12" s="1458" t="s">
        <v>8</v>
      </c>
      <c r="W12" s="1459">
        <f t="shared" si="2"/>
        <v>100</v>
      </c>
      <c r="X12" s="1460"/>
      <c r="Y12" s="3631"/>
      <c r="Z12" s="1096">
        <f t="shared" si="7"/>
        <v>111</v>
      </c>
      <c r="AA12" s="1461">
        <f>D12/F12</f>
        <v>1</v>
      </c>
      <c r="AB12" s="1461">
        <f>D12/H12</f>
        <v>1</v>
      </c>
      <c r="AC12" s="1461">
        <f>D12/J12</f>
        <v>1</v>
      </c>
    </row>
    <row r="13" spans="1:29" ht="15.6"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83"/>
      <c r="Q13" s="1097">
        <f t="shared" si="6"/>
        <v>111</v>
      </c>
      <c r="R13" s="1458" t="s">
        <v>8</v>
      </c>
      <c r="S13" s="1459">
        <f t="shared" si="0"/>
        <v>100</v>
      </c>
      <c r="T13" s="1458" t="s">
        <v>8</v>
      </c>
      <c r="U13" s="1459">
        <f t="shared" si="1"/>
        <v>100</v>
      </c>
      <c r="V13" s="1458" t="s">
        <v>8</v>
      </c>
      <c r="W13" s="1459">
        <f t="shared" si="2"/>
        <v>100</v>
      </c>
      <c r="X13" s="1460"/>
      <c r="Y13" s="3631"/>
      <c r="Z13" s="1096">
        <f t="shared" si="7"/>
        <v>111</v>
      </c>
      <c r="AA13" s="1461">
        <f t="shared" si="3"/>
        <v>1</v>
      </c>
      <c r="AB13" s="1461">
        <f t="shared" si="4"/>
        <v>1</v>
      </c>
      <c r="AC13" s="1461">
        <f t="shared" si="5"/>
        <v>1</v>
      </c>
    </row>
    <row r="14" spans="1:29" ht="96.6">
      <c r="A14" s="2549" t="s">
        <v>2471</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685" t="s">
        <v>523</v>
      </c>
      <c r="Q14" s="1462" t="str">
        <f t="shared" si="6"/>
        <v>交通便捷度</v>
      </c>
      <c r="R14" s="1463" t="s">
        <v>8</v>
      </c>
      <c r="S14" s="1464">
        <f t="shared" si="0"/>
        <v>100</v>
      </c>
      <c r="T14" s="1463" t="s">
        <v>8</v>
      </c>
      <c r="U14" s="1464">
        <f t="shared" si="1"/>
        <v>100</v>
      </c>
      <c r="V14" s="1463" t="s">
        <v>8</v>
      </c>
      <c r="W14" s="1464">
        <f t="shared" si="2"/>
        <v>100</v>
      </c>
      <c r="X14" s="1457"/>
      <c r="Y14" s="3685"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686"/>
      <c r="Q15" s="1462"/>
      <c r="R15" s="1463"/>
      <c r="S15" s="1464"/>
      <c r="T15" s="1463"/>
      <c r="U15" s="1464"/>
      <c r="V15" s="1463"/>
      <c r="W15" s="1464"/>
      <c r="X15" s="1457"/>
      <c r="Y15" s="3686"/>
      <c r="Z15" s="1465"/>
      <c r="AA15" s="1466">
        <v>1</v>
      </c>
      <c r="AB15" s="1466">
        <v>1</v>
      </c>
      <c r="AC15" s="1466">
        <v>1</v>
      </c>
    </row>
    <row r="16" spans="1:29" ht="41.4">
      <c r="A16" s="509"/>
      <c r="B16" s="2369"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686"/>
      <c r="Q16" s="1462" t="str">
        <f>B16</f>
        <v>公共配套设施</v>
      </c>
      <c r="R16" s="1463" t="s">
        <v>8</v>
      </c>
      <c r="S16" s="1464">
        <f>F16</f>
        <v>100</v>
      </c>
      <c r="T16" s="1463" t="s">
        <v>8</v>
      </c>
      <c r="U16" s="1464">
        <f>H16</f>
        <v>100</v>
      </c>
      <c r="V16" s="1463" t="s">
        <v>8</v>
      </c>
      <c r="W16" s="1464">
        <f>J16</f>
        <v>100</v>
      </c>
      <c r="X16" s="1457"/>
      <c r="Y16" s="3686"/>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686"/>
      <c r="Q17" s="1462"/>
      <c r="R17" s="1463"/>
      <c r="S17" s="1464"/>
      <c r="T17" s="1463"/>
      <c r="U17" s="1464"/>
      <c r="V17" s="1463"/>
      <c r="W17" s="1464"/>
      <c r="X17" s="1457"/>
      <c r="Y17" s="3686"/>
      <c r="Z17" s="1465"/>
      <c r="AA17" s="1466">
        <v>1</v>
      </c>
      <c r="AB17" s="1466">
        <v>1</v>
      </c>
      <c r="AC17" s="1466">
        <v>1</v>
      </c>
    </row>
    <row r="18" spans="1:29" ht="41.4">
      <c r="A18" s="509"/>
      <c r="B18" s="2357"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686"/>
      <c r="Q18" s="2351" t="str">
        <f>B18</f>
        <v>基础设施水平</v>
      </c>
      <c r="R18" s="1463" t="s">
        <v>8</v>
      </c>
      <c r="S18" s="1464">
        <f>F18</f>
        <v>100</v>
      </c>
      <c r="T18" s="1463" t="s">
        <v>8</v>
      </c>
      <c r="U18" s="1464">
        <f>H18</f>
        <v>100</v>
      </c>
      <c r="V18" s="1463" t="s">
        <v>8</v>
      </c>
      <c r="W18" s="1464">
        <f>J18</f>
        <v>100</v>
      </c>
      <c r="X18" s="2353"/>
      <c r="Y18" s="3686"/>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86"/>
      <c r="Q19" s="2351"/>
      <c r="R19" s="1463"/>
      <c r="S19" s="1464"/>
      <c r="T19" s="1463"/>
      <c r="U19" s="1464"/>
      <c r="V19" s="1463"/>
      <c r="W19" s="1464"/>
      <c r="X19" s="2353"/>
      <c r="Y19" s="3686"/>
      <c r="Z19" s="2352"/>
      <c r="AA19" s="1466">
        <v>1</v>
      </c>
      <c r="AB19" s="1466">
        <v>1</v>
      </c>
      <c r="AC19" s="1466">
        <v>1</v>
      </c>
    </row>
    <row r="20" spans="1:29" ht="55.2">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686"/>
      <c r="Q20" s="1462" t="str">
        <f>B20</f>
        <v>自然及人文环境</v>
      </c>
      <c r="R20" s="1463" t="s">
        <v>8</v>
      </c>
      <c r="S20" s="1464">
        <f>F20</f>
        <v>100</v>
      </c>
      <c r="T20" s="1463" t="s">
        <v>8</v>
      </c>
      <c r="U20" s="1464">
        <f>H20</f>
        <v>100</v>
      </c>
      <c r="V20" s="1463" t="s">
        <v>8</v>
      </c>
      <c r="W20" s="1464">
        <f>J20</f>
        <v>100</v>
      </c>
      <c r="X20" s="1457"/>
      <c r="Y20" s="3686"/>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686"/>
      <c r="Q21" s="1462"/>
      <c r="R21" s="1463"/>
      <c r="S21" s="1464"/>
      <c r="T21" s="1463"/>
      <c r="U21" s="1464"/>
      <c r="V21" s="1463"/>
      <c r="W21" s="1464"/>
      <c r="X21" s="1457"/>
      <c r="Y21" s="3686"/>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86"/>
      <c r="Q22" s="1462" t="str">
        <f>B22</f>
        <v>楼层</v>
      </c>
      <c r="R22" s="1463" t="s">
        <v>8</v>
      </c>
      <c r="S22" s="1464">
        <f>F22</f>
        <v>100</v>
      </c>
      <c r="T22" s="1463" t="s">
        <v>8</v>
      </c>
      <c r="U22" s="1464">
        <f>H22</f>
        <v>100</v>
      </c>
      <c r="V22" s="1463" t="s">
        <v>8</v>
      </c>
      <c r="W22" s="1464">
        <f>J22</f>
        <v>100</v>
      </c>
      <c r="X22" s="1457"/>
      <c r="Y22" s="3686"/>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86"/>
      <c r="Q23" s="1462">
        <f>B23</f>
        <v>111</v>
      </c>
      <c r="R23" s="1463" t="s">
        <v>8</v>
      </c>
      <c r="S23" s="1464">
        <f>F23</f>
        <v>100</v>
      </c>
      <c r="T23" s="1463" t="s">
        <v>8</v>
      </c>
      <c r="U23" s="1464">
        <f>H23</f>
        <v>100</v>
      </c>
      <c r="V23" s="1463" t="s">
        <v>8</v>
      </c>
      <c r="W23" s="1464">
        <f>J23</f>
        <v>100</v>
      </c>
      <c r="X23" s="1457"/>
      <c r="Y23" s="3686"/>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86"/>
      <c r="Q24" s="1462">
        <f t="shared" ref="Q24:Q34" si="11">B24</f>
        <v>111</v>
      </c>
      <c r="R24" s="1463" t="s">
        <v>8</v>
      </c>
      <c r="S24" s="1464">
        <f>F24</f>
        <v>100</v>
      </c>
      <c r="T24" s="1463" t="s">
        <v>8</v>
      </c>
      <c r="U24" s="1464">
        <f>H24</f>
        <v>100</v>
      </c>
      <c r="V24" s="1463" t="s">
        <v>8</v>
      </c>
      <c r="W24" s="1464">
        <f>J24</f>
        <v>100</v>
      </c>
      <c r="X24" s="1457"/>
      <c r="Y24" s="3686"/>
      <c r="Z24" s="1465">
        <f>Q24</f>
        <v>111</v>
      </c>
      <c r="AA24" s="1466">
        <f t="shared" si="3"/>
        <v>1</v>
      </c>
      <c r="AB24" s="1466">
        <f t="shared" si="4"/>
        <v>1</v>
      </c>
      <c r="AC24" s="1466">
        <f t="shared" si="5"/>
        <v>1</v>
      </c>
    </row>
    <row r="25" spans="1:29" s="1166" customFormat="1" ht="15.6"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686"/>
      <c r="Q25" s="1097">
        <f t="shared" si="11"/>
        <v>111</v>
      </c>
      <c r="R25" s="1458" t="s">
        <v>8</v>
      </c>
      <c r="S25" s="1459">
        <f>F25</f>
        <v>100</v>
      </c>
      <c r="T25" s="1458" t="s">
        <v>8</v>
      </c>
      <c r="U25" s="1459">
        <f>H25</f>
        <v>100</v>
      </c>
      <c r="V25" s="1458" t="s">
        <v>8</v>
      </c>
      <c r="W25" s="1459">
        <f>J25</f>
        <v>100</v>
      </c>
      <c r="X25" s="1460"/>
      <c r="Y25" s="3686"/>
      <c r="Z25" s="1096">
        <f>Q25</f>
        <v>111</v>
      </c>
      <c r="AA25" s="1466">
        <f>D25/F25</f>
        <v>1</v>
      </c>
      <c r="AB25" s="1466">
        <f>D25/H25</f>
        <v>1</v>
      </c>
      <c r="AC25" s="1466">
        <f>D25/J25</f>
        <v>1</v>
      </c>
    </row>
    <row r="26" spans="1:29" ht="15">
      <c r="A26" s="2546" t="s">
        <v>2472</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687"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88"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688"/>
      <c r="Q27" s="1491" t="str">
        <f t="shared" si="11"/>
        <v>成新率</v>
      </c>
      <c r="R27" s="1467" t="s">
        <v>8</v>
      </c>
      <c r="S27" s="1468" t="e">
        <f t="shared" si="12"/>
        <v>#N/A</v>
      </c>
      <c r="T27" s="1467" t="s">
        <v>8</v>
      </c>
      <c r="U27" s="1468" t="e">
        <f t="shared" si="13"/>
        <v>#N/A</v>
      </c>
      <c r="V27" s="1467" t="s">
        <v>8</v>
      </c>
      <c r="W27" s="1468" t="e">
        <f t="shared" si="14"/>
        <v>#N/A</v>
      </c>
      <c r="X27" s="1469"/>
      <c r="Y27" s="3688"/>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88"/>
      <c r="Q28" s="1462" t="str">
        <f t="shared" si="11"/>
        <v>物业等级</v>
      </c>
      <c r="R28" s="1463" t="s">
        <v>8</v>
      </c>
      <c r="S28" s="1464">
        <f t="shared" si="12"/>
        <v>100</v>
      </c>
      <c r="T28" s="1463" t="s">
        <v>8</v>
      </c>
      <c r="U28" s="1464">
        <f t="shared" si="13"/>
        <v>100</v>
      </c>
      <c r="V28" s="1463" t="s">
        <v>8</v>
      </c>
      <c r="W28" s="1464">
        <f t="shared" si="14"/>
        <v>100</v>
      </c>
      <c r="X28" s="1457"/>
      <c r="Y28" s="3688"/>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688"/>
      <c r="Q29" s="1462" t="str">
        <f t="shared" si="11"/>
        <v>有无电梯</v>
      </c>
      <c r="R29" s="1463" t="s">
        <v>8</v>
      </c>
      <c r="S29" s="1464">
        <f t="shared" si="12"/>
        <v>100</v>
      </c>
      <c r="T29" s="1463" t="s">
        <v>8</v>
      </c>
      <c r="U29" s="1464">
        <f t="shared" si="13"/>
        <v>100</v>
      </c>
      <c r="V29" s="1463" t="s">
        <v>8</v>
      </c>
      <c r="W29" s="1464">
        <f t="shared" si="14"/>
        <v>100</v>
      </c>
      <c r="X29" s="1457"/>
      <c r="Y29" s="3688"/>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688"/>
      <c r="Q30" s="1462" t="str">
        <f t="shared" si="11"/>
        <v>建筑面积</v>
      </c>
      <c r="R30" s="1463" t="s">
        <v>8</v>
      </c>
      <c r="S30" s="1464" t="e">
        <f t="shared" si="12"/>
        <v>#N/A</v>
      </c>
      <c r="T30" s="1463" t="s">
        <v>8</v>
      </c>
      <c r="U30" s="1464" t="e">
        <f t="shared" si="13"/>
        <v>#N/A</v>
      </c>
      <c r="V30" s="1463" t="s">
        <v>8</v>
      </c>
      <c r="W30" s="1464" t="e">
        <f t="shared" si="14"/>
        <v>#N/A</v>
      </c>
      <c r="X30" s="1457"/>
      <c r="Y30" s="3688"/>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688"/>
      <c r="Q31" s="1097" t="str">
        <f t="shared" si="11"/>
        <v>是否封闭</v>
      </c>
      <c r="R31" s="1458" t="s">
        <v>8</v>
      </c>
      <c r="S31" s="1459">
        <f t="shared" si="12"/>
        <v>100</v>
      </c>
      <c r="T31" s="1458" t="s">
        <v>8</v>
      </c>
      <c r="U31" s="1459">
        <f t="shared" si="13"/>
        <v>100</v>
      </c>
      <c r="V31" s="1458" t="s">
        <v>8</v>
      </c>
      <c r="W31" s="1459">
        <f t="shared" si="14"/>
        <v>100</v>
      </c>
      <c r="X31" s="1460"/>
      <c r="Y31" s="3688"/>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688" t="s">
        <v>533</v>
      </c>
      <c r="Q32" s="1462">
        <f t="shared" si="11"/>
        <v>111</v>
      </c>
      <c r="R32" s="1463" t="s">
        <v>8</v>
      </c>
      <c r="S32" s="1464">
        <f t="shared" si="12"/>
        <v>100</v>
      </c>
      <c r="T32" s="1463" t="s">
        <v>8</v>
      </c>
      <c r="U32" s="1464">
        <f t="shared" si="13"/>
        <v>100</v>
      </c>
      <c r="V32" s="1463" t="s">
        <v>8</v>
      </c>
      <c r="W32" s="1464">
        <f t="shared" si="14"/>
        <v>100</v>
      </c>
      <c r="X32" s="1457"/>
      <c r="Y32" s="3688"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688"/>
      <c r="Q33" s="1462">
        <f t="shared" si="11"/>
        <v>111</v>
      </c>
      <c r="R33" s="1463" t="s">
        <v>8</v>
      </c>
      <c r="S33" s="1464">
        <f t="shared" si="12"/>
        <v>100</v>
      </c>
      <c r="T33" s="1463" t="s">
        <v>8</v>
      </c>
      <c r="U33" s="1464">
        <f t="shared" si="13"/>
        <v>100</v>
      </c>
      <c r="V33" s="1463" t="s">
        <v>8</v>
      </c>
      <c r="W33" s="1464">
        <f t="shared" si="14"/>
        <v>100</v>
      </c>
      <c r="X33" s="1457"/>
      <c r="Y33" s="3688"/>
      <c r="Z33" s="1465">
        <f t="shared" si="15"/>
        <v>111</v>
      </c>
      <c r="AA33" s="1466">
        <f t="shared" si="3"/>
        <v>1</v>
      </c>
      <c r="AB33" s="1466">
        <f t="shared" si="4"/>
        <v>1</v>
      </c>
      <c r="AC33" s="1466">
        <f t="shared" si="5"/>
        <v>1</v>
      </c>
    </row>
    <row r="34" spans="1:29" ht="15.6"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688"/>
      <c r="Q34" s="1462">
        <f t="shared" si="11"/>
        <v>111</v>
      </c>
      <c r="R34" s="1463" t="s">
        <v>8</v>
      </c>
      <c r="S34" s="1464">
        <f t="shared" si="12"/>
        <v>100</v>
      </c>
      <c r="T34" s="1463" t="s">
        <v>8</v>
      </c>
      <c r="U34" s="1464">
        <f t="shared" si="13"/>
        <v>100</v>
      </c>
      <c r="V34" s="1463" t="s">
        <v>8</v>
      </c>
      <c r="W34" s="1464">
        <f t="shared" si="14"/>
        <v>100</v>
      </c>
      <c r="X34" s="1457"/>
      <c r="Y34" s="3688"/>
      <c r="Z34" s="1465">
        <f t="shared" si="15"/>
        <v>111</v>
      </c>
      <c r="AA34" s="1466">
        <f t="shared" si="3"/>
        <v>1</v>
      </c>
      <c r="AB34" s="1466">
        <f t="shared" si="4"/>
        <v>1</v>
      </c>
      <c r="AC34" s="1466">
        <f t="shared" si="5"/>
        <v>1</v>
      </c>
    </row>
    <row r="35" spans="1:29" ht="14.4">
      <c r="A35" s="584" t="s">
        <v>718</v>
      </c>
      <c r="B35" s="858"/>
      <c r="C35" s="2392" t="s">
        <v>1</v>
      </c>
      <c r="D35" s="2393"/>
      <c r="E35" s="2394"/>
      <c r="F35" s="2395"/>
      <c r="G35" s="2396"/>
      <c r="H35" s="2397"/>
      <c r="I35" s="2394"/>
      <c r="J35" s="2397"/>
      <c r="K35" s="1496"/>
      <c r="L35" s="1980"/>
      <c r="M35" s="1981"/>
      <c r="N35" s="1970"/>
      <c r="O35" s="1981"/>
      <c r="P35" s="3683" t="str">
        <f>A35</f>
        <v>成交单价（元/平方米）</v>
      </c>
      <c r="Q35" s="3683"/>
      <c r="R35" s="3799">
        <f>E35</f>
        <v>0</v>
      </c>
      <c r="S35" s="3799"/>
      <c r="T35" s="3799">
        <f>G35</f>
        <v>0</v>
      </c>
      <c r="U35" s="3799"/>
      <c r="V35" s="3799">
        <f>I35</f>
        <v>0</v>
      </c>
      <c r="W35" s="3799"/>
      <c r="X35" s="1452"/>
      <c r="Y35" s="1471"/>
      <c r="Z35" s="1452"/>
      <c r="AA35" s="1452"/>
      <c r="AB35" s="1452"/>
      <c r="AC35" s="1452"/>
    </row>
    <row r="36" spans="1:29" ht="15" thickBot="1">
      <c r="A36" s="592"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83" t="str">
        <f>A36</f>
        <v>比较价格（元/平方米）</v>
      </c>
      <c r="Q36" s="3683"/>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1452"/>
      <c r="Y36" s="1452"/>
      <c r="Z36" s="1452"/>
      <c r="AA36" s="1452"/>
      <c r="AB36" s="1452"/>
      <c r="AC36" s="1452"/>
    </row>
    <row r="37" spans="1:29" ht="15" thickBot="1">
      <c r="A37" s="596" t="s">
        <v>2637</v>
      </c>
      <c r="B37" s="597"/>
      <c r="C37" s="2400" t="e">
        <f>R37</f>
        <v>#DIV/0!</v>
      </c>
      <c r="D37" s="2400"/>
      <c r="E37" s="2400"/>
      <c r="F37" s="2400"/>
      <c r="G37" s="2400"/>
      <c r="H37" s="2400"/>
      <c r="I37" s="2400"/>
      <c r="J37" s="2400"/>
      <c r="K37" s="1497"/>
      <c r="L37" s="1980"/>
      <c r="M37" s="1981"/>
      <c r="N37" s="1981"/>
      <c r="O37" s="1981"/>
      <c r="P37" s="3689" t="str">
        <f>A37</f>
        <v>估价对象XX用房的比较价格（楼面单价，元/平方米）</v>
      </c>
      <c r="Q37" s="3690"/>
      <c r="R37" s="3798" t="e">
        <f>IF(F1="售价",ROUND(IF(D36="简单平均",AVERAGE(R36:W36),R36*F36+T36*H36+V36*J36),0),ROUND(IF(D36="简单平均",AVERAGE(R36:V36),R36*F36+T36*H36+V36*J36),1))</f>
        <v>#DIV/0!</v>
      </c>
      <c r="S37" s="3798"/>
      <c r="T37" s="3798"/>
      <c r="U37" s="3798"/>
      <c r="V37" s="3798"/>
      <c r="W37" s="3798"/>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2.2"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4.4">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4.4">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4.4"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ht="14.4">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4.4"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9.4"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4.4"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4.4"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4.4"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4.4"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4.4"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4.4"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4.4"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4.4"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4.4"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4.4"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4.4"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4.4"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4.4"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4.4"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4.4"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4.4"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4.4"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4.4"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4.4"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4.4"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4.4"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4.4"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4.4"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4.4"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4.4"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4.4"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4.4"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4.4"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4.4"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48" customWidth="1"/>
    <col min="2" max="2" width="9" style="1648"/>
    <col min="3" max="4" width="9.6640625" style="1648" customWidth="1"/>
    <col min="5" max="16384" width="9" style="1648"/>
  </cols>
  <sheetData>
    <row r="1" spans="1:4" ht="22.2">
      <c r="A1" s="1647" t="s">
        <v>1700</v>
      </c>
    </row>
    <row r="2" spans="1:4">
      <c r="A2" s="1649"/>
    </row>
    <row r="3" spans="1:4" ht="17.399999999999999">
      <c r="A3" s="1667" t="str">
        <f>项目基本情况!B5&amp;"："</f>
        <v>：</v>
      </c>
    </row>
    <row r="4" spans="1:4" ht="34.799999999999997">
      <c r="A4" s="1661" t="str">
        <f>"受贵公司委托，我公司对"&amp;项目基本情况!K2&amp;项目基本情况!B9&amp;"进行了预评估。"</f>
        <v>受贵公司委托，我公司对北京市出让国有建设用地使用权抵押价格进行了预评估。</v>
      </c>
    </row>
    <row r="5" spans="1:4" ht="17.399999999999999">
      <c r="A5" s="1664" t="s">
        <v>1701</v>
      </c>
    </row>
    <row r="6" spans="1:4" ht="69.599999999999994">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87">
      <c r="A7" s="2512" t="s">
        <v>2465</v>
      </c>
    </row>
    <row r="8" spans="1:4" ht="17.399999999999999">
      <c r="A8" s="1664" t="s">
        <v>1702</v>
      </c>
    </row>
    <row r="9" spans="1:4" ht="69.599999999999994">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67" t="s">
        <v>1818</v>
      </c>
    </row>
    <row r="11" spans="1:4" ht="17.399999999999999">
      <c r="A11" s="1650" t="str">
        <f>TEXT(项目基本情况!D3,"yyyy年m月d日;;")&amp;IF(项目基本情况!B3=项目基本情况!D3,"（评估专业人员勘察现场之日）","")</f>
        <v>2022年7月14日</v>
      </c>
    </row>
    <row r="12" spans="1:4" ht="17.399999999999999">
      <c r="A12" s="1667" t="s">
        <v>1817</v>
      </c>
    </row>
    <row r="13" spans="1:4" ht="17.399999999999999">
      <c r="A13" s="1661" t="s">
        <v>1863</v>
      </c>
    </row>
    <row r="14" spans="1:4" ht="17.399999999999999">
      <c r="A14" s="1661" t="str">
        <f>"根据"&amp;项目基本情况!F12&amp;"，本次评估估价对象证载（地类）用途为"&amp;项目基本情况!B12&amp;"。"</f>
        <v>根据《国有土地使用证》[]，本次评估估价对象证载（地类）用途为。</v>
      </c>
      <c r="C14" s="1651"/>
      <c r="D14" s="1652"/>
    </row>
    <row r="15" spans="1:4" ht="17.399999999999999">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7.399999999999999">
      <c r="A16" s="1661" t="s">
        <v>1864</v>
      </c>
    </row>
    <row r="17" spans="1:1" ht="52.2">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61" t="s">
        <v>1865</v>
      </c>
    </row>
    <row r="20" spans="1:1" ht="52.2">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87">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61" t="s">
        <v>1866</v>
      </c>
    </row>
    <row r="23" spans="1:1" ht="17.399999999999999">
      <c r="A23" s="2514" t="s">
        <v>2466</v>
      </c>
    </row>
    <row r="24" spans="1:1" ht="17.399999999999999">
      <c r="A24" s="1661" t="s">
        <v>1867</v>
      </c>
    </row>
    <row r="25" spans="1:1" ht="87">
      <c r="A25" s="1661"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52.2">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7" t="s">
        <v>1819</v>
      </c>
    </row>
    <row r="30" spans="1:1" ht="69.599999999999994">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7.399999999999999">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67" customWidth="1"/>
    <col min="2" max="2" width="9.2187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08" t="s">
        <v>2094</v>
      </c>
      <c r="D1" s="3809"/>
      <c r="E1" s="3809"/>
      <c r="F1" s="3809"/>
      <c r="G1" s="3809"/>
      <c r="H1" s="3809"/>
      <c r="I1" s="3809"/>
      <c r="J1" s="3809"/>
      <c r="K1" s="3809"/>
      <c r="L1" s="3809"/>
      <c r="M1" s="3809"/>
      <c r="N1" s="3809"/>
      <c r="O1" s="3809"/>
      <c r="P1" s="3809"/>
      <c r="Q1" s="3809"/>
      <c r="R1" s="3809"/>
      <c r="S1" s="3810"/>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8"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8"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8"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8"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8"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8"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8"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8"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6">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6">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05" t="s">
        <v>20</v>
      </c>
      <c r="D22" s="3806"/>
      <c r="E22" s="3806"/>
      <c r="F22" s="3806"/>
      <c r="G22" s="3806"/>
      <c r="H22" s="3806"/>
      <c r="I22" s="3806"/>
      <c r="J22" s="3806"/>
      <c r="K22" s="3806"/>
      <c r="L22" s="3806"/>
      <c r="M22" s="3806"/>
      <c r="N22" s="3806"/>
      <c r="O22" s="3806"/>
      <c r="P22" s="3806"/>
      <c r="Q22" s="3807"/>
      <c r="R22" s="474"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4" sqref="C4"/>
    </sheetView>
  </sheetViews>
  <sheetFormatPr defaultRowHeight="14.4"/>
  <cols>
    <col min="1" max="1" width="4.88671875" style="2580" customWidth="1"/>
    <col min="2" max="2" width="13.21875" style="2586" customWidth="1"/>
    <col min="3" max="3" width="15.6640625" style="2586" customWidth="1"/>
    <col min="4" max="4" width="9.33203125" style="2586" bestFit="1" customWidth="1"/>
    <col min="5" max="5" width="13.44140625" style="2586" customWidth="1"/>
    <col min="6" max="6" width="9" style="2586"/>
    <col min="7" max="7" width="9.33203125" style="2586" bestFit="1" customWidth="1"/>
    <col min="8" max="9" width="9" style="2586"/>
    <col min="10" max="10" width="9.33203125" style="2586" bestFit="1" customWidth="1"/>
    <col min="11" max="11" width="4" style="2580" customWidth="1"/>
    <col min="12" max="12" width="5.109375" style="2586" customWidth="1"/>
    <col min="13" max="13" width="13.77734375" style="2586" customWidth="1"/>
    <col min="14" max="256" width="9" style="2586"/>
    <col min="257" max="257" width="4.88671875" style="2578" customWidth="1"/>
    <col min="258" max="258" width="13.21875" style="2578" customWidth="1"/>
    <col min="259" max="259" width="15.6640625" style="2578" customWidth="1"/>
    <col min="260" max="260" width="9.33203125" style="2578" bestFit="1" customWidth="1"/>
    <col min="261" max="261" width="13.44140625" style="2578" customWidth="1"/>
    <col min="262" max="262" width="9" style="2578"/>
    <col min="263" max="263" width="9.33203125" style="2578" bestFit="1" customWidth="1"/>
    <col min="264" max="265" width="9" style="2578"/>
    <col min="266" max="266" width="9.33203125" style="2578" bestFit="1" customWidth="1"/>
    <col min="267" max="267" width="4" style="2578" customWidth="1"/>
    <col min="268" max="268" width="5.109375" style="2578" customWidth="1"/>
    <col min="269" max="269" width="13.77734375" style="2578" customWidth="1"/>
    <col min="270" max="512" width="9" style="2578"/>
    <col min="513" max="513" width="4.88671875" style="2578" customWidth="1"/>
    <col min="514" max="514" width="13.21875" style="2578" customWidth="1"/>
    <col min="515" max="515" width="15.6640625" style="2578" customWidth="1"/>
    <col min="516" max="516" width="9.33203125" style="2578" bestFit="1" customWidth="1"/>
    <col min="517" max="517" width="13.44140625" style="2578" customWidth="1"/>
    <col min="518" max="518" width="9" style="2578"/>
    <col min="519" max="519" width="9.33203125" style="2578" bestFit="1" customWidth="1"/>
    <col min="520" max="521" width="9" style="2578"/>
    <col min="522" max="522" width="9.33203125" style="2578" bestFit="1" customWidth="1"/>
    <col min="523" max="523" width="4" style="2578" customWidth="1"/>
    <col min="524" max="524" width="5.109375" style="2578" customWidth="1"/>
    <col min="525" max="525" width="13.77734375" style="2578" customWidth="1"/>
    <col min="526" max="768" width="9" style="2578"/>
    <col min="769" max="769" width="4.88671875" style="2578" customWidth="1"/>
    <col min="770" max="770" width="13.21875" style="2578" customWidth="1"/>
    <col min="771" max="771" width="15.6640625" style="2578" customWidth="1"/>
    <col min="772" max="772" width="9.33203125" style="2578" bestFit="1" customWidth="1"/>
    <col min="773" max="773" width="13.44140625" style="2578" customWidth="1"/>
    <col min="774" max="774" width="9" style="2578"/>
    <col min="775" max="775" width="9.33203125" style="2578" bestFit="1" customWidth="1"/>
    <col min="776" max="777" width="9" style="2578"/>
    <col min="778" max="778" width="9.33203125" style="2578" bestFit="1" customWidth="1"/>
    <col min="779" max="779" width="4" style="2578" customWidth="1"/>
    <col min="780" max="780" width="5.109375" style="2578" customWidth="1"/>
    <col min="781" max="781" width="13.77734375" style="2578" customWidth="1"/>
    <col min="782" max="1024" width="9" style="2578"/>
    <col min="1025" max="1025" width="4.88671875" style="2578" customWidth="1"/>
    <col min="1026" max="1026" width="13.21875" style="2578" customWidth="1"/>
    <col min="1027" max="1027" width="15.6640625" style="2578" customWidth="1"/>
    <col min="1028" max="1028" width="9.33203125" style="2578" bestFit="1" customWidth="1"/>
    <col min="1029" max="1029" width="13.44140625" style="2578" customWidth="1"/>
    <col min="1030" max="1030" width="9" style="2578"/>
    <col min="1031" max="1031" width="9.33203125" style="2578" bestFit="1" customWidth="1"/>
    <col min="1032" max="1033" width="9" style="2578"/>
    <col min="1034" max="1034" width="9.33203125" style="2578" bestFit="1" customWidth="1"/>
    <col min="1035" max="1035" width="4" style="2578" customWidth="1"/>
    <col min="1036" max="1036" width="5.109375" style="2578" customWidth="1"/>
    <col min="1037" max="1037" width="13.77734375" style="2578" customWidth="1"/>
    <col min="1038" max="1280" width="9" style="2578"/>
    <col min="1281" max="1281" width="4.88671875" style="2578" customWidth="1"/>
    <col min="1282" max="1282" width="13.21875" style="2578" customWidth="1"/>
    <col min="1283" max="1283" width="15.6640625" style="2578" customWidth="1"/>
    <col min="1284" max="1284" width="9.33203125" style="2578" bestFit="1" customWidth="1"/>
    <col min="1285" max="1285" width="13.44140625" style="2578" customWidth="1"/>
    <col min="1286" max="1286" width="9" style="2578"/>
    <col min="1287" max="1287" width="9.33203125" style="2578" bestFit="1" customWidth="1"/>
    <col min="1288" max="1289" width="9" style="2578"/>
    <col min="1290" max="1290" width="9.33203125" style="2578" bestFit="1" customWidth="1"/>
    <col min="1291" max="1291" width="4" style="2578" customWidth="1"/>
    <col min="1292" max="1292" width="5.109375" style="2578" customWidth="1"/>
    <col min="1293" max="1293" width="13.77734375" style="2578" customWidth="1"/>
    <col min="1294" max="1536" width="9" style="2578"/>
    <col min="1537" max="1537" width="4.88671875" style="2578" customWidth="1"/>
    <col min="1538" max="1538" width="13.21875" style="2578" customWidth="1"/>
    <col min="1539" max="1539" width="15.6640625" style="2578" customWidth="1"/>
    <col min="1540" max="1540" width="9.33203125" style="2578" bestFit="1" customWidth="1"/>
    <col min="1541" max="1541" width="13.44140625" style="2578" customWidth="1"/>
    <col min="1542" max="1542" width="9" style="2578"/>
    <col min="1543" max="1543" width="9.33203125" style="2578" bestFit="1" customWidth="1"/>
    <col min="1544" max="1545" width="9" style="2578"/>
    <col min="1546" max="1546" width="9.33203125" style="2578" bestFit="1" customWidth="1"/>
    <col min="1547" max="1547" width="4" style="2578" customWidth="1"/>
    <col min="1548" max="1548" width="5.109375" style="2578" customWidth="1"/>
    <col min="1549" max="1549" width="13.77734375" style="2578" customWidth="1"/>
    <col min="1550" max="1792" width="9" style="2578"/>
    <col min="1793" max="1793" width="4.88671875" style="2578" customWidth="1"/>
    <col min="1794" max="1794" width="13.21875" style="2578" customWidth="1"/>
    <col min="1795" max="1795" width="15.6640625" style="2578" customWidth="1"/>
    <col min="1796" max="1796" width="9.33203125" style="2578" bestFit="1" customWidth="1"/>
    <col min="1797" max="1797" width="13.44140625" style="2578" customWidth="1"/>
    <col min="1798" max="1798" width="9" style="2578"/>
    <col min="1799" max="1799" width="9.33203125" style="2578" bestFit="1" customWidth="1"/>
    <col min="1800" max="1801" width="9" style="2578"/>
    <col min="1802" max="1802" width="9.33203125" style="2578" bestFit="1" customWidth="1"/>
    <col min="1803" max="1803" width="4" style="2578" customWidth="1"/>
    <col min="1804" max="1804" width="5.109375" style="2578" customWidth="1"/>
    <col min="1805" max="1805" width="13.77734375" style="2578" customWidth="1"/>
    <col min="1806" max="2048" width="9" style="2578"/>
    <col min="2049" max="2049" width="4.88671875" style="2578" customWidth="1"/>
    <col min="2050" max="2050" width="13.21875" style="2578" customWidth="1"/>
    <col min="2051" max="2051" width="15.6640625" style="2578" customWidth="1"/>
    <col min="2052" max="2052" width="9.33203125" style="2578" bestFit="1" customWidth="1"/>
    <col min="2053" max="2053" width="13.44140625" style="2578" customWidth="1"/>
    <col min="2054" max="2054" width="9" style="2578"/>
    <col min="2055" max="2055" width="9.33203125" style="2578" bestFit="1" customWidth="1"/>
    <col min="2056" max="2057" width="9" style="2578"/>
    <col min="2058" max="2058" width="9.33203125" style="2578" bestFit="1" customWidth="1"/>
    <col min="2059" max="2059" width="4" style="2578" customWidth="1"/>
    <col min="2060" max="2060" width="5.109375" style="2578" customWidth="1"/>
    <col min="2061" max="2061" width="13.77734375" style="2578" customWidth="1"/>
    <col min="2062" max="2304" width="9" style="2578"/>
    <col min="2305" max="2305" width="4.88671875" style="2578" customWidth="1"/>
    <col min="2306" max="2306" width="13.21875" style="2578" customWidth="1"/>
    <col min="2307" max="2307" width="15.6640625" style="2578" customWidth="1"/>
    <col min="2308" max="2308" width="9.33203125" style="2578" bestFit="1" customWidth="1"/>
    <col min="2309" max="2309" width="13.44140625" style="2578" customWidth="1"/>
    <col min="2310" max="2310" width="9" style="2578"/>
    <col min="2311" max="2311" width="9.33203125" style="2578" bestFit="1" customWidth="1"/>
    <col min="2312" max="2313" width="9" style="2578"/>
    <col min="2314" max="2314" width="9.33203125" style="2578" bestFit="1" customWidth="1"/>
    <col min="2315" max="2315" width="4" style="2578" customWidth="1"/>
    <col min="2316" max="2316" width="5.109375" style="2578" customWidth="1"/>
    <col min="2317" max="2317" width="13.77734375" style="2578" customWidth="1"/>
    <col min="2318" max="2560" width="9" style="2578"/>
    <col min="2561" max="2561" width="4.88671875" style="2578" customWidth="1"/>
    <col min="2562" max="2562" width="13.21875" style="2578" customWidth="1"/>
    <col min="2563" max="2563" width="15.6640625" style="2578" customWidth="1"/>
    <col min="2564" max="2564" width="9.33203125" style="2578" bestFit="1" customWidth="1"/>
    <col min="2565" max="2565" width="13.44140625" style="2578" customWidth="1"/>
    <col min="2566" max="2566" width="9" style="2578"/>
    <col min="2567" max="2567" width="9.33203125" style="2578" bestFit="1" customWidth="1"/>
    <col min="2568" max="2569" width="9" style="2578"/>
    <col min="2570" max="2570" width="9.33203125" style="2578" bestFit="1" customWidth="1"/>
    <col min="2571" max="2571" width="4" style="2578" customWidth="1"/>
    <col min="2572" max="2572" width="5.109375" style="2578" customWidth="1"/>
    <col min="2573" max="2573" width="13.77734375" style="2578" customWidth="1"/>
    <col min="2574" max="2816" width="9" style="2578"/>
    <col min="2817" max="2817" width="4.88671875" style="2578" customWidth="1"/>
    <col min="2818" max="2818" width="13.21875" style="2578" customWidth="1"/>
    <col min="2819" max="2819" width="15.6640625" style="2578" customWidth="1"/>
    <col min="2820" max="2820" width="9.33203125" style="2578" bestFit="1" customWidth="1"/>
    <col min="2821" max="2821" width="13.44140625" style="2578" customWidth="1"/>
    <col min="2822" max="2822" width="9" style="2578"/>
    <col min="2823" max="2823" width="9.33203125" style="2578" bestFit="1" customWidth="1"/>
    <col min="2824" max="2825" width="9" style="2578"/>
    <col min="2826" max="2826" width="9.33203125" style="2578" bestFit="1" customWidth="1"/>
    <col min="2827" max="2827" width="4" style="2578" customWidth="1"/>
    <col min="2828" max="2828" width="5.109375" style="2578" customWidth="1"/>
    <col min="2829" max="2829" width="13.77734375" style="2578" customWidth="1"/>
    <col min="2830" max="3072" width="9" style="2578"/>
    <col min="3073" max="3073" width="4.88671875" style="2578" customWidth="1"/>
    <col min="3074" max="3074" width="13.21875" style="2578" customWidth="1"/>
    <col min="3075" max="3075" width="15.6640625" style="2578" customWidth="1"/>
    <col min="3076" max="3076" width="9.33203125" style="2578" bestFit="1" customWidth="1"/>
    <col min="3077" max="3077" width="13.44140625" style="2578" customWidth="1"/>
    <col min="3078" max="3078" width="9" style="2578"/>
    <col min="3079" max="3079" width="9.33203125" style="2578" bestFit="1" customWidth="1"/>
    <col min="3080" max="3081" width="9" style="2578"/>
    <col min="3082" max="3082" width="9.33203125" style="2578" bestFit="1" customWidth="1"/>
    <col min="3083" max="3083" width="4" style="2578" customWidth="1"/>
    <col min="3084" max="3084" width="5.109375" style="2578" customWidth="1"/>
    <col min="3085" max="3085" width="13.77734375" style="2578" customWidth="1"/>
    <col min="3086" max="3328" width="9" style="2578"/>
    <col min="3329" max="3329" width="4.88671875" style="2578" customWidth="1"/>
    <col min="3330" max="3330" width="13.21875" style="2578" customWidth="1"/>
    <col min="3331" max="3331" width="15.6640625" style="2578" customWidth="1"/>
    <col min="3332" max="3332" width="9.33203125" style="2578" bestFit="1" customWidth="1"/>
    <col min="3333" max="3333" width="13.44140625" style="2578" customWidth="1"/>
    <col min="3334" max="3334" width="9" style="2578"/>
    <col min="3335" max="3335" width="9.33203125" style="2578" bestFit="1" customWidth="1"/>
    <col min="3336" max="3337" width="9" style="2578"/>
    <col min="3338" max="3338" width="9.33203125" style="2578" bestFit="1" customWidth="1"/>
    <col min="3339" max="3339" width="4" style="2578" customWidth="1"/>
    <col min="3340" max="3340" width="5.109375" style="2578" customWidth="1"/>
    <col min="3341" max="3341" width="13.77734375" style="2578" customWidth="1"/>
    <col min="3342" max="3584" width="9" style="2578"/>
    <col min="3585" max="3585" width="4.88671875" style="2578" customWidth="1"/>
    <col min="3586" max="3586" width="13.21875" style="2578" customWidth="1"/>
    <col min="3587" max="3587" width="15.6640625" style="2578" customWidth="1"/>
    <col min="3588" max="3588" width="9.33203125" style="2578" bestFit="1" customWidth="1"/>
    <col min="3589" max="3589" width="13.44140625" style="2578" customWidth="1"/>
    <col min="3590" max="3590" width="9" style="2578"/>
    <col min="3591" max="3591" width="9.33203125" style="2578" bestFit="1" customWidth="1"/>
    <col min="3592" max="3593" width="9" style="2578"/>
    <col min="3594" max="3594" width="9.33203125" style="2578" bestFit="1" customWidth="1"/>
    <col min="3595" max="3595" width="4" style="2578" customWidth="1"/>
    <col min="3596" max="3596" width="5.109375" style="2578" customWidth="1"/>
    <col min="3597" max="3597" width="13.77734375" style="2578" customWidth="1"/>
    <col min="3598" max="3840" width="9" style="2578"/>
    <col min="3841" max="3841" width="4.88671875" style="2578" customWidth="1"/>
    <col min="3842" max="3842" width="13.21875" style="2578" customWidth="1"/>
    <col min="3843" max="3843" width="15.6640625" style="2578" customWidth="1"/>
    <col min="3844" max="3844" width="9.33203125" style="2578" bestFit="1" customWidth="1"/>
    <col min="3845" max="3845" width="13.44140625" style="2578" customWidth="1"/>
    <col min="3846" max="3846" width="9" style="2578"/>
    <col min="3847" max="3847" width="9.33203125" style="2578" bestFit="1" customWidth="1"/>
    <col min="3848" max="3849" width="9" style="2578"/>
    <col min="3850" max="3850" width="9.33203125" style="2578" bestFit="1" customWidth="1"/>
    <col min="3851" max="3851" width="4" style="2578" customWidth="1"/>
    <col min="3852" max="3852" width="5.109375" style="2578" customWidth="1"/>
    <col min="3853" max="3853" width="13.77734375" style="2578" customWidth="1"/>
    <col min="3854" max="4096" width="9" style="2578"/>
    <col min="4097" max="4097" width="4.88671875" style="2578" customWidth="1"/>
    <col min="4098" max="4098" width="13.21875" style="2578" customWidth="1"/>
    <col min="4099" max="4099" width="15.6640625" style="2578" customWidth="1"/>
    <col min="4100" max="4100" width="9.33203125" style="2578" bestFit="1" customWidth="1"/>
    <col min="4101" max="4101" width="13.44140625" style="2578" customWidth="1"/>
    <col min="4102" max="4102" width="9" style="2578"/>
    <col min="4103" max="4103" width="9.33203125" style="2578" bestFit="1" customWidth="1"/>
    <col min="4104" max="4105" width="9" style="2578"/>
    <col min="4106" max="4106" width="9.33203125" style="2578" bestFit="1" customWidth="1"/>
    <col min="4107" max="4107" width="4" style="2578" customWidth="1"/>
    <col min="4108" max="4108" width="5.109375" style="2578" customWidth="1"/>
    <col min="4109" max="4109" width="13.77734375" style="2578" customWidth="1"/>
    <col min="4110" max="4352" width="9" style="2578"/>
    <col min="4353" max="4353" width="4.88671875" style="2578" customWidth="1"/>
    <col min="4354" max="4354" width="13.21875" style="2578" customWidth="1"/>
    <col min="4355" max="4355" width="15.6640625" style="2578" customWidth="1"/>
    <col min="4356" max="4356" width="9.33203125" style="2578" bestFit="1" customWidth="1"/>
    <col min="4357" max="4357" width="13.44140625" style="2578" customWidth="1"/>
    <col min="4358" max="4358" width="9" style="2578"/>
    <col min="4359" max="4359" width="9.33203125" style="2578" bestFit="1" customWidth="1"/>
    <col min="4360" max="4361" width="9" style="2578"/>
    <col min="4362" max="4362" width="9.33203125" style="2578" bestFit="1" customWidth="1"/>
    <col min="4363" max="4363" width="4" style="2578" customWidth="1"/>
    <col min="4364" max="4364" width="5.109375" style="2578" customWidth="1"/>
    <col min="4365" max="4365" width="13.77734375" style="2578" customWidth="1"/>
    <col min="4366" max="4608" width="9" style="2578"/>
    <col min="4609" max="4609" width="4.88671875" style="2578" customWidth="1"/>
    <col min="4610" max="4610" width="13.21875" style="2578" customWidth="1"/>
    <col min="4611" max="4611" width="15.6640625" style="2578" customWidth="1"/>
    <col min="4612" max="4612" width="9.33203125" style="2578" bestFit="1" customWidth="1"/>
    <col min="4613" max="4613" width="13.44140625" style="2578" customWidth="1"/>
    <col min="4614" max="4614" width="9" style="2578"/>
    <col min="4615" max="4615" width="9.33203125" style="2578" bestFit="1" customWidth="1"/>
    <col min="4616" max="4617" width="9" style="2578"/>
    <col min="4618" max="4618" width="9.33203125" style="2578" bestFit="1" customWidth="1"/>
    <col min="4619" max="4619" width="4" style="2578" customWidth="1"/>
    <col min="4620" max="4620" width="5.109375" style="2578" customWidth="1"/>
    <col min="4621" max="4621" width="13.77734375" style="2578" customWidth="1"/>
    <col min="4622" max="4864" width="9" style="2578"/>
    <col min="4865" max="4865" width="4.88671875" style="2578" customWidth="1"/>
    <col min="4866" max="4866" width="13.21875" style="2578" customWidth="1"/>
    <col min="4867" max="4867" width="15.6640625" style="2578" customWidth="1"/>
    <col min="4868" max="4868" width="9.33203125" style="2578" bestFit="1" customWidth="1"/>
    <col min="4869" max="4869" width="13.44140625" style="2578" customWidth="1"/>
    <col min="4870" max="4870" width="9" style="2578"/>
    <col min="4871" max="4871" width="9.33203125" style="2578" bestFit="1" customWidth="1"/>
    <col min="4872" max="4873" width="9" style="2578"/>
    <col min="4874" max="4874" width="9.33203125" style="2578" bestFit="1" customWidth="1"/>
    <col min="4875" max="4875" width="4" style="2578" customWidth="1"/>
    <col min="4876" max="4876" width="5.109375" style="2578" customWidth="1"/>
    <col min="4877" max="4877" width="13.77734375" style="2578" customWidth="1"/>
    <col min="4878" max="5120" width="9" style="2578"/>
    <col min="5121" max="5121" width="4.88671875" style="2578" customWidth="1"/>
    <col min="5122" max="5122" width="13.21875" style="2578" customWidth="1"/>
    <col min="5123" max="5123" width="15.6640625" style="2578" customWidth="1"/>
    <col min="5124" max="5124" width="9.33203125" style="2578" bestFit="1" customWidth="1"/>
    <col min="5125" max="5125" width="13.44140625" style="2578" customWidth="1"/>
    <col min="5126" max="5126" width="9" style="2578"/>
    <col min="5127" max="5127" width="9.33203125" style="2578" bestFit="1" customWidth="1"/>
    <col min="5128" max="5129" width="9" style="2578"/>
    <col min="5130" max="5130" width="9.33203125" style="2578" bestFit="1" customWidth="1"/>
    <col min="5131" max="5131" width="4" style="2578" customWidth="1"/>
    <col min="5132" max="5132" width="5.109375" style="2578" customWidth="1"/>
    <col min="5133" max="5133" width="13.77734375" style="2578" customWidth="1"/>
    <col min="5134" max="5376" width="9" style="2578"/>
    <col min="5377" max="5377" width="4.88671875" style="2578" customWidth="1"/>
    <col min="5378" max="5378" width="13.21875" style="2578" customWidth="1"/>
    <col min="5379" max="5379" width="15.6640625" style="2578" customWidth="1"/>
    <col min="5380" max="5380" width="9.33203125" style="2578" bestFit="1" customWidth="1"/>
    <col min="5381" max="5381" width="13.44140625" style="2578" customWidth="1"/>
    <col min="5382" max="5382" width="9" style="2578"/>
    <col min="5383" max="5383" width="9.33203125" style="2578" bestFit="1" customWidth="1"/>
    <col min="5384" max="5385" width="9" style="2578"/>
    <col min="5386" max="5386" width="9.33203125" style="2578" bestFit="1" customWidth="1"/>
    <col min="5387" max="5387" width="4" style="2578" customWidth="1"/>
    <col min="5388" max="5388" width="5.109375" style="2578" customWidth="1"/>
    <col min="5389" max="5389" width="13.77734375" style="2578" customWidth="1"/>
    <col min="5390" max="5632" width="9" style="2578"/>
    <col min="5633" max="5633" width="4.88671875" style="2578" customWidth="1"/>
    <col min="5634" max="5634" width="13.21875" style="2578" customWidth="1"/>
    <col min="5635" max="5635" width="15.6640625" style="2578" customWidth="1"/>
    <col min="5636" max="5636" width="9.33203125" style="2578" bestFit="1" customWidth="1"/>
    <col min="5637" max="5637" width="13.44140625" style="2578" customWidth="1"/>
    <col min="5638" max="5638" width="9" style="2578"/>
    <col min="5639" max="5639" width="9.33203125" style="2578" bestFit="1" customWidth="1"/>
    <col min="5640" max="5641" width="9" style="2578"/>
    <col min="5642" max="5642" width="9.33203125" style="2578" bestFit="1" customWidth="1"/>
    <col min="5643" max="5643" width="4" style="2578" customWidth="1"/>
    <col min="5644" max="5644" width="5.109375" style="2578" customWidth="1"/>
    <col min="5645" max="5645" width="13.77734375" style="2578" customWidth="1"/>
    <col min="5646" max="5888" width="9" style="2578"/>
    <col min="5889" max="5889" width="4.88671875" style="2578" customWidth="1"/>
    <col min="5890" max="5890" width="13.21875" style="2578" customWidth="1"/>
    <col min="5891" max="5891" width="15.6640625" style="2578" customWidth="1"/>
    <col min="5892" max="5892" width="9.33203125" style="2578" bestFit="1" customWidth="1"/>
    <col min="5893" max="5893" width="13.44140625" style="2578" customWidth="1"/>
    <col min="5894" max="5894" width="9" style="2578"/>
    <col min="5895" max="5895" width="9.33203125" style="2578" bestFit="1" customWidth="1"/>
    <col min="5896" max="5897" width="9" style="2578"/>
    <col min="5898" max="5898" width="9.33203125" style="2578" bestFit="1" customWidth="1"/>
    <col min="5899" max="5899" width="4" style="2578" customWidth="1"/>
    <col min="5900" max="5900" width="5.109375" style="2578" customWidth="1"/>
    <col min="5901" max="5901" width="13.77734375" style="2578" customWidth="1"/>
    <col min="5902" max="6144" width="9" style="2578"/>
    <col min="6145" max="6145" width="4.88671875" style="2578" customWidth="1"/>
    <col min="6146" max="6146" width="13.21875" style="2578" customWidth="1"/>
    <col min="6147" max="6147" width="15.6640625" style="2578" customWidth="1"/>
    <col min="6148" max="6148" width="9.33203125" style="2578" bestFit="1" customWidth="1"/>
    <col min="6149" max="6149" width="13.44140625" style="2578" customWidth="1"/>
    <col min="6150" max="6150" width="9" style="2578"/>
    <col min="6151" max="6151" width="9.33203125" style="2578" bestFit="1" customWidth="1"/>
    <col min="6152" max="6153" width="9" style="2578"/>
    <col min="6154" max="6154" width="9.33203125" style="2578" bestFit="1" customWidth="1"/>
    <col min="6155" max="6155" width="4" style="2578" customWidth="1"/>
    <col min="6156" max="6156" width="5.109375" style="2578" customWidth="1"/>
    <col min="6157" max="6157" width="13.77734375" style="2578" customWidth="1"/>
    <col min="6158" max="6400" width="9" style="2578"/>
    <col min="6401" max="6401" width="4.88671875" style="2578" customWidth="1"/>
    <col min="6402" max="6402" width="13.21875" style="2578" customWidth="1"/>
    <col min="6403" max="6403" width="15.6640625" style="2578" customWidth="1"/>
    <col min="6404" max="6404" width="9.33203125" style="2578" bestFit="1" customWidth="1"/>
    <col min="6405" max="6405" width="13.44140625" style="2578" customWidth="1"/>
    <col min="6406" max="6406" width="9" style="2578"/>
    <col min="6407" max="6407" width="9.33203125" style="2578" bestFit="1" customWidth="1"/>
    <col min="6408" max="6409" width="9" style="2578"/>
    <col min="6410" max="6410" width="9.33203125" style="2578" bestFit="1" customWidth="1"/>
    <col min="6411" max="6411" width="4" style="2578" customWidth="1"/>
    <col min="6412" max="6412" width="5.109375" style="2578" customWidth="1"/>
    <col min="6413" max="6413" width="13.77734375" style="2578" customWidth="1"/>
    <col min="6414" max="6656" width="9" style="2578"/>
    <col min="6657" max="6657" width="4.88671875" style="2578" customWidth="1"/>
    <col min="6658" max="6658" width="13.21875" style="2578" customWidth="1"/>
    <col min="6659" max="6659" width="15.6640625" style="2578" customWidth="1"/>
    <col min="6660" max="6660" width="9.33203125" style="2578" bestFit="1" customWidth="1"/>
    <col min="6661" max="6661" width="13.44140625" style="2578" customWidth="1"/>
    <col min="6662" max="6662" width="9" style="2578"/>
    <col min="6663" max="6663" width="9.33203125" style="2578" bestFit="1" customWidth="1"/>
    <col min="6664" max="6665" width="9" style="2578"/>
    <col min="6666" max="6666" width="9.33203125" style="2578" bestFit="1" customWidth="1"/>
    <col min="6667" max="6667" width="4" style="2578" customWidth="1"/>
    <col min="6668" max="6668" width="5.109375" style="2578" customWidth="1"/>
    <col min="6669" max="6669" width="13.77734375" style="2578" customWidth="1"/>
    <col min="6670" max="6912" width="9" style="2578"/>
    <col min="6913" max="6913" width="4.88671875" style="2578" customWidth="1"/>
    <col min="6914" max="6914" width="13.21875" style="2578" customWidth="1"/>
    <col min="6915" max="6915" width="15.6640625" style="2578" customWidth="1"/>
    <col min="6916" max="6916" width="9.33203125" style="2578" bestFit="1" customWidth="1"/>
    <col min="6917" max="6917" width="13.44140625" style="2578" customWidth="1"/>
    <col min="6918" max="6918" width="9" style="2578"/>
    <col min="6919" max="6919" width="9.33203125" style="2578" bestFit="1" customWidth="1"/>
    <col min="6920" max="6921" width="9" style="2578"/>
    <col min="6922" max="6922" width="9.33203125" style="2578" bestFit="1" customWidth="1"/>
    <col min="6923" max="6923" width="4" style="2578" customWidth="1"/>
    <col min="6924" max="6924" width="5.109375" style="2578" customWidth="1"/>
    <col min="6925" max="6925" width="13.77734375" style="2578" customWidth="1"/>
    <col min="6926" max="7168" width="9" style="2578"/>
    <col min="7169" max="7169" width="4.88671875" style="2578" customWidth="1"/>
    <col min="7170" max="7170" width="13.21875" style="2578" customWidth="1"/>
    <col min="7171" max="7171" width="15.6640625" style="2578" customWidth="1"/>
    <col min="7172" max="7172" width="9.33203125" style="2578" bestFit="1" customWidth="1"/>
    <col min="7173" max="7173" width="13.44140625" style="2578" customWidth="1"/>
    <col min="7174" max="7174" width="9" style="2578"/>
    <col min="7175" max="7175" width="9.33203125" style="2578" bestFit="1" customWidth="1"/>
    <col min="7176" max="7177" width="9" style="2578"/>
    <col min="7178" max="7178" width="9.33203125" style="2578" bestFit="1" customWidth="1"/>
    <col min="7179" max="7179" width="4" style="2578" customWidth="1"/>
    <col min="7180" max="7180" width="5.109375" style="2578" customWidth="1"/>
    <col min="7181" max="7181" width="13.77734375" style="2578" customWidth="1"/>
    <col min="7182" max="7424" width="9" style="2578"/>
    <col min="7425" max="7425" width="4.88671875" style="2578" customWidth="1"/>
    <col min="7426" max="7426" width="13.21875" style="2578" customWidth="1"/>
    <col min="7427" max="7427" width="15.6640625" style="2578" customWidth="1"/>
    <col min="7428" max="7428" width="9.33203125" style="2578" bestFit="1" customWidth="1"/>
    <col min="7429" max="7429" width="13.44140625" style="2578" customWidth="1"/>
    <col min="7430" max="7430" width="9" style="2578"/>
    <col min="7431" max="7431" width="9.33203125" style="2578" bestFit="1" customWidth="1"/>
    <col min="7432" max="7433" width="9" style="2578"/>
    <col min="7434" max="7434" width="9.33203125" style="2578" bestFit="1" customWidth="1"/>
    <col min="7435" max="7435" width="4" style="2578" customWidth="1"/>
    <col min="7436" max="7436" width="5.109375" style="2578" customWidth="1"/>
    <col min="7437" max="7437" width="13.77734375" style="2578" customWidth="1"/>
    <col min="7438" max="7680" width="9" style="2578"/>
    <col min="7681" max="7681" width="4.88671875" style="2578" customWidth="1"/>
    <col min="7682" max="7682" width="13.21875" style="2578" customWidth="1"/>
    <col min="7683" max="7683" width="15.6640625" style="2578" customWidth="1"/>
    <col min="7684" max="7684" width="9.33203125" style="2578" bestFit="1" customWidth="1"/>
    <col min="7685" max="7685" width="13.44140625" style="2578" customWidth="1"/>
    <col min="7686" max="7686" width="9" style="2578"/>
    <col min="7687" max="7687" width="9.33203125" style="2578" bestFit="1" customWidth="1"/>
    <col min="7688" max="7689" width="9" style="2578"/>
    <col min="7690" max="7690" width="9.33203125" style="2578" bestFit="1" customWidth="1"/>
    <col min="7691" max="7691" width="4" style="2578" customWidth="1"/>
    <col min="7692" max="7692" width="5.109375" style="2578" customWidth="1"/>
    <col min="7693" max="7693" width="13.77734375" style="2578" customWidth="1"/>
    <col min="7694" max="7936" width="9" style="2578"/>
    <col min="7937" max="7937" width="4.88671875" style="2578" customWidth="1"/>
    <col min="7938" max="7938" width="13.21875" style="2578" customWidth="1"/>
    <col min="7939" max="7939" width="15.6640625" style="2578" customWidth="1"/>
    <col min="7940" max="7940" width="9.33203125" style="2578" bestFit="1" customWidth="1"/>
    <col min="7941" max="7941" width="13.44140625" style="2578" customWidth="1"/>
    <col min="7942" max="7942" width="9" style="2578"/>
    <col min="7943" max="7943" width="9.33203125" style="2578" bestFit="1" customWidth="1"/>
    <col min="7944" max="7945" width="9" style="2578"/>
    <col min="7946" max="7946" width="9.33203125" style="2578" bestFit="1" customWidth="1"/>
    <col min="7947" max="7947" width="4" style="2578" customWidth="1"/>
    <col min="7948" max="7948" width="5.109375" style="2578" customWidth="1"/>
    <col min="7949" max="7949" width="13.77734375" style="2578" customWidth="1"/>
    <col min="7950" max="8192" width="9" style="2578"/>
    <col min="8193" max="8193" width="4.88671875" style="2578" customWidth="1"/>
    <col min="8194" max="8194" width="13.21875" style="2578" customWidth="1"/>
    <col min="8195" max="8195" width="15.6640625" style="2578" customWidth="1"/>
    <col min="8196" max="8196" width="9.33203125" style="2578" bestFit="1" customWidth="1"/>
    <col min="8197" max="8197" width="13.44140625" style="2578" customWidth="1"/>
    <col min="8198" max="8198" width="9" style="2578"/>
    <col min="8199" max="8199" width="9.33203125" style="2578" bestFit="1" customWidth="1"/>
    <col min="8200" max="8201" width="9" style="2578"/>
    <col min="8202" max="8202" width="9.33203125" style="2578" bestFit="1" customWidth="1"/>
    <col min="8203" max="8203" width="4" style="2578" customWidth="1"/>
    <col min="8204" max="8204" width="5.109375" style="2578" customWidth="1"/>
    <col min="8205" max="8205" width="13.77734375" style="2578" customWidth="1"/>
    <col min="8206" max="8448" width="9" style="2578"/>
    <col min="8449" max="8449" width="4.88671875" style="2578" customWidth="1"/>
    <col min="8450" max="8450" width="13.21875" style="2578" customWidth="1"/>
    <col min="8451" max="8451" width="15.6640625" style="2578" customWidth="1"/>
    <col min="8452" max="8452" width="9.33203125" style="2578" bestFit="1" customWidth="1"/>
    <col min="8453" max="8453" width="13.44140625" style="2578" customWidth="1"/>
    <col min="8454" max="8454" width="9" style="2578"/>
    <col min="8455" max="8455" width="9.33203125" style="2578" bestFit="1" customWidth="1"/>
    <col min="8456" max="8457" width="9" style="2578"/>
    <col min="8458" max="8458" width="9.33203125" style="2578" bestFit="1" customWidth="1"/>
    <col min="8459" max="8459" width="4" style="2578" customWidth="1"/>
    <col min="8460" max="8460" width="5.109375" style="2578" customWidth="1"/>
    <col min="8461" max="8461" width="13.77734375" style="2578" customWidth="1"/>
    <col min="8462" max="8704" width="9" style="2578"/>
    <col min="8705" max="8705" width="4.88671875" style="2578" customWidth="1"/>
    <col min="8706" max="8706" width="13.21875" style="2578" customWidth="1"/>
    <col min="8707" max="8707" width="15.6640625" style="2578" customWidth="1"/>
    <col min="8708" max="8708" width="9.33203125" style="2578" bestFit="1" customWidth="1"/>
    <col min="8709" max="8709" width="13.44140625" style="2578" customWidth="1"/>
    <col min="8710" max="8710" width="9" style="2578"/>
    <col min="8711" max="8711" width="9.33203125" style="2578" bestFit="1" customWidth="1"/>
    <col min="8712" max="8713" width="9" style="2578"/>
    <col min="8714" max="8714" width="9.33203125" style="2578" bestFit="1" customWidth="1"/>
    <col min="8715" max="8715" width="4" style="2578" customWidth="1"/>
    <col min="8716" max="8716" width="5.109375" style="2578" customWidth="1"/>
    <col min="8717" max="8717" width="13.77734375" style="2578" customWidth="1"/>
    <col min="8718" max="8960" width="9" style="2578"/>
    <col min="8961" max="8961" width="4.88671875" style="2578" customWidth="1"/>
    <col min="8962" max="8962" width="13.21875" style="2578" customWidth="1"/>
    <col min="8963" max="8963" width="15.6640625" style="2578" customWidth="1"/>
    <col min="8964" max="8964" width="9.33203125" style="2578" bestFit="1" customWidth="1"/>
    <col min="8965" max="8965" width="13.44140625" style="2578" customWidth="1"/>
    <col min="8966" max="8966" width="9" style="2578"/>
    <col min="8967" max="8967" width="9.33203125" style="2578" bestFit="1" customWidth="1"/>
    <col min="8968" max="8969" width="9" style="2578"/>
    <col min="8970" max="8970" width="9.33203125" style="2578" bestFit="1" customWidth="1"/>
    <col min="8971" max="8971" width="4" style="2578" customWidth="1"/>
    <col min="8972" max="8972" width="5.109375" style="2578" customWidth="1"/>
    <col min="8973" max="8973" width="13.77734375" style="2578" customWidth="1"/>
    <col min="8974" max="9216" width="9" style="2578"/>
    <col min="9217" max="9217" width="4.88671875" style="2578" customWidth="1"/>
    <col min="9218" max="9218" width="13.21875" style="2578" customWidth="1"/>
    <col min="9219" max="9219" width="15.6640625" style="2578" customWidth="1"/>
    <col min="9220" max="9220" width="9.33203125" style="2578" bestFit="1" customWidth="1"/>
    <col min="9221" max="9221" width="13.44140625" style="2578" customWidth="1"/>
    <col min="9222" max="9222" width="9" style="2578"/>
    <col min="9223" max="9223" width="9.33203125" style="2578" bestFit="1" customWidth="1"/>
    <col min="9224" max="9225" width="9" style="2578"/>
    <col min="9226" max="9226" width="9.33203125" style="2578" bestFit="1" customWidth="1"/>
    <col min="9227" max="9227" width="4" style="2578" customWidth="1"/>
    <col min="9228" max="9228" width="5.109375" style="2578" customWidth="1"/>
    <col min="9229" max="9229" width="13.77734375" style="2578" customWidth="1"/>
    <col min="9230" max="9472" width="9" style="2578"/>
    <col min="9473" max="9473" width="4.88671875" style="2578" customWidth="1"/>
    <col min="9474" max="9474" width="13.21875" style="2578" customWidth="1"/>
    <col min="9475" max="9475" width="15.6640625" style="2578" customWidth="1"/>
    <col min="9476" max="9476" width="9.33203125" style="2578" bestFit="1" customWidth="1"/>
    <col min="9477" max="9477" width="13.44140625" style="2578" customWidth="1"/>
    <col min="9478" max="9478" width="9" style="2578"/>
    <col min="9479" max="9479" width="9.33203125" style="2578" bestFit="1" customWidth="1"/>
    <col min="9480" max="9481" width="9" style="2578"/>
    <col min="9482" max="9482" width="9.33203125" style="2578" bestFit="1" customWidth="1"/>
    <col min="9483" max="9483" width="4" style="2578" customWidth="1"/>
    <col min="9484" max="9484" width="5.109375" style="2578" customWidth="1"/>
    <col min="9485" max="9485" width="13.77734375" style="2578" customWidth="1"/>
    <col min="9486" max="9728" width="9" style="2578"/>
    <col min="9729" max="9729" width="4.88671875" style="2578" customWidth="1"/>
    <col min="9730" max="9730" width="13.21875" style="2578" customWidth="1"/>
    <col min="9731" max="9731" width="15.6640625" style="2578" customWidth="1"/>
    <col min="9732" max="9732" width="9.33203125" style="2578" bestFit="1" customWidth="1"/>
    <col min="9733" max="9733" width="13.44140625" style="2578" customWidth="1"/>
    <col min="9734" max="9734" width="9" style="2578"/>
    <col min="9735" max="9735" width="9.33203125" style="2578" bestFit="1" customWidth="1"/>
    <col min="9736" max="9737" width="9" style="2578"/>
    <col min="9738" max="9738" width="9.33203125" style="2578" bestFit="1" customWidth="1"/>
    <col min="9739" max="9739" width="4" style="2578" customWidth="1"/>
    <col min="9740" max="9740" width="5.109375" style="2578" customWidth="1"/>
    <col min="9741" max="9741" width="13.77734375" style="2578" customWidth="1"/>
    <col min="9742" max="9984" width="9" style="2578"/>
    <col min="9985" max="9985" width="4.88671875" style="2578" customWidth="1"/>
    <col min="9986" max="9986" width="13.21875" style="2578" customWidth="1"/>
    <col min="9987" max="9987" width="15.6640625" style="2578" customWidth="1"/>
    <col min="9988" max="9988" width="9.33203125" style="2578" bestFit="1" customWidth="1"/>
    <col min="9989" max="9989" width="13.44140625" style="2578" customWidth="1"/>
    <col min="9990" max="9990" width="9" style="2578"/>
    <col min="9991" max="9991" width="9.33203125" style="2578" bestFit="1" customWidth="1"/>
    <col min="9992" max="9993" width="9" style="2578"/>
    <col min="9994" max="9994" width="9.33203125" style="2578" bestFit="1" customWidth="1"/>
    <col min="9995" max="9995" width="4" style="2578" customWidth="1"/>
    <col min="9996" max="9996" width="5.109375" style="2578" customWidth="1"/>
    <col min="9997" max="9997" width="13.77734375" style="2578" customWidth="1"/>
    <col min="9998" max="10240" width="9" style="2578"/>
    <col min="10241" max="10241" width="4.88671875" style="2578" customWidth="1"/>
    <col min="10242" max="10242" width="13.21875" style="2578" customWidth="1"/>
    <col min="10243" max="10243" width="15.6640625" style="2578" customWidth="1"/>
    <col min="10244" max="10244" width="9.33203125" style="2578" bestFit="1" customWidth="1"/>
    <col min="10245" max="10245" width="13.44140625" style="2578" customWidth="1"/>
    <col min="10246" max="10246" width="9" style="2578"/>
    <col min="10247" max="10247" width="9.33203125" style="2578" bestFit="1" customWidth="1"/>
    <col min="10248" max="10249" width="9" style="2578"/>
    <col min="10250" max="10250" width="9.33203125" style="2578" bestFit="1" customWidth="1"/>
    <col min="10251" max="10251" width="4" style="2578" customWidth="1"/>
    <col min="10252" max="10252" width="5.109375" style="2578" customWidth="1"/>
    <col min="10253" max="10253" width="13.77734375" style="2578" customWidth="1"/>
    <col min="10254" max="10496" width="9" style="2578"/>
    <col min="10497" max="10497" width="4.88671875" style="2578" customWidth="1"/>
    <col min="10498" max="10498" width="13.21875" style="2578" customWidth="1"/>
    <col min="10499" max="10499" width="15.6640625" style="2578" customWidth="1"/>
    <col min="10500" max="10500" width="9.33203125" style="2578" bestFit="1" customWidth="1"/>
    <col min="10501" max="10501" width="13.44140625" style="2578" customWidth="1"/>
    <col min="10502" max="10502" width="9" style="2578"/>
    <col min="10503" max="10503" width="9.33203125" style="2578" bestFit="1" customWidth="1"/>
    <col min="10504" max="10505" width="9" style="2578"/>
    <col min="10506" max="10506" width="9.33203125" style="2578" bestFit="1" customWidth="1"/>
    <col min="10507" max="10507" width="4" style="2578" customWidth="1"/>
    <col min="10508" max="10508" width="5.109375" style="2578" customWidth="1"/>
    <col min="10509" max="10509" width="13.77734375" style="2578" customWidth="1"/>
    <col min="10510" max="10752" width="9" style="2578"/>
    <col min="10753" max="10753" width="4.88671875" style="2578" customWidth="1"/>
    <col min="10754" max="10754" width="13.21875" style="2578" customWidth="1"/>
    <col min="10755" max="10755" width="15.6640625" style="2578" customWidth="1"/>
    <col min="10756" max="10756" width="9.33203125" style="2578" bestFit="1" customWidth="1"/>
    <col min="10757" max="10757" width="13.44140625" style="2578" customWidth="1"/>
    <col min="10758" max="10758" width="9" style="2578"/>
    <col min="10759" max="10759" width="9.33203125" style="2578" bestFit="1" customWidth="1"/>
    <col min="10760" max="10761" width="9" style="2578"/>
    <col min="10762" max="10762" width="9.33203125" style="2578" bestFit="1" customWidth="1"/>
    <col min="10763" max="10763" width="4" style="2578" customWidth="1"/>
    <col min="10764" max="10764" width="5.109375" style="2578" customWidth="1"/>
    <col min="10765" max="10765" width="13.77734375" style="2578" customWidth="1"/>
    <col min="10766" max="11008" width="9" style="2578"/>
    <col min="11009" max="11009" width="4.88671875" style="2578" customWidth="1"/>
    <col min="11010" max="11010" width="13.21875" style="2578" customWidth="1"/>
    <col min="11011" max="11011" width="15.6640625" style="2578" customWidth="1"/>
    <col min="11012" max="11012" width="9.33203125" style="2578" bestFit="1" customWidth="1"/>
    <col min="11013" max="11013" width="13.44140625" style="2578" customWidth="1"/>
    <col min="11014" max="11014" width="9" style="2578"/>
    <col min="11015" max="11015" width="9.33203125" style="2578" bestFit="1" customWidth="1"/>
    <col min="11016" max="11017" width="9" style="2578"/>
    <col min="11018" max="11018" width="9.33203125" style="2578" bestFit="1" customWidth="1"/>
    <col min="11019" max="11019" width="4" style="2578" customWidth="1"/>
    <col min="11020" max="11020" width="5.109375" style="2578" customWidth="1"/>
    <col min="11021" max="11021" width="13.77734375" style="2578" customWidth="1"/>
    <col min="11022" max="11264" width="9" style="2578"/>
    <col min="11265" max="11265" width="4.88671875" style="2578" customWidth="1"/>
    <col min="11266" max="11266" width="13.21875" style="2578" customWidth="1"/>
    <col min="11267" max="11267" width="15.6640625" style="2578" customWidth="1"/>
    <col min="11268" max="11268" width="9.33203125" style="2578" bestFit="1" customWidth="1"/>
    <col min="11269" max="11269" width="13.44140625" style="2578" customWidth="1"/>
    <col min="11270" max="11270" width="9" style="2578"/>
    <col min="11271" max="11271" width="9.33203125" style="2578" bestFit="1" customWidth="1"/>
    <col min="11272" max="11273" width="9" style="2578"/>
    <col min="11274" max="11274" width="9.33203125" style="2578" bestFit="1" customWidth="1"/>
    <col min="11275" max="11275" width="4" style="2578" customWidth="1"/>
    <col min="11276" max="11276" width="5.109375" style="2578" customWidth="1"/>
    <col min="11277" max="11277" width="13.77734375" style="2578" customWidth="1"/>
    <col min="11278" max="11520" width="9" style="2578"/>
    <col min="11521" max="11521" width="4.88671875" style="2578" customWidth="1"/>
    <col min="11522" max="11522" width="13.21875" style="2578" customWidth="1"/>
    <col min="11523" max="11523" width="15.6640625" style="2578" customWidth="1"/>
    <col min="11524" max="11524" width="9.33203125" style="2578" bestFit="1" customWidth="1"/>
    <col min="11525" max="11525" width="13.44140625" style="2578" customWidth="1"/>
    <col min="11526" max="11526" width="9" style="2578"/>
    <col min="11527" max="11527" width="9.33203125" style="2578" bestFit="1" customWidth="1"/>
    <col min="11528" max="11529" width="9" style="2578"/>
    <col min="11530" max="11530" width="9.33203125" style="2578" bestFit="1" customWidth="1"/>
    <col min="11531" max="11531" width="4" style="2578" customWidth="1"/>
    <col min="11532" max="11532" width="5.109375" style="2578" customWidth="1"/>
    <col min="11533" max="11533" width="13.77734375" style="2578" customWidth="1"/>
    <col min="11534" max="11776" width="9" style="2578"/>
    <col min="11777" max="11777" width="4.88671875" style="2578" customWidth="1"/>
    <col min="11778" max="11778" width="13.21875" style="2578" customWidth="1"/>
    <col min="11779" max="11779" width="15.6640625" style="2578" customWidth="1"/>
    <col min="11780" max="11780" width="9.33203125" style="2578" bestFit="1" customWidth="1"/>
    <col min="11781" max="11781" width="13.44140625" style="2578" customWidth="1"/>
    <col min="11782" max="11782" width="9" style="2578"/>
    <col min="11783" max="11783" width="9.33203125" style="2578" bestFit="1" customWidth="1"/>
    <col min="11784" max="11785" width="9" style="2578"/>
    <col min="11786" max="11786" width="9.33203125" style="2578" bestFit="1" customWidth="1"/>
    <col min="11787" max="11787" width="4" style="2578" customWidth="1"/>
    <col min="11788" max="11788" width="5.109375" style="2578" customWidth="1"/>
    <col min="11789" max="11789" width="13.77734375" style="2578" customWidth="1"/>
    <col min="11790" max="12032" width="9" style="2578"/>
    <col min="12033" max="12033" width="4.88671875" style="2578" customWidth="1"/>
    <col min="12034" max="12034" width="13.21875" style="2578" customWidth="1"/>
    <col min="12035" max="12035" width="15.6640625" style="2578" customWidth="1"/>
    <col min="12036" max="12036" width="9.33203125" style="2578" bestFit="1" customWidth="1"/>
    <col min="12037" max="12037" width="13.44140625" style="2578" customWidth="1"/>
    <col min="12038" max="12038" width="9" style="2578"/>
    <col min="12039" max="12039" width="9.33203125" style="2578" bestFit="1" customWidth="1"/>
    <col min="12040" max="12041" width="9" style="2578"/>
    <col min="12042" max="12042" width="9.33203125" style="2578" bestFit="1" customWidth="1"/>
    <col min="12043" max="12043" width="4" style="2578" customWidth="1"/>
    <col min="12044" max="12044" width="5.109375" style="2578" customWidth="1"/>
    <col min="12045" max="12045" width="13.77734375" style="2578" customWidth="1"/>
    <col min="12046" max="12288" width="9" style="2578"/>
    <col min="12289" max="12289" width="4.88671875" style="2578" customWidth="1"/>
    <col min="12290" max="12290" width="13.21875" style="2578" customWidth="1"/>
    <col min="12291" max="12291" width="15.6640625" style="2578" customWidth="1"/>
    <col min="12292" max="12292" width="9.33203125" style="2578" bestFit="1" customWidth="1"/>
    <col min="12293" max="12293" width="13.44140625" style="2578" customWidth="1"/>
    <col min="12294" max="12294" width="9" style="2578"/>
    <col min="12295" max="12295" width="9.33203125" style="2578" bestFit="1" customWidth="1"/>
    <col min="12296" max="12297" width="9" style="2578"/>
    <col min="12298" max="12298" width="9.33203125" style="2578" bestFit="1" customWidth="1"/>
    <col min="12299" max="12299" width="4" style="2578" customWidth="1"/>
    <col min="12300" max="12300" width="5.109375" style="2578" customWidth="1"/>
    <col min="12301" max="12301" width="13.77734375" style="2578" customWidth="1"/>
    <col min="12302" max="12544" width="9" style="2578"/>
    <col min="12545" max="12545" width="4.88671875" style="2578" customWidth="1"/>
    <col min="12546" max="12546" width="13.21875" style="2578" customWidth="1"/>
    <col min="12547" max="12547" width="15.6640625" style="2578" customWidth="1"/>
    <col min="12548" max="12548" width="9.33203125" style="2578" bestFit="1" customWidth="1"/>
    <col min="12549" max="12549" width="13.44140625" style="2578" customWidth="1"/>
    <col min="12550" max="12550" width="9" style="2578"/>
    <col min="12551" max="12551" width="9.33203125" style="2578" bestFit="1" customWidth="1"/>
    <col min="12552" max="12553" width="9" style="2578"/>
    <col min="12554" max="12554" width="9.33203125" style="2578" bestFit="1" customWidth="1"/>
    <col min="12555" max="12555" width="4" style="2578" customWidth="1"/>
    <col min="12556" max="12556" width="5.109375" style="2578" customWidth="1"/>
    <col min="12557" max="12557" width="13.77734375" style="2578" customWidth="1"/>
    <col min="12558" max="12800" width="9" style="2578"/>
    <col min="12801" max="12801" width="4.88671875" style="2578" customWidth="1"/>
    <col min="12802" max="12802" width="13.21875" style="2578" customWidth="1"/>
    <col min="12803" max="12803" width="15.6640625" style="2578" customWidth="1"/>
    <col min="12804" max="12804" width="9.33203125" style="2578" bestFit="1" customWidth="1"/>
    <col min="12805" max="12805" width="13.44140625" style="2578" customWidth="1"/>
    <col min="12806" max="12806" width="9" style="2578"/>
    <col min="12807" max="12807" width="9.33203125" style="2578" bestFit="1" customWidth="1"/>
    <col min="12808" max="12809" width="9" style="2578"/>
    <col min="12810" max="12810" width="9.33203125" style="2578" bestFit="1" customWidth="1"/>
    <col min="12811" max="12811" width="4" style="2578" customWidth="1"/>
    <col min="12812" max="12812" width="5.109375" style="2578" customWidth="1"/>
    <col min="12813" max="12813" width="13.77734375" style="2578" customWidth="1"/>
    <col min="12814" max="13056" width="9" style="2578"/>
    <col min="13057" max="13057" width="4.88671875" style="2578" customWidth="1"/>
    <col min="13058" max="13058" width="13.21875" style="2578" customWidth="1"/>
    <col min="13059" max="13059" width="15.6640625" style="2578" customWidth="1"/>
    <col min="13060" max="13060" width="9.33203125" style="2578" bestFit="1" customWidth="1"/>
    <col min="13061" max="13061" width="13.44140625" style="2578" customWidth="1"/>
    <col min="13062" max="13062" width="9" style="2578"/>
    <col min="13063" max="13063" width="9.33203125" style="2578" bestFit="1" customWidth="1"/>
    <col min="13064" max="13065" width="9" style="2578"/>
    <col min="13066" max="13066" width="9.33203125" style="2578" bestFit="1" customWidth="1"/>
    <col min="13067" max="13067" width="4" style="2578" customWidth="1"/>
    <col min="13068" max="13068" width="5.109375" style="2578" customWidth="1"/>
    <col min="13069" max="13069" width="13.77734375" style="2578" customWidth="1"/>
    <col min="13070" max="13312" width="9" style="2578"/>
    <col min="13313" max="13313" width="4.88671875" style="2578" customWidth="1"/>
    <col min="13314" max="13314" width="13.21875" style="2578" customWidth="1"/>
    <col min="13315" max="13315" width="15.6640625" style="2578" customWidth="1"/>
    <col min="13316" max="13316" width="9.33203125" style="2578" bestFit="1" customWidth="1"/>
    <col min="13317" max="13317" width="13.44140625" style="2578" customWidth="1"/>
    <col min="13318" max="13318" width="9" style="2578"/>
    <col min="13319" max="13319" width="9.33203125" style="2578" bestFit="1" customWidth="1"/>
    <col min="13320" max="13321" width="9" style="2578"/>
    <col min="13322" max="13322" width="9.33203125" style="2578" bestFit="1" customWidth="1"/>
    <col min="13323" max="13323" width="4" style="2578" customWidth="1"/>
    <col min="13324" max="13324" width="5.109375" style="2578" customWidth="1"/>
    <col min="13325" max="13325" width="13.77734375" style="2578" customWidth="1"/>
    <col min="13326" max="13568" width="9" style="2578"/>
    <col min="13569" max="13569" width="4.88671875" style="2578" customWidth="1"/>
    <col min="13570" max="13570" width="13.21875" style="2578" customWidth="1"/>
    <col min="13571" max="13571" width="15.6640625" style="2578" customWidth="1"/>
    <col min="13572" max="13572" width="9.33203125" style="2578" bestFit="1" customWidth="1"/>
    <col min="13573" max="13573" width="13.44140625" style="2578" customWidth="1"/>
    <col min="13574" max="13574" width="9" style="2578"/>
    <col min="13575" max="13575" width="9.33203125" style="2578" bestFit="1" customWidth="1"/>
    <col min="13576" max="13577" width="9" style="2578"/>
    <col min="13578" max="13578" width="9.33203125" style="2578" bestFit="1" customWidth="1"/>
    <col min="13579" max="13579" width="4" style="2578" customWidth="1"/>
    <col min="13580" max="13580" width="5.109375" style="2578" customWidth="1"/>
    <col min="13581" max="13581" width="13.77734375" style="2578" customWidth="1"/>
    <col min="13582" max="13824" width="9" style="2578"/>
    <col min="13825" max="13825" width="4.88671875" style="2578" customWidth="1"/>
    <col min="13826" max="13826" width="13.21875" style="2578" customWidth="1"/>
    <col min="13827" max="13827" width="15.6640625" style="2578" customWidth="1"/>
    <col min="13828" max="13828" width="9.33203125" style="2578" bestFit="1" customWidth="1"/>
    <col min="13829" max="13829" width="13.44140625" style="2578" customWidth="1"/>
    <col min="13830" max="13830" width="9" style="2578"/>
    <col min="13831" max="13831" width="9.33203125" style="2578" bestFit="1" customWidth="1"/>
    <col min="13832" max="13833" width="9" style="2578"/>
    <col min="13834" max="13834" width="9.33203125" style="2578" bestFit="1" customWidth="1"/>
    <col min="13835" max="13835" width="4" style="2578" customWidth="1"/>
    <col min="13836" max="13836" width="5.109375" style="2578" customWidth="1"/>
    <col min="13837" max="13837" width="13.77734375" style="2578" customWidth="1"/>
    <col min="13838" max="14080" width="9" style="2578"/>
    <col min="14081" max="14081" width="4.88671875" style="2578" customWidth="1"/>
    <col min="14082" max="14082" width="13.21875" style="2578" customWidth="1"/>
    <col min="14083" max="14083" width="15.6640625" style="2578" customWidth="1"/>
    <col min="14084" max="14084" width="9.33203125" style="2578" bestFit="1" customWidth="1"/>
    <col min="14085" max="14085" width="13.44140625" style="2578" customWidth="1"/>
    <col min="14086" max="14086" width="9" style="2578"/>
    <col min="14087" max="14087" width="9.33203125" style="2578" bestFit="1" customWidth="1"/>
    <col min="14088" max="14089" width="9" style="2578"/>
    <col min="14090" max="14090" width="9.33203125" style="2578" bestFit="1" customWidth="1"/>
    <col min="14091" max="14091" width="4" style="2578" customWidth="1"/>
    <col min="14092" max="14092" width="5.109375" style="2578" customWidth="1"/>
    <col min="14093" max="14093" width="13.77734375" style="2578" customWidth="1"/>
    <col min="14094" max="14336" width="9" style="2578"/>
    <col min="14337" max="14337" width="4.88671875" style="2578" customWidth="1"/>
    <col min="14338" max="14338" width="13.21875" style="2578" customWidth="1"/>
    <col min="14339" max="14339" width="15.6640625" style="2578" customWidth="1"/>
    <col min="14340" max="14340" width="9.33203125" style="2578" bestFit="1" customWidth="1"/>
    <col min="14341" max="14341" width="13.44140625" style="2578" customWidth="1"/>
    <col min="14342" max="14342" width="9" style="2578"/>
    <col min="14343" max="14343" width="9.33203125" style="2578" bestFit="1" customWidth="1"/>
    <col min="14344" max="14345" width="9" style="2578"/>
    <col min="14346" max="14346" width="9.33203125" style="2578" bestFit="1" customWidth="1"/>
    <col min="14347" max="14347" width="4" style="2578" customWidth="1"/>
    <col min="14348" max="14348" width="5.109375" style="2578" customWidth="1"/>
    <col min="14349" max="14349" width="13.77734375" style="2578" customWidth="1"/>
    <col min="14350" max="14592" width="9" style="2578"/>
    <col min="14593" max="14593" width="4.88671875" style="2578" customWidth="1"/>
    <col min="14594" max="14594" width="13.21875" style="2578" customWidth="1"/>
    <col min="14595" max="14595" width="15.6640625" style="2578" customWidth="1"/>
    <col min="14596" max="14596" width="9.33203125" style="2578" bestFit="1" customWidth="1"/>
    <col min="14597" max="14597" width="13.44140625" style="2578" customWidth="1"/>
    <col min="14598" max="14598" width="9" style="2578"/>
    <col min="14599" max="14599" width="9.33203125" style="2578" bestFit="1" customWidth="1"/>
    <col min="14600" max="14601" width="9" style="2578"/>
    <col min="14602" max="14602" width="9.33203125" style="2578" bestFit="1" customWidth="1"/>
    <col min="14603" max="14603" width="4" style="2578" customWidth="1"/>
    <col min="14604" max="14604" width="5.109375" style="2578" customWidth="1"/>
    <col min="14605" max="14605" width="13.77734375" style="2578" customWidth="1"/>
    <col min="14606" max="14848" width="9" style="2578"/>
    <col min="14849" max="14849" width="4.88671875" style="2578" customWidth="1"/>
    <col min="14850" max="14850" width="13.21875" style="2578" customWidth="1"/>
    <col min="14851" max="14851" width="15.6640625" style="2578" customWidth="1"/>
    <col min="14852" max="14852" width="9.33203125" style="2578" bestFit="1" customWidth="1"/>
    <col min="14853" max="14853" width="13.44140625" style="2578" customWidth="1"/>
    <col min="14854" max="14854" width="9" style="2578"/>
    <col min="14855" max="14855" width="9.33203125" style="2578" bestFit="1" customWidth="1"/>
    <col min="14856" max="14857" width="9" style="2578"/>
    <col min="14858" max="14858" width="9.33203125" style="2578" bestFit="1" customWidth="1"/>
    <col min="14859" max="14859" width="4" style="2578" customWidth="1"/>
    <col min="14860" max="14860" width="5.109375" style="2578" customWidth="1"/>
    <col min="14861" max="14861" width="13.77734375" style="2578" customWidth="1"/>
    <col min="14862" max="15104" width="9" style="2578"/>
    <col min="15105" max="15105" width="4.88671875" style="2578" customWidth="1"/>
    <col min="15106" max="15106" width="13.21875" style="2578" customWidth="1"/>
    <col min="15107" max="15107" width="15.6640625" style="2578" customWidth="1"/>
    <col min="15108" max="15108" width="9.33203125" style="2578" bestFit="1" customWidth="1"/>
    <col min="15109" max="15109" width="13.44140625" style="2578" customWidth="1"/>
    <col min="15110" max="15110" width="9" style="2578"/>
    <col min="15111" max="15111" width="9.33203125" style="2578" bestFit="1" customWidth="1"/>
    <col min="15112" max="15113" width="9" style="2578"/>
    <col min="15114" max="15114" width="9.33203125" style="2578" bestFit="1" customWidth="1"/>
    <col min="15115" max="15115" width="4" style="2578" customWidth="1"/>
    <col min="15116" max="15116" width="5.109375" style="2578" customWidth="1"/>
    <col min="15117" max="15117" width="13.77734375" style="2578" customWidth="1"/>
    <col min="15118" max="15360" width="9" style="2578"/>
    <col min="15361" max="15361" width="4.88671875" style="2578" customWidth="1"/>
    <col min="15362" max="15362" width="13.21875" style="2578" customWidth="1"/>
    <col min="15363" max="15363" width="15.6640625" style="2578" customWidth="1"/>
    <col min="15364" max="15364" width="9.33203125" style="2578" bestFit="1" customWidth="1"/>
    <col min="15365" max="15365" width="13.44140625" style="2578" customWidth="1"/>
    <col min="15366" max="15366" width="9" style="2578"/>
    <col min="15367" max="15367" width="9.33203125" style="2578" bestFit="1" customWidth="1"/>
    <col min="15368" max="15369" width="9" style="2578"/>
    <col min="15370" max="15370" width="9.33203125" style="2578" bestFit="1" customWidth="1"/>
    <col min="15371" max="15371" width="4" style="2578" customWidth="1"/>
    <col min="15372" max="15372" width="5.109375" style="2578" customWidth="1"/>
    <col min="15373" max="15373" width="13.77734375" style="2578" customWidth="1"/>
    <col min="15374" max="15616" width="9" style="2578"/>
    <col min="15617" max="15617" width="4.88671875" style="2578" customWidth="1"/>
    <col min="15618" max="15618" width="13.21875" style="2578" customWidth="1"/>
    <col min="15619" max="15619" width="15.6640625" style="2578" customWidth="1"/>
    <col min="15620" max="15620" width="9.33203125" style="2578" bestFit="1" customWidth="1"/>
    <col min="15621" max="15621" width="13.44140625" style="2578" customWidth="1"/>
    <col min="15622" max="15622" width="9" style="2578"/>
    <col min="15623" max="15623" width="9.33203125" style="2578" bestFit="1" customWidth="1"/>
    <col min="15624" max="15625" width="9" style="2578"/>
    <col min="15626" max="15626" width="9.33203125" style="2578" bestFit="1" customWidth="1"/>
    <col min="15627" max="15627" width="4" style="2578" customWidth="1"/>
    <col min="15628" max="15628" width="5.109375" style="2578" customWidth="1"/>
    <col min="15629" max="15629" width="13.77734375" style="2578" customWidth="1"/>
    <col min="15630" max="15872" width="9" style="2578"/>
    <col min="15873" max="15873" width="4.88671875" style="2578" customWidth="1"/>
    <col min="15874" max="15874" width="13.21875" style="2578" customWidth="1"/>
    <col min="15875" max="15875" width="15.6640625" style="2578" customWidth="1"/>
    <col min="15876" max="15876" width="9.33203125" style="2578" bestFit="1" customWidth="1"/>
    <col min="15877" max="15877" width="13.44140625" style="2578" customWidth="1"/>
    <col min="15878" max="15878" width="9" style="2578"/>
    <col min="15879" max="15879" width="9.33203125" style="2578" bestFit="1" customWidth="1"/>
    <col min="15880" max="15881" width="9" style="2578"/>
    <col min="15882" max="15882" width="9.33203125" style="2578" bestFit="1" customWidth="1"/>
    <col min="15883" max="15883" width="4" style="2578" customWidth="1"/>
    <col min="15884" max="15884" width="5.109375" style="2578" customWidth="1"/>
    <col min="15885" max="15885" width="13.77734375" style="2578" customWidth="1"/>
    <col min="15886" max="16128" width="9" style="2578"/>
    <col min="16129" max="16129" width="4.88671875" style="2578" customWidth="1"/>
    <col min="16130" max="16130" width="13.21875" style="2578" customWidth="1"/>
    <col min="16131" max="16131" width="15.6640625" style="2578" customWidth="1"/>
    <col min="16132" max="16132" width="9.33203125" style="2578" bestFit="1" customWidth="1"/>
    <col min="16133" max="16133" width="13.44140625" style="2578" customWidth="1"/>
    <col min="16134" max="16134" width="9" style="2578"/>
    <col min="16135" max="16135" width="9.33203125" style="2578" bestFit="1" customWidth="1"/>
    <col min="16136" max="16137" width="9" style="2578"/>
    <col min="16138" max="16138" width="9.33203125" style="2578" bestFit="1" customWidth="1"/>
    <col min="16139" max="16139" width="4" style="2578" customWidth="1"/>
    <col min="16140" max="16140" width="5.109375" style="2578" customWidth="1"/>
    <col min="16141" max="16141" width="13.77734375" style="2578" customWidth="1"/>
    <col min="16142" max="16384" width="9" style="2578"/>
  </cols>
  <sheetData>
    <row r="1" spans="1:257" s="2637" customFormat="1" ht="15" thickBot="1">
      <c r="A1" s="2636"/>
      <c r="B1" s="2638" t="s">
        <v>2504</v>
      </c>
      <c r="C1" s="2642">
        <f>项目基本情况!D3</f>
        <v>44756</v>
      </c>
      <c r="H1" s="2577">
        <f>IF(C1&gt;C13,0,MATCH(C1,C$13:C$108,-1))+IF(SUMIF(C13:C108,C1,D13:D108)=0,13,12)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6" thickTop="1" thickBot="1">
      <c r="A2" s="2579"/>
      <c r="B2" s="2639" t="s">
        <v>2535</v>
      </c>
      <c r="C2" s="2643">
        <f>'数据-取费表'!B22</f>
        <v>2</v>
      </c>
      <c r="D2" s="2638" t="s">
        <v>2505</v>
      </c>
      <c r="E2" s="2641">
        <f ca="1">INDIRECT("I"&amp;$I$1)/100</f>
        <v>3.7000000000000005E-2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5" thickBot="1">
      <c r="A7" s="2580"/>
      <c r="G7" s="2592" t="s">
        <v>2512</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399999999999999">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2">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31.2">
      <c r="A13" s="2622"/>
      <c r="B13" s="2623" t="s">
        <v>2533</v>
      </c>
      <c r="C13" s="2624">
        <v>44701</v>
      </c>
      <c r="D13" s="2625">
        <v>3.7</v>
      </c>
      <c r="E13" s="2625">
        <f>D13</f>
        <v>3.7</v>
      </c>
      <c r="F13" s="2625">
        <f>D13</f>
        <v>3.7</v>
      </c>
      <c r="G13" s="2625">
        <f>D13</f>
        <v>3.7</v>
      </c>
      <c r="H13" s="2625">
        <v>4.45</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5.6">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5.6">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5.6">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5.6">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6.8">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5.6">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5.6">
      <c r="A20" s="2622"/>
      <c r="B20" s="2623" t="s">
        <v>2732</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5.6">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2534</v>
      </c>
      <c r="J63" s="2629" t="s">
        <v>2534</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7" zoomScale="60" zoomScaleNormal="60" workbookViewId="0">
      <selection activeCell="B44" sqref="B44:K44"/>
    </sheetView>
  </sheetViews>
  <sheetFormatPr defaultColWidth="9" defaultRowHeight="13.8"/>
  <cols>
    <col min="1" max="1" width="10.44140625" style="1246" customWidth="1"/>
    <col min="2" max="2" width="15.77734375" style="1246" customWidth="1"/>
    <col min="3" max="3" width="15.109375" style="1246" customWidth="1"/>
    <col min="4" max="4" width="12.21875" style="1246" customWidth="1"/>
    <col min="5" max="5" width="14.33203125" style="1246" customWidth="1"/>
    <col min="6" max="6" width="12.21875" style="1246" customWidth="1"/>
    <col min="7" max="7" width="14.44140625" style="1246" customWidth="1"/>
    <col min="8" max="8" width="12.21875" style="1246" customWidth="1"/>
    <col min="9" max="9" width="14.44140625" style="1246" customWidth="1"/>
    <col min="10" max="10" width="12.21875" style="1246" customWidth="1"/>
    <col min="11" max="11" width="12.21875" style="1251" customWidth="1"/>
    <col min="12" max="12" width="12.21875" style="1252" customWidth="1"/>
    <col min="13" max="15" width="12.21875" style="1246" customWidth="1"/>
    <col min="16" max="16" width="4.77734375" style="1246" customWidth="1"/>
    <col min="17" max="17" width="19.44140625" style="1246" customWidth="1"/>
    <col min="18" max="22" width="6.109375" style="1246" customWidth="1"/>
    <col min="23" max="23" width="5.77734375" style="1246" customWidth="1"/>
    <col min="24" max="24" width="4.21875" style="1246" customWidth="1"/>
    <col min="25" max="25" width="3.44140625" style="1246" customWidth="1"/>
    <col min="26" max="26" width="19.77734375" style="1246" customWidth="1"/>
    <col min="27" max="28" width="9.33203125" style="1246" customWidth="1"/>
    <col min="29" max="16384" width="9" style="1246"/>
  </cols>
  <sheetData>
    <row r="1" spans="1:29" s="1245" customFormat="1" ht="28.5" customHeight="1">
      <c r="A1" s="479" t="s">
        <v>700</v>
      </c>
      <c r="B1" s="2389" t="s">
        <v>701</v>
      </c>
      <c r="C1" s="2390" t="s">
        <v>702</v>
      </c>
      <c r="D1" s="2391" t="s">
        <v>902</v>
      </c>
      <c r="E1" s="1963"/>
      <c r="F1" s="2446" t="s">
        <v>3309</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252775</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41677</v>
      </c>
      <c r="C3" s="824" t="s">
        <v>704</v>
      </c>
      <c r="D3" s="823">
        <f>SUMIF('数据-汇总表'!$C19:$C33,D1,'数据-汇总表'!$E19:$E33)</f>
        <v>60651.07</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4.4">
      <c r="A4" s="489" t="s">
        <v>504</v>
      </c>
      <c r="B4" s="490"/>
      <c r="C4" s="3691" t="s">
        <v>505</v>
      </c>
      <c r="D4" s="3692"/>
      <c r="E4" s="3713" t="s">
        <v>506</v>
      </c>
      <c r="F4" s="3714"/>
      <c r="G4" s="3691" t="s">
        <v>507</v>
      </c>
      <c r="H4" s="3692"/>
      <c r="I4" s="3691" t="s">
        <v>508</v>
      </c>
      <c r="J4" s="3692"/>
      <c r="K4" s="825" t="s">
        <v>509</v>
      </c>
      <c r="L4" s="1969"/>
      <c r="M4" s="1970"/>
      <c r="N4" s="1970"/>
      <c r="O4" s="1970"/>
      <c r="P4" s="3693" t="s">
        <v>510</v>
      </c>
      <c r="Q4" s="3694"/>
      <c r="R4" s="3677" t="s">
        <v>506</v>
      </c>
      <c r="S4" s="3678"/>
      <c r="T4" s="3677" t="s">
        <v>507</v>
      </c>
      <c r="U4" s="3678"/>
      <c r="V4" s="3699" t="s">
        <v>508</v>
      </c>
      <c r="W4" s="3699"/>
      <c r="X4" s="3477"/>
      <c r="Y4" s="3677" t="s">
        <v>510</v>
      </c>
      <c r="Z4" s="3678"/>
      <c r="AA4" s="3672" t="s">
        <v>506</v>
      </c>
      <c r="AB4" s="3672" t="s">
        <v>507</v>
      </c>
      <c r="AC4" s="3672" t="s">
        <v>508</v>
      </c>
    </row>
    <row r="5" spans="1:29">
      <c r="A5" s="492"/>
      <c r="B5" s="493"/>
      <c r="C5" s="3702" t="s">
        <v>2631</v>
      </c>
      <c r="D5" s="3703"/>
      <c r="E5" s="3796" t="str">
        <f>新房案例!$A$43</f>
        <v>国誉未来悦</v>
      </c>
      <c r="F5" s="3716"/>
      <c r="G5" s="3797" t="str">
        <f>新房案例!$A$70</f>
        <v>福星惠誉·京澜誉府</v>
      </c>
      <c r="H5" s="3703"/>
      <c r="I5" s="3797" t="str">
        <f>新房案例!$A$97</f>
        <v>台湖金茂悦</v>
      </c>
      <c r="J5" s="3703"/>
      <c r="K5" s="826"/>
      <c r="L5" s="1969"/>
      <c r="M5" s="1970"/>
      <c r="N5" s="1970"/>
      <c r="O5" s="1970"/>
      <c r="P5" s="3695"/>
      <c r="Q5" s="3696"/>
      <c r="R5" s="3679"/>
      <c r="S5" s="3680"/>
      <c r="T5" s="3679"/>
      <c r="U5" s="3680"/>
      <c r="V5" s="3699"/>
      <c r="W5" s="3699"/>
      <c r="X5" s="3477"/>
      <c r="Y5" s="3679"/>
      <c r="Z5" s="3680"/>
      <c r="AA5" s="3673"/>
      <c r="AB5" s="3673"/>
      <c r="AC5" s="3673"/>
    </row>
    <row r="6" spans="1:29" ht="15" thickBot="1">
      <c r="A6" s="494"/>
      <c r="B6" s="495"/>
      <c r="C6" s="3700" t="s">
        <v>2635</v>
      </c>
      <c r="D6" s="3701"/>
      <c r="E6" s="3717" t="s">
        <v>2635</v>
      </c>
      <c r="F6" s="3718"/>
      <c r="G6" s="3700" t="s">
        <v>2635</v>
      </c>
      <c r="H6" s="3701"/>
      <c r="I6" s="3700" t="s">
        <v>2635</v>
      </c>
      <c r="J6" s="3701"/>
      <c r="K6" s="826" t="s">
        <v>511</v>
      </c>
      <c r="L6" s="1969"/>
      <c r="M6" s="1970"/>
      <c r="N6" s="1970"/>
      <c r="O6" s="1970"/>
      <c r="P6" s="3697"/>
      <c r="Q6" s="3698"/>
      <c r="R6" s="3679"/>
      <c r="S6" s="3680"/>
      <c r="T6" s="3681"/>
      <c r="U6" s="3682"/>
      <c r="V6" s="3699"/>
      <c r="W6" s="3699"/>
      <c r="X6" s="3477"/>
      <c r="Y6" s="3681"/>
      <c r="Z6" s="3682"/>
      <c r="AA6" s="3674"/>
      <c r="AB6" s="3674"/>
      <c r="AC6" s="3674"/>
    </row>
    <row r="7" spans="1:29" s="1166" customFormat="1" ht="15" thickBot="1">
      <c r="A7" s="2551"/>
      <c r="B7" s="2558" t="s">
        <v>512</v>
      </c>
      <c r="C7" s="496">
        <f>'数据-取费表'!B2</f>
        <v>44756</v>
      </c>
      <c r="D7" s="497">
        <v>100</v>
      </c>
      <c r="E7" s="498">
        <f>C7</f>
        <v>44756</v>
      </c>
      <c r="F7" s="499">
        <f>SUMIF(58:58,YEAR(E7)&amp;"-"&amp;MONTH(E7),59:59)</f>
        <v>100</v>
      </c>
      <c r="G7" s="500">
        <f>C7</f>
        <v>44756</v>
      </c>
      <c r="H7" s="497">
        <f>SUMIF(58:58,YEAR(G7)&amp;"-"&amp;MONTH(G7),59:59)</f>
        <v>100</v>
      </c>
      <c r="I7" s="500">
        <f>C7</f>
        <v>44756</v>
      </c>
      <c r="J7" s="497">
        <f>SUMIF(58:58,YEAR(I7)&amp;"-"&amp;MONTH(I7),59:59)</f>
        <v>100</v>
      </c>
      <c r="K7" s="827"/>
      <c r="L7" s="1971"/>
      <c r="M7" s="1972"/>
      <c r="N7" s="1972"/>
      <c r="O7" s="1972"/>
      <c r="P7" s="3675" t="s">
        <v>513</v>
      </c>
      <c r="Q7" s="3684"/>
      <c r="R7" s="1458" t="s">
        <v>8</v>
      </c>
      <c r="S7" s="1459">
        <f t="shared" ref="S7:S15" si="0">F7</f>
        <v>100</v>
      </c>
      <c r="T7" s="1458" t="s">
        <v>8</v>
      </c>
      <c r="U7" s="1459">
        <f t="shared" ref="U7:U15" si="1">H7</f>
        <v>100</v>
      </c>
      <c r="V7" s="1458" t="s">
        <v>8</v>
      </c>
      <c r="W7" s="1459">
        <f t="shared" ref="W7:W15" si="2">J7</f>
        <v>100</v>
      </c>
      <c r="X7" s="1460"/>
      <c r="Y7" s="3675" t="s">
        <v>513</v>
      </c>
      <c r="Z7" s="3676"/>
      <c r="AA7" s="1461">
        <f>D7/F7</f>
        <v>1</v>
      </c>
      <c r="AB7" s="1461">
        <f>D7/H7</f>
        <v>1</v>
      </c>
      <c r="AC7" s="1461">
        <f>D7/J7</f>
        <v>1</v>
      </c>
    </row>
    <row r="8" spans="1:29" s="1166" customFormat="1" ht="15" thickBot="1">
      <c r="A8" s="2552"/>
      <c r="B8" s="2559" t="s">
        <v>514</v>
      </c>
      <c r="C8" s="502" t="s">
        <v>558</v>
      </c>
      <c r="D8" s="497">
        <v>100</v>
      </c>
      <c r="E8" s="3480" t="s">
        <v>3313</v>
      </c>
      <c r="F8" s="499">
        <f>SUMIF(61:61,E8,62:62)-SUMIF(61:61,C8,62:62)+100</f>
        <v>100</v>
      </c>
      <c r="G8" s="3458" t="s">
        <v>3314</v>
      </c>
      <c r="H8" s="497">
        <f>SUMIF(61:61,G8,62:62)-SUMIF(61:61,C8,62:62)+100</f>
        <v>100</v>
      </c>
      <c r="I8" s="3480" t="s">
        <v>3314</v>
      </c>
      <c r="J8" s="497">
        <f>SUMIF(61:61,I8,62:62)-SUMIF(61:61,C8,62:62)+100</f>
        <v>100</v>
      </c>
      <c r="K8" s="827"/>
      <c r="L8" s="1971"/>
      <c r="M8" s="1972"/>
      <c r="N8" s="1972"/>
      <c r="O8" s="1972"/>
      <c r="P8" s="3675" t="s">
        <v>516</v>
      </c>
      <c r="Q8" s="3676"/>
      <c r="R8" s="1458" t="s">
        <v>8</v>
      </c>
      <c r="S8" s="1459">
        <f t="shared" si="0"/>
        <v>100</v>
      </c>
      <c r="T8" s="1458" t="s">
        <v>8</v>
      </c>
      <c r="U8" s="1459">
        <f t="shared" si="1"/>
        <v>100</v>
      </c>
      <c r="V8" s="1458" t="s">
        <v>8</v>
      </c>
      <c r="W8" s="1459">
        <f t="shared" si="2"/>
        <v>100</v>
      </c>
      <c r="X8" s="1460"/>
      <c r="Y8" s="3675" t="s">
        <v>516</v>
      </c>
      <c r="Z8" s="3676"/>
      <c r="AA8" s="1461">
        <f t="shared" ref="AA8:AA46" si="3">D8/F8</f>
        <v>1</v>
      </c>
      <c r="AB8" s="1461">
        <f t="shared" ref="AB8:AB46" si="4">D8/H8</f>
        <v>1</v>
      </c>
      <c r="AC8" s="1461">
        <f t="shared" ref="AC8:AC46" si="5">D8/J8</f>
        <v>1</v>
      </c>
    </row>
    <row r="9" spans="1:29" s="1166" customFormat="1" ht="14.4">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83" t="s">
        <v>518</v>
      </c>
      <c r="Q9" s="3474" t="str">
        <f t="shared" ref="Q9:Q15" si="6">B9</f>
        <v>用途</v>
      </c>
      <c r="R9" s="1458" t="s">
        <v>8</v>
      </c>
      <c r="S9" s="1459">
        <f t="shared" si="0"/>
        <v>100</v>
      </c>
      <c r="T9" s="1458" t="s">
        <v>8</v>
      </c>
      <c r="U9" s="1459">
        <f t="shared" si="1"/>
        <v>100</v>
      </c>
      <c r="V9" s="1458" t="s">
        <v>8</v>
      </c>
      <c r="W9" s="1459">
        <f t="shared" si="2"/>
        <v>100</v>
      </c>
      <c r="X9" s="1460"/>
      <c r="Y9" s="3631" t="s">
        <v>519</v>
      </c>
      <c r="Z9" s="3473" t="str">
        <f t="shared" ref="Z9:Z15" si="7">Q9</f>
        <v>用途</v>
      </c>
      <c r="AA9" s="1461">
        <f t="shared" si="3"/>
        <v>1</v>
      </c>
      <c r="AB9" s="1461">
        <f t="shared" si="4"/>
        <v>1</v>
      </c>
      <c r="AC9" s="1461">
        <f t="shared" si="5"/>
        <v>1</v>
      </c>
    </row>
    <row r="10" spans="1:29" s="1247" customFormat="1" ht="28.8">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83"/>
      <c r="Q10" s="3474" t="str">
        <f t="shared" si="6"/>
        <v>土地使用年限（年）</v>
      </c>
      <c r="R10" s="1458" t="s">
        <v>8</v>
      </c>
      <c r="S10" s="1459">
        <f t="shared" si="0"/>
        <v>100</v>
      </c>
      <c r="T10" s="1458" t="s">
        <v>8</v>
      </c>
      <c r="U10" s="1459">
        <f t="shared" si="1"/>
        <v>100</v>
      </c>
      <c r="V10" s="1458" t="s">
        <v>8</v>
      </c>
      <c r="W10" s="1459">
        <f t="shared" si="2"/>
        <v>100</v>
      </c>
      <c r="X10" s="1460"/>
      <c r="Y10" s="3631"/>
      <c r="Z10" s="3473" t="str">
        <f t="shared" si="7"/>
        <v>土地使用年限（年）</v>
      </c>
      <c r="AA10" s="1461">
        <f t="shared" si="3"/>
        <v>1</v>
      </c>
      <c r="AB10" s="1461">
        <f t="shared" si="4"/>
        <v>1</v>
      </c>
      <c r="AC10" s="1461">
        <f t="shared" si="5"/>
        <v>1</v>
      </c>
    </row>
    <row r="11" spans="1:29" ht="15">
      <c r="A11" s="2555"/>
      <c r="B11" s="2559" t="s">
        <v>2475</v>
      </c>
      <c r="C11" s="510">
        <v>2</v>
      </c>
      <c r="D11" s="253">
        <v>100</v>
      </c>
      <c r="E11" s="511">
        <v>2</v>
      </c>
      <c r="F11" s="835">
        <f>LOOKUP(E11,68:68,69:69)-LOOKUP(C11,68:68,69:69)+100</f>
        <v>100</v>
      </c>
      <c r="G11" s="510">
        <v>1.5</v>
      </c>
      <c r="H11" s="253">
        <f>LOOKUP(G11,68:68,69:69)-LOOKUP(C11,68:68,69:69)+100</f>
        <v>102</v>
      </c>
      <c r="I11" s="510">
        <v>1.1000000000000001</v>
      </c>
      <c r="J11" s="253">
        <f>LOOKUP(I11,68:68,69:69)-LOOKUP(C11,68:68,69:69)+100</f>
        <v>102</v>
      </c>
      <c r="K11" s="836">
        <v>2</v>
      </c>
      <c r="L11" s="1976"/>
      <c r="M11" s="1970"/>
      <c r="N11" s="1970"/>
      <c r="O11" s="1977"/>
      <c r="P11" s="3683"/>
      <c r="Q11" s="3474" t="str">
        <f t="shared" si="6"/>
        <v>容积率</v>
      </c>
      <c r="R11" s="1458" t="s">
        <v>8</v>
      </c>
      <c r="S11" s="1459">
        <f t="shared" si="0"/>
        <v>100</v>
      </c>
      <c r="T11" s="1458" t="s">
        <v>8</v>
      </c>
      <c r="U11" s="1459">
        <f t="shared" si="1"/>
        <v>102</v>
      </c>
      <c r="V11" s="1458" t="s">
        <v>8</v>
      </c>
      <c r="W11" s="1459">
        <f t="shared" si="2"/>
        <v>102</v>
      </c>
      <c r="X11" s="1460"/>
      <c r="Y11" s="3631"/>
      <c r="Z11" s="3473" t="str">
        <f t="shared" si="7"/>
        <v>容积率</v>
      </c>
      <c r="AA11" s="1461">
        <f t="shared" si="3"/>
        <v>1</v>
      </c>
      <c r="AB11" s="1461">
        <f t="shared" si="4"/>
        <v>0.98039215686274506</v>
      </c>
      <c r="AC11" s="1461">
        <f t="shared" si="5"/>
        <v>0.98039215686274506</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83"/>
      <c r="Q12" s="3474">
        <f t="shared" si="6"/>
        <v>111</v>
      </c>
      <c r="R12" s="1458" t="s">
        <v>8</v>
      </c>
      <c r="S12" s="1459">
        <f t="shared" si="0"/>
        <v>100</v>
      </c>
      <c r="T12" s="1458" t="s">
        <v>8</v>
      </c>
      <c r="U12" s="1459">
        <f t="shared" si="1"/>
        <v>100</v>
      </c>
      <c r="V12" s="1458" t="s">
        <v>8</v>
      </c>
      <c r="W12" s="1459">
        <f t="shared" si="2"/>
        <v>100</v>
      </c>
      <c r="X12" s="1460"/>
      <c r="Y12" s="3631"/>
      <c r="Z12" s="3473">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83"/>
      <c r="Q13" s="3474">
        <f t="shared" si="6"/>
        <v>111</v>
      </c>
      <c r="R13" s="1458" t="s">
        <v>8</v>
      </c>
      <c r="S13" s="1459">
        <f t="shared" si="0"/>
        <v>100</v>
      </c>
      <c r="T13" s="1458" t="s">
        <v>8</v>
      </c>
      <c r="U13" s="1459">
        <f t="shared" si="1"/>
        <v>100</v>
      </c>
      <c r="V13" s="1458" t="s">
        <v>8</v>
      </c>
      <c r="W13" s="1459">
        <f t="shared" si="2"/>
        <v>100</v>
      </c>
      <c r="X13" s="1460"/>
      <c r="Y13" s="3631"/>
      <c r="Z13" s="3473">
        <f t="shared" si="7"/>
        <v>111</v>
      </c>
      <c r="AA13" s="1461">
        <f t="shared" si="3"/>
        <v>1</v>
      </c>
      <c r="AB13" s="1461">
        <f t="shared" si="4"/>
        <v>1</v>
      </c>
      <c r="AC13" s="1461">
        <f t="shared" si="5"/>
        <v>1</v>
      </c>
    </row>
    <row r="14" spans="1:29" ht="15.6"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83"/>
      <c r="Q14" s="3474">
        <f t="shared" si="6"/>
        <v>111</v>
      </c>
      <c r="R14" s="1458" t="s">
        <v>8</v>
      </c>
      <c r="S14" s="1459">
        <f t="shared" si="0"/>
        <v>100</v>
      </c>
      <c r="T14" s="1458" t="s">
        <v>8</v>
      </c>
      <c r="U14" s="1459">
        <f t="shared" si="1"/>
        <v>100</v>
      </c>
      <c r="V14" s="1458" t="s">
        <v>8</v>
      </c>
      <c r="W14" s="1459">
        <f t="shared" si="2"/>
        <v>100</v>
      </c>
      <c r="X14" s="1460"/>
      <c r="Y14" s="3631"/>
      <c r="Z14" s="3473">
        <f t="shared" si="7"/>
        <v>111</v>
      </c>
      <c r="AA14" s="1461">
        <f t="shared" si="3"/>
        <v>1</v>
      </c>
      <c r="AB14" s="1461">
        <f t="shared" si="4"/>
        <v>1</v>
      </c>
      <c r="AC14" s="1461">
        <f t="shared" si="5"/>
        <v>1</v>
      </c>
    </row>
    <row r="15" spans="1:29" ht="96.6">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105</v>
      </c>
      <c r="G15" s="529"/>
      <c r="H15" s="526">
        <f>SUMIF(76:76,G16,77:77)-SUMIF(76:76,C16,77:77)+100</f>
        <v>105</v>
      </c>
      <c r="I15" s="527"/>
      <c r="J15" s="526">
        <f>SUMIF(76:76,I16,77:77)-SUMIF(76:76,C16,77:77)+100</f>
        <v>105</v>
      </c>
      <c r="K15" s="840">
        <v>5</v>
      </c>
      <c r="L15" s="1978"/>
      <c r="M15" s="1970"/>
      <c r="N15" s="1970"/>
      <c r="O15" s="1977"/>
      <c r="P15" s="3685" t="s">
        <v>523</v>
      </c>
      <c r="Q15" s="3475" t="str">
        <f t="shared" si="6"/>
        <v>居住社区成熟度</v>
      </c>
      <c r="R15" s="1463" t="s">
        <v>8</v>
      </c>
      <c r="S15" s="1464">
        <f t="shared" si="0"/>
        <v>105</v>
      </c>
      <c r="T15" s="1463" t="s">
        <v>8</v>
      </c>
      <c r="U15" s="1464">
        <f t="shared" si="1"/>
        <v>105</v>
      </c>
      <c r="V15" s="1463" t="s">
        <v>8</v>
      </c>
      <c r="W15" s="1464">
        <f t="shared" si="2"/>
        <v>105</v>
      </c>
      <c r="X15" s="3477"/>
      <c r="Y15" s="3685" t="s">
        <v>523</v>
      </c>
      <c r="Z15" s="3476" t="str">
        <f t="shared" si="7"/>
        <v>居住社区成熟度</v>
      </c>
      <c r="AA15" s="3478">
        <f t="shared" si="3"/>
        <v>0.95238095238095233</v>
      </c>
      <c r="AB15" s="3478">
        <f t="shared" si="4"/>
        <v>0.95238095238095233</v>
      </c>
      <c r="AC15" s="3478">
        <f t="shared" si="5"/>
        <v>0.95238095238095233</v>
      </c>
    </row>
    <row r="16" spans="1:29" ht="15">
      <c r="A16" s="509"/>
      <c r="B16" s="841"/>
      <c r="C16" s="3462" t="s">
        <v>3315</v>
      </c>
      <c r="D16" s="532"/>
      <c r="E16" s="3460" t="s">
        <v>3316</v>
      </c>
      <c r="F16" s="534"/>
      <c r="G16" s="3459" t="s">
        <v>3317</v>
      </c>
      <c r="H16" s="536"/>
      <c r="I16" s="3460" t="s">
        <v>3318</v>
      </c>
      <c r="J16" s="532"/>
      <c r="K16" s="842"/>
      <c r="L16" s="1978"/>
      <c r="M16" s="1970"/>
      <c r="N16" s="1970"/>
      <c r="O16" s="1977"/>
      <c r="P16" s="3686"/>
      <c r="Q16" s="3475"/>
      <c r="R16" s="1463"/>
      <c r="S16" s="1464"/>
      <c r="T16" s="1463"/>
      <c r="U16" s="1464"/>
      <c r="V16" s="1463"/>
      <c r="W16" s="1464"/>
      <c r="X16" s="3477"/>
      <c r="Y16" s="3686"/>
      <c r="Z16" s="3476"/>
      <c r="AA16" s="3478">
        <v>1</v>
      </c>
      <c r="AB16" s="3478">
        <v>1</v>
      </c>
      <c r="AC16" s="3478">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686"/>
      <c r="Q17" s="3475" t="str">
        <f>B17</f>
        <v>交通便捷度</v>
      </c>
      <c r="R17" s="1463" t="s">
        <v>8</v>
      </c>
      <c r="S17" s="1464">
        <f>F17</f>
        <v>100</v>
      </c>
      <c r="T17" s="1463" t="s">
        <v>8</v>
      </c>
      <c r="U17" s="1464">
        <f>H17</f>
        <v>100</v>
      </c>
      <c r="V17" s="1463" t="s">
        <v>8</v>
      </c>
      <c r="W17" s="1464">
        <f>J17</f>
        <v>100</v>
      </c>
      <c r="X17" s="3477"/>
      <c r="Y17" s="3686"/>
      <c r="Z17" s="3476" t="str">
        <f>Q17</f>
        <v>交通便捷度</v>
      </c>
      <c r="AA17" s="3478">
        <f t="shared" si="3"/>
        <v>1</v>
      </c>
      <c r="AB17" s="3478">
        <f t="shared" si="4"/>
        <v>1</v>
      </c>
      <c r="AC17" s="3478">
        <f t="shared" si="5"/>
        <v>1</v>
      </c>
    </row>
    <row r="18" spans="1:29" ht="15">
      <c r="A18" s="509"/>
      <c r="B18" s="572"/>
      <c r="C18" s="845" t="s">
        <v>3284</v>
      </c>
      <c r="D18" s="536"/>
      <c r="E18" s="3481" t="s">
        <v>3319</v>
      </c>
      <c r="F18" s="540"/>
      <c r="G18" s="3483" t="s">
        <v>3317</v>
      </c>
      <c r="H18" s="532"/>
      <c r="I18" s="3481" t="s">
        <v>3318</v>
      </c>
      <c r="J18" s="532"/>
      <c r="K18" s="842"/>
      <c r="L18" s="1978"/>
      <c r="M18" s="1970"/>
      <c r="N18" s="1970"/>
      <c r="O18" s="1977"/>
      <c r="P18" s="3686"/>
      <c r="Q18" s="3475"/>
      <c r="R18" s="1463"/>
      <c r="S18" s="1464"/>
      <c r="T18" s="1463"/>
      <c r="U18" s="1464"/>
      <c r="V18" s="1463"/>
      <c r="W18" s="1464"/>
      <c r="X18" s="3477"/>
      <c r="Y18" s="3686"/>
      <c r="Z18" s="3476"/>
      <c r="AA18" s="3478">
        <v>1</v>
      </c>
      <c r="AB18" s="3478">
        <v>1</v>
      </c>
      <c r="AC18" s="3478">
        <v>1</v>
      </c>
    </row>
    <row r="19" spans="1:29" ht="41.4">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686"/>
      <c r="Q19" s="3475" t="str">
        <f>B19</f>
        <v>公共配套设施</v>
      </c>
      <c r="R19" s="1463" t="s">
        <v>8</v>
      </c>
      <c r="S19" s="1464">
        <f>F19</f>
        <v>100</v>
      </c>
      <c r="T19" s="1463" t="s">
        <v>8</v>
      </c>
      <c r="U19" s="1464">
        <f>H19</f>
        <v>100</v>
      </c>
      <c r="V19" s="1463" t="s">
        <v>8</v>
      </c>
      <c r="W19" s="1464">
        <f>J19</f>
        <v>100</v>
      </c>
      <c r="X19" s="3477"/>
      <c r="Y19" s="3686"/>
      <c r="Z19" s="3476" t="str">
        <f>Q19</f>
        <v>公共配套设施</v>
      </c>
      <c r="AA19" s="3478">
        <f t="shared" si="3"/>
        <v>1</v>
      </c>
      <c r="AB19" s="3478">
        <f t="shared" si="4"/>
        <v>1</v>
      </c>
      <c r="AC19" s="3478">
        <f t="shared" si="5"/>
        <v>1</v>
      </c>
    </row>
    <row r="20" spans="1:29" ht="15">
      <c r="A20" s="509"/>
      <c r="B20" s="572"/>
      <c r="C20" s="3462" t="s">
        <v>3318</v>
      </c>
      <c r="D20" s="532"/>
      <c r="E20" s="3460" t="s">
        <v>3318</v>
      </c>
      <c r="F20" s="534"/>
      <c r="G20" s="3459" t="s">
        <v>3318</v>
      </c>
      <c r="H20" s="532"/>
      <c r="I20" s="3460" t="s">
        <v>3318</v>
      </c>
      <c r="J20" s="532"/>
      <c r="K20" s="842"/>
      <c r="L20" s="1978"/>
      <c r="M20" s="1970"/>
      <c r="N20" s="1970"/>
      <c r="O20" s="1977"/>
      <c r="P20" s="3686"/>
      <c r="Q20" s="3475"/>
      <c r="R20" s="1463"/>
      <c r="S20" s="1464"/>
      <c r="T20" s="1463"/>
      <c r="U20" s="1464"/>
      <c r="V20" s="1463"/>
      <c r="W20" s="1464"/>
      <c r="X20" s="3477"/>
      <c r="Y20" s="3686"/>
      <c r="Z20" s="3476"/>
      <c r="AA20" s="3478">
        <v>1</v>
      </c>
      <c r="AB20" s="3478">
        <v>1</v>
      </c>
      <c r="AC20" s="3478">
        <v>1</v>
      </c>
    </row>
    <row r="21" spans="1:29" ht="27.6">
      <c r="A21" s="509"/>
      <c r="B21" s="2359" t="s">
        <v>2265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686"/>
      <c r="Q21" s="3475" t="str">
        <f>B21</f>
        <v>基础设施水平</v>
      </c>
      <c r="R21" s="1463" t="s">
        <v>8</v>
      </c>
      <c r="S21" s="1464">
        <f>F21</f>
        <v>100</v>
      </c>
      <c r="T21" s="1463" t="s">
        <v>8</v>
      </c>
      <c r="U21" s="1464">
        <f>H21</f>
        <v>100</v>
      </c>
      <c r="V21" s="1463" t="s">
        <v>8</v>
      </c>
      <c r="W21" s="1464">
        <f>J21</f>
        <v>100</v>
      </c>
      <c r="X21" s="3477"/>
      <c r="Y21" s="3686"/>
      <c r="Z21" s="3476" t="str">
        <f>Q21</f>
        <v>基础设施水平</v>
      </c>
      <c r="AA21" s="3478">
        <f t="shared" ref="AA21" si="8">D21/F21</f>
        <v>1</v>
      </c>
      <c r="AB21" s="3478">
        <f t="shared" ref="AB21" si="9">D21/H21</f>
        <v>1</v>
      </c>
      <c r="AC21" s="3478">
        <f t="shared" ref="AC21" si="10">D21/J21</f>
        <v>1</v>
      </c>
    </row>
    <row r="22" spans="1:29" ht="15">
      <c r="A22" s="509"/>
      <c r="B22" s="893"/>
      <c r="C22" s="3484" t="s">
        <v>3326</v>
      </c>
      <c r="D22" s="532"/>
      <c r="E22" s="3462" t="s">
        <v>3326</v>
      </c>
      <c r="F22" s="534"/>
      <c r="G22" s="3462" t="s">
        <v>3327</v>
      </c>
      <c r="H22" s="532"/>
      <c r="I22" s="3462" t="s">
        <v>3328</v>
      </c>
      <c r="J22" s="532"/>
      <c r="K22" s="2365"/>
      <c r="L22" s="1978"/>
      <c r="M22" s="1970"/>
      <c r="N22" s="1970"/>
      <c r="O22" s="1977"/>
      <c r="P22" s="3686"/>
      <c r="Q22" s="3475"/>
      <c r="R22" s="1463"/>
      <c r="S22" s="1464"/>
      <c r="T22" s="1463"/>
      <c r="U22" s="1464"/>
      <c r="V22" s="1463"/>
      <c r="W22" s="1464"/>
      <c r="X22" s="3477"/>
      <c r="Y22" s="3686"/>
      <c r="Z22" s="3476"/>
      <c r="AA22" s="3478">
        <v>1</v>
      </c>
      <c r="AB22" s="3478">
        <v>1</v>
      </c>
      <c r="AC22" s="3478">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686"/>
      <c r="Q23" s="3475" t="str">
        <f>B23</f>
        <v>自然及人文环境</v>
      </c>
      <c r="R23" s="1463" t="s">
        <v>8</v>
      </c>
      <c r="S23" s="1464">
        <f>F23</f>
        <v>100</v>
      </c>
      <c r="T23" s="1463" t="s">
        <v>8</v>
      </c>
      <c r="U23" s="1464">
        <f>H23</f>
        <v>100</v>
      </c>
      <c r="V23" s="1463" t="s">
        <v>8</v>
      </c>
      <c r="W23" s="1464">
        <f>J23</f>
        <v>100</v>
      </c>
      <c r="X23" s="3477"/>
      <c r="Y23" s="3686"/>
      <c r="Z23" s="3476" t="str">
        <f>Q23</f>
        <v>自然及人文环境</v>
      </c>
      <c r="AA23" s="3478">
        <f t="shared" si="3"/>
        <v>1</v>
      </c>
      <c r="AB23" s="3478">
        <f t="shared" si="4"/>
        <v>1</v>
      </c>
      <c r="AC23" s="3478">
        <f t="shared" si="5"/>
        <v>1</v>
      </c>
    </row>
    <row r="24" spans="1:29" ht="15">
      <c r="A24" s="509"/>
      <c r="B24" s="572"/>
      <c r="C24" s="3462" t="s">
        <v>3329</v>
      </c>
      <c r="D24" s="532"/>
      <c r="E24" s="3460" t="s">
        <v>3329</v>
      </c>
      <c r="F24" s="534"/>
      <c r="G24" s="3459" t="s">
        <v>3315</v>
      </c>
      <c r="H24" s="532"/>
      <c r="I24" s="3460" t="s">
        <v>3329</v>
      </c>
      <c r="J24" s="532"/>
      <c r="K24" s="842"/>
      <c r="L24" s="1978"/>
      <c r="M24" s="1970"/>
      <c r="N24" s="1970"/>
      <c r="O24" s="1977"/>
      <c r="P24" s="3686"/>
      <c r="Q24" s="3475"/>
      <c r="R24" s="1463"/>
      <c r="S24" s="1464"/>
      <c r="T24" s="1463"/>
      <c r="U24" s="1464"/>
      <c r="V24" s="1463"/>
      <c r="W24" s="1464"/>
      <c r="X24" s="3477"/>
      <c r="Y24" s="3686"/>
      <c r="Z24" s="3476"/>
      <c r="AA24" s="3478">
        <v>1</v>
      </c>
      <c r="AB24" s="3478">
        <v>1</v>
      </c>
      <c r="AC24" s="3478">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86"/>
      <c r="Q25" s="3475" t="str">
        <f t="shared" ref="Q25:Q46" si="11">B25</f>
        <v>楼层-1</v>
      </c>
      <c r="R25" s="1463" t="s">
        <v>8</v>
      </c>
      <c r="S25" s="1464">
        <f>F25</f>
        <v>100</v>
      </c>
      <c r="T25" s="1463" t="s">
        <v>8</v>
      </c>
      <c r="U25" s="1464">
        <f>H25</f>
        <v>100</v>
      </c>
      <c r="V25" s="1463" t="s">
        <v>8</v>
      </c>
      <c r="W25" s="1464">
        <f>J25</f>
        <v>100</v>
      </c>
      <c r="X25" s="3477"/>
      <c r="Y25" s="3686"/>
      <c r="Z25" s="3476" t="str">
        <f>Q25</f>
        <v>楼层-1</v>
      </c>
      <c r="AA25" s="3478">
        <f t="shared" si="3"/>
        <v>1</v>
      </c>
      <c r="AB25" s="3478">
        <f t="shared" si="4"/>
        <v>1</v>
      </c>
      <c r="AC25" s="3478">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86"/>
      <c r="Q26" s="3475" t="str">
        <f t="shared" si="11"/>
        <v>朝向</v>
      </c>
      <c r="R26" s="1463" t="s">
        <v>8</v>
      </c>
      <c r="S26" s="1464">
        <f>F26</f>
        <v>100</v>
      </c>
      <c r="T26" s="1463" t="s">
        <v>8</v>
      </c>
      <c r="U26" s="1464">
        <f>H26</f>
        <v>100</v>
      </c>
      <c r="V26" s="1463" t="s">
        <v>8</v>
      </c>
      <c r="W26" s="1464">
        <f>J26</f>
        <v>100</v>
      </c>
      <c r="X26" s="3477"/>
      <c r="Y26" s="3686"/>
      <c r="Z26" s="3476" t="str">
        <f>Q26</f>
        <v>朝向</v>
      </c>
      <c r="AA26" s="3478">
        <f t="shared" si="3"/>
        <v>1</v>
      </c>
      <c r="AB26" s="3478">
        <f t="shared" si="4"/>
        <v>1</v>
      </c>
      <c r="AC26" s="3478">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86"/>
      <c r="Q27" s="3474" t="str">
        <f t="shared" si="11"/>
        <v>道路级别</v>
      </c>
      <c r="R27" s="1458" t="s">
        <v>8</v>
      </c>
      <c r="S27" s="1459">
        <f>F27</f>
        <v>100</v>
      </c>
      <c r="T27" s="1458" t="s">
        <v>8</v>
      </c>
      <c r="U27" s="1459">
        <f>H27</f>
        <v>100</v>
      </c>
      <c r="V27" s="1458" t="s">
        <v>8</v>
      </c>
      <c r="W27" s="1459">
        <f>J27</f>
        <v>100</v>
      </c>
      <c r="X27" s="1460"/>
      <c r="Y27" s="3686"/>
      <c r="Z27" s="3473" t="str">
        <f>Q27</f>
        <v>道路级别</v>
      </c>
      <c r="AA27" s="3478">
        <f>D27/F27</f>
        <v>1</v>
      </c>
      <c r="AB27" s="3478">
        <f>D27/H27</f>
        <v>1</v>
      </c>
      <c r="AC27" s="3478">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86"/>
      <c r="Q28" s="3475">
        <f t="shared" si="11"/>
        <v>111</v>
      </c>
      <c r="R28" s="1463" t="s">
        <v>8</v>
      </c>
      <c r="S28" s="1464">
        <f t="shared" ref="S28:S46" si="12">F28</f>
        <v>100</v>
      </c>
      <c r="T28" s="1463" t="s">
        <v>8</v>
      </c>
      <c r="U28" s="1464">
        <f t="shared" ref="U28:U46" si="13">H28</f>
        <v>100</v>
      </c>
      <c r="V28" s="1463" t="s">
        <v>8</v>
      </c>
      <c r="W28" s="1464">
        <f t="shared" ref="W28:W46" si="14">J28</f>
        <v>100</v>
      </c>
      <c r="X28" s="3477"/>
      <c r="Y28" s="3686"/>
      <c r="Z28" s="3476">
        <f t="shared" ref="Z28:Z46" si="15">Q28</f>
        <v>111</v>
      </c>
      <c r="AA28" s="3478">
        <f t="shared" si="3"/>
        <v>1</v>
      </c>
      <c r="AB28" s="3478">
        <f t="shared" si="4"/>
        <v>1</v>
      </c>
      <c r="AC28" s="3478">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86"/>
      <c r="Q29" s="3475">
        <f t="shared" si="11"/>
        <v>111</v>
      </c>
      <c r="R29" s="1463" t="s">
        <v>8</v>
      </c>
      <c r="S29" s="1464">
        <f t="shared" si="12"/>
        <v>100</v>
      </c>
      <c r="T29" s="1463" t="s">
        <v>8</v>
      </c>
      <c r="U29" s="1464">
        <f t="shared" si="13"/>
        <v>100</v>
      </c>
      <c r="V29" s="1463" t="s">
        <v>8</v>
      </c>
      <c r="W29" s="1464">
        <f t="shared" si="14"/>
        <v>100</v>
      </c>
      <c r="X29" s="3477"/>
      <c r="Y29" s="3686"/>
      <c r="Z29" s="3476">
        <f t="shared" si="15"/>
        <v>111</v>
      </c>
      <c r="AA29" s="3478">
        <f t="shared" si="3"/>
        <v>1</v>
      </c>
      <c r="AB29" s="3478">
        <f t="shared" si="4"/>
        <v>1</v>
      </c>
      <c r="AC29" s="3478">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86"/>
      <c r="Q30" s="3475">
        <f t="shared" si="11"/>
        <v>111</v>
      </c>
      <c r="R30" s="1463" t="s">
        <v>8</v>
      </c>
      <c r="S30" s="1464">
        <f t="shared" si="12"/>
        <v>100</v>
      </c>
      <c r="T30" s="1463" t="s">
        <v>8</v>
      </c>
      <c r="U30" s="1464">
        <f t="shared" si="13"/>
        <v>100</v>
      </c>
      <c r="V30" s="1463" t="s">
        <v>8</v>
      </c>
      <c r="W30" s="1464">
        <f t="shared" si="14"/>
        <v>100</v>
      </c>
      <c r="X30" s="3477"/>
      <c r="Y30" s="3686"/>
      <c r="Z30" s="3476">
        <f t="shared" si="15"/>
        <v>111</v>
      </c>
      <c r="AA30" s="3478">
        <f t="shared" si="3"/>
        <v>1</v>
      </c>
      <c r="AB30" s="3478">
        <f t="shared" si="4"/>
        <v>1</v>
      </c>
      <c r="AC30" s="3478">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86"/>
      <c r="Q31" s="3475">
        <f t="shared" si="11"/>
        <v>111</v>
      </c>
      <c r="R31" s="1463" t="s">
        <v>8</v>
      </c>
      <c r="S31" s="1464">
        <f t="shared" si="12"/>
        <v>100</v>
      </c>
      <c r="T31" s="1463" t="s">
        <v>8</v>
      </c>
      <c r="U31" s="1464">
        <f t="shared" si="13"/>
        <v>100</v>
      </c>
      <c r="V31" s="1463" t="s">
        <v>8</v>
      </c>
      <c r="W31" s="1464">
        <f t="shared" si="14"/>
        <v>100</v>
      </c>
      <c r="X31" s="3477"/>
      <c r="Y31" s="3686"/>
      <c r="Z31" s="3476">
        <f t="shared" si="15"/>
        <v>111</v>
      </c>
      <c r="AA31" s="3478">
        <f t="shared" si="3"/>
        <v>1</v>
      </c>
      <c r="AB31" s="3478">
        <f t="shared" si="4"/>
        <v>1</v>
      </c>
      <c r="AC31" s="3478">
        <f t="shared" si="5"/>
        <v>1</v>
      </c>
    </row>
    <row r="32" spans="1:29" ht="15">
      <c r="A32" s="2546" t="s">
        <v>2472</v>
      </c>
      <c r="B32" s="170" t="s">
        <v>707</v>
      </c>
      <c r="C32" s="3485" t="s">
        <v>3330</v>
      </c>
      <c r="D32" s="574">
        <v>100</v>
      </c>
      <c r="E32" s="3486" t="s">
        <v>3330</v>
      </c>
      <c r="F32" s="552">
        <f>SUMIF(100:100,E32,101:101)-SUMIF(100:100,C32,101:101)+100</f>
        <v>100</v>
      </c>
      <c r="G32" s="3485" t="s">
        <v>3330</v>
      </c>
      <c r="H32" s="574">
        <f>SUMIF(100:100,G32,101:101)-SUMIF(100:100,C32,101:101)+100</f>
        <v>100</v>
      </c>
      <c r="I32" s="3486" t="s">
        <v>3330</v>
      </c>
      <c r="J32" s="517">
        <f>SUMIF(100:100,I32,101:101)-SUMIF(100:100,C32,101:101)+100</f>
        <v>100</v>
      </c>
      <c r="K32" s="836"/>
      <c r="L32" s="1978"/>
      <c r="M32" s="1970"/>
      <c r="N32" s="1970"/>
      <c r="O32" s="1977"/>
      <c r="P32" s="3687" t="s">
        <v>533</v>
      </c>
      <c r="Q32" s="3475" t="str">
        <f t="shared" si="11"/>
        <v>建筑类型</v>
      </c>
      <c r="R32" s="1463" t="s">
        <v>8</v>
      </c>
      <c r="S32" s="1464">
        <f t="shared" si="12"/>
        <v>100</v>
      </c>
      <c r="T32" s="1463" t="s">
        <v>8</v>
      </c>
      <c r="U32" s="1464">
        <f t="shared" si="13"/>
        <v>100</v>
      </c>
      <c r="V32" s="1463" t="s">
        <v>8</v>
      </c>
      <c r="W32" s="1464">
        <f t="shared" si="14"/>
        <v>100</v>
      </c>
      <c r="X32" s="3477"/>
      <c r="Y32" s="3688" t="s">
        <v>533</v>
      </c>
      <c r="Z32" s="3476" t="str">
        <f t="shared" si="15"/>
        <v>建筑类型</v>
      </c>
      <c r="AA32" s="3478">
        <f t="shared" si="3"/>
        <v>1</v>
      </c>
      <c r="AB32" s="3478">
        <f t="shared" si="4"/>
        <v>1</v>
      </c>
      <c r="AC32" s="3478">
        <f t="shared" si="5"/>
        <v>1</v>
      </c>
    </row>
    <row r="33" spans="1:29" s="1248" customFormat="1" ht="15">
      <c r="A33" s="580"/>
      <c r="B33" s="504" t="s">
        <v>708</v>
      </c>
      <c r="C33" s="851">
        <f>'数据-基础表'!B3</f>
        <v>98965.430000000008</v>
      </c>
      <c r="D33" s="253">
        <v>100</v>
      </c>
      <c r="E33" s="511">
        <v>95931</v>
      </c>
      <c r="F33" s="835">
        <f>LOOKUP(E33,103:103,104:104)-LOOKUP(C33,103:103,104:104)+100</f>
        <v>100</v>
      </c>
      <c r="G33" s="510">
        <v>109351</v>
      </c>
      <c r="H33" s="253">
        <f>LOOKUP(G33,103:103,104:104)-LOOKUP(C33,103:103,104:104)+100</f>
        <v>100</v>
      </c>
      <c r="I33" s="511">
        <v>58000</v>
      </c>
      <c r="J33" s="253">
        <f>LOOKUP(I33,103:103,104:104)-LOOKUP(C33,103:103,104:104)+100</f>
        <v>98</v>
      </c>
      <c r="K33" s="837"/>
      <c r="L33" s="1976"/>
      <c r="M33" s="2006"/>
      <c r="N33" s="2006"/>
      <c r="O33" s="1979"/>
      <c r="P33" s="3688"/>
      <c r="Q33" s="1491" t="str">
        <f t="shared" si="11"/>
        <v>项目建筑规模</v>
      </c>
      <c r="R33" s="1467" t="s">
        <v>8</v>
      </c>
      <c r="S33" s="1468">
        <f t="shared" si="12"/>
        <v>100</v>
      </c>
      <c r="T33" s="1467" t="s">
        <v>8</v>
      </c>
      <c r="U33" s="1468">
        <f t="shared" si="13"/>
        <v>100</v>
      </c>
      <c r="V33" s="1467" t="s">
        <v>8</v>
      </c>
      <c r="W33" s="1468">
        <f t="shared" si="14"/>
        <v>98</v>
      </c>
      <c r="X33" s="1469"/>
      <c r="Y33" s="3688"/>
      <c r="Z33" s="1470" t="str">
        <f t="shared" si="15"/>
        <v>项目建筑规模</v>
      </c>
      <c r="AA33" s="3478">
        <f t="shared" si="3"/>
        <v>1</v>
      </c>
      <c r="AB33" s="3478">
        <f t="shared" si="4"/>
        <v>1</v>
      </c>
      <c r="AC33" s="3478">
        <f t="shared" si="5"/>
        <v>1.0204081632653061</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688"/>
      <c r="Q34" s="3475" t="str">
        <f t="shared" si="11"/>
        <v>建筑结构</v>
      </c>
      <c r="R34" s="1463" t="s">
        <v>8</v>
      </c>
      <c r="S34" s="1464">
        <f t="shared" si="12"/>
        <v>100</v>
      </c>
      <c r="T34" s="1463" t="s">
        <v>8</v>
      </c>
      <c r="U34" s="1464">
        <f t="shared" si="13"/>
        <v>100</v>
      </c>
      <c r="V34" s="1463" t="s">
        <v>8</v>
      </c>
      <c r="W34" s="1464">
        <f t="shared" si="14"/>
        <v>100</v>
      </c>
      <c r="X34" s="3477"/>
      <c r="Y34" s="3688"/>
      <c r="Z34" s="3476" t="str">
        <f t="shared" si="15"/>
        <v>建筑结构</v>
      </c>
      <c r="AA34" s="3478">
        <f t="shared" si="3"/>
        <v>1</v>
      </c>
      <c r="AB34" s="3478">
        <f t="shared" si="4"/>
        <v>1</v>
      </c>
      <c r="AC34" s="3478">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688"/>
      <c r="Q35" s="3475" t="str">
        <f t="shared" si="11"/>
        <v>建筑品质</v>
      </c>
      <c r="R35" s="1463" t="s">
        <v>8</v>
      </c>
      <c r="S35" s="1464">
        <f t="shared" si="12"/>
        <v>100</v>
      </c>
      <c r="T35" s="1463" t="s">
        <v>8</v>
      </c>
      <c r="U35" s="1464">
        <f t="shared" si="13"/>
        <v>100</v>
      </c>
      <c r="V35" s="1463" t="s">
        <v>8</v>
      </c>
      <c r="W35" s="1464">
        <f t="shared" si="14"/>
        <v>100</v>
      </c>
      <c r="X35" s="3477"/>
      <c r="Y35" s="3688"/>
      <c r="Z35" s="3476" t="str">
        <f t="shared" si="15"/>
        <v>建筑品质</v>
      </c>
      <c r="AA35" s="3478">
        <f t="shared" si="3"/>
        <v>1</v>
      </c>
      <c r="AB35" s="3478">
        <f t="shared" si="4"/>
        <v>1</v>
      </c>
      <c r="AC35" s="3478">
        <f t="shared" si="5"/>
        <v>1</v>
      </c>
    </row>
    <row r="36" spans="1:29" ht="15">
      <c r="A36" s="571"/>
      <c r="B36" s="504" t="s">
        <v>711</v>
      </c>
      <c r="C36" s="3465" t="s">
        <v>3331</v>
      </c>
      <c r="D36" s="517">
        <v>100</v>
      </c>
      <c r="E36" s="3488" t="s">
        <v>3331</v>
      </c>
      <c r="F36" s="552">
        <f>SUMIF(109:109,E36,110:110)-SUMIF(109:109,C36,110:110)+100</f>
        <v>100</v>
      </c>
      <c r="G36" s="3465" t="s">
        <v>3331</v>
      </c>
      <c r="H36" s="517">
        <f>SUMIF(109:109,G36,110:110)-SUMIF(109:109,C36,110:110)+100</f>
        <v>100</v>
      </c>
      <c r="I36" s="3488" t="s">
        <v>3331</v>
      </c>
      <c r="J36" s="517">
        <f>SUMIF(109:109,I36,110:110)-SUMIF(109:109,C36,110:110)+100</f>
        <v>100</v>
      </c>
      <c r="K36" s="836"/>
      <c r="L36" s="1978"/>
      <c r="M36" s="1970"/>
      <c r="N36" s="1970"/>
      <c r="O36" s="1977"/>
      <c r="P36" s="3688"/>
      <c r="Q36" s="3475" t="str">
        <f t="shared" si="11"/>
        <v>公共部分装修</v>
      </c>
      <c r="R36" s="1463" t="s">
        <v>8</v>
      </c>
      <c r="S36" s="1464">
        <f t="shared" si="12"/>
        <v>100</v>
      </c>
      <c r="T36" s="1463" t="s">
        <v>8</v>
      </c>
      <c r="U36" s="1464">
        <f t="shared" si="13"/>
        <v>100</v>
      </c>
      <c r="V36" s="1463" t="s">
        <v>8</v>
      </c>
      <c r="W36" s="1464">
        <f t="shared" si="14"/>
        <v>100</v>
      </c>
      <c r="X36" s="3477"/>
      <c r="Y36" s="3688"/>
      <c r="Z36" s="3476" t="str">
        <f t="shared" si="15"/>
        <v>公共部分装修</v>
      </c>
      <c r="AA36" s="3478">
        <f t="shared" si="3"/>
        <v>1</v>
      </c>
      <c r="AB36" s="3478">
        <f t="shared" si="4"/>
        <v>1</v>
      </c>
      <c r="AC36" s="3478">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5</v>
      </c>
      <c r="L37" s="1971"/>
      <c r="M37" s="1972"/>
      <c r="N37" s="1972"/>
      <c r="O37" s="1973"/>
      <c r="P37" s="3688"/>
      <c r="Q37" s="3474" t="str">
        <f t="shared" si="11"/>
        <v>成新度</v>
      </c>
      <c r="R37" s="1458" t="s">
        <v>8</v>
      </c>
      <c r="S37" s="1459">
        <f t="shared" si="12"/>
        <v>100</v>
      </c>
      <c r="T37" s="1458" t="s">
        <v>8</v>
      </c>
      <c r="U37" s="1459">
        <f t="shared" si="13"/>
        <v>100</v>
      </c>
      <c r="V37" s="1458" t="s">
        <v>8</v>
      </c>
      <c r="W37" s="1459">
        <f t="shared" si="14"/>
        <v>100</v>
      </c>
      <c r="X37" s="1460"/>
      <c r="Y37" s="3688"/>
      <c r="Z37" s="3473" t="str">
        <f t="shared" si="15"/>
        <v>成新度</v>
      </c>
      <c r="AA37" s="1461">
        <f t="shared" si="3"/>
        <v>1</v>
      </c>
      <c r="AB37" s="1461">
        <f t="shared" si="4"/>
        <v>1</v>
      </c>
      <c r="AC37" s="1461">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688" t="s">
        <v>533</v>
      </c>
      <c r="Q38" s="3475" t="str">
        <f t="shared" si="11"/>
        <v>物业管理</v>
      </c>
      <c r="R38" s="1463" t="s">
        <v>8</v>
      </c>
      <c r="S38" s="1464">
        <f t="shared" si="12"/>
        <v>100</v>
      </c>
      <c r="T38" s="1463" t="s">
        <v>8</v>
      </c>
      <c r="U38" s="1464">
        <f t="shared" si="13"/>
        <v>100</v>
      </c>
      <c r="V38" s="1463" t="s">
        <v>8</v>
      </c>
      <c r="W38" s="1464">
        <f t="shared" si="14"/>
        <v>100</v>
      </c>
      <c r="X38" s="3477"/>
      <c r="Y38" s="3688" t="s">
        <v>533</v>
      </c>
      <c r="Z38" s="3476" t="str">
        <f t="shared" si="15"/>
        <v>物业管理</v>
      </c>
      <c r="AA38" s="3478">
        <f t="shared" si="3"/>
        <v>1</v>
      </c>
      <c r="AB38" s="3478">
        <f t="shared" si="4"/>
        <v>1</v>
      </c>
      <c r="AC38" s="3478">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688"/>
      <c r="Q39" s="3475" t="str">
        <f t="shared" si="11"/>
        <v>市政基础设施</v>
      </c>
      <c r="R39" s="1463" t="s">
        <v>8</v>
      </c>
      <c r="S39" s="1464">
        <f t="shared" si="12"/>
        <v>100</v>
      </c>
      <c r="T39" s="1463" t="s">
        <v>8</v>
      </c>
      <c r="U39" s="1464">
        <f t="shared" si="13"/>
        <v>100</v>
      </c>
      <c r="V39" s="1463" t="s">
        <v>8</v>
      </c>
      <c r="W39" s="1464">
        <f t="shared" si="14"/>
        <v>100</v>
      </c>
      <c r="X39" s="3477"/>
      <c r="Y39" s="3688"/>
      <c r="Z39" s="3476" t="str">
        <f t="shared" si="15"/>
        <v>市政基础设施</v>
      </c>
      <c r="AA39" s="3478">
        <f t="shared" si="3"/>
        <v>1</v>
      </c>
      <c r="AB39" s="3478">
        <f t="shared" si="4"/>
        <v>1</v>
      </c>
      <c r="AC39" s="3478">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688"/>
      <c r="Q40" s="3475" t="str">
        <f t="shared" si="11"/>
        <v>房型</v>
      </c>
      <c r="R40" s="1463" t="s">
        <v>8</v>
      </c>
      <c r="S40" s="1464">
        <f t="shared" si="12"/>
        <v>100</v>
      </c>
      <c r="T40" s="1463" t="s">
        <v>8</v>
      </c>
      <c r="U40" s="1464">
        <f t="shared" si="13"/>
        <v>100</v>
      </c>
      <c r="V40" s="1463" t="s">
        <v>8</v>
      </c>
      <c r="W40" s="1464">
        <f t="shared" si="14"/>
        <v>100</v>
      </c>
      <c r="X40" s="3477"/>
      <c r="Y40" s="3688"/>
      <c r="Z40" s="3476" t="str">
        <f t="shared" si="15"/>
        <v>房型</v>
      </c>
      <c r="AA40" s="3478">
        <f t="shared" si="3"/>
        <v>1</v>
      </c>
      <c r="AB40" s="3478">
        <f t="shared" si="4"/>
        <v>1</v>
      </c>
      <c r="AC40" s="3478">
        <f t="shared" si="5"/>
        <v>1</v>
      </c>
    </row>
    <row r="41" spans="1:29" s="1248" customFormat="1" ht="28.8">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88"/>
      <c r="Q41" s="1491" t="str">
        <f t="shared" si="11"/>
        <v>单套/主力户型建筑面积</v>
      </c>
      <c r="R41" s="1467" t="s">
        <v>8</v>
      </c>
      <c r="S41" s="1468">
        <f t="shared" si="12"/>
        <v>100</v>
      </c>
      <c r="T41" s="1467" t="s">
        <v>8</v>
      </c>
      <c r="U41" s="1468">
        <f t="shared" si="13"/>
        <v>100</v>
      </c>
      <c r="V41" s="1467" t="s">
        <v>8</v>
      </c>
      <c r="W41" s="1468">
        <f t="shared" si="14"/>
        <v>100</v>
      </c>
      <c r="X41" s="1469"/>
      <c r="Y41" s="3688"/>
      <c r="Z41" s="1470" t="str">
        <f t="shared" si="15"/>
        <v>单套/主力户型建筑面积</v>
      </c>
      <c r="AA41" s="3478">
        <f t="shared" si="3"/>
        <v>1</v>
      </c>
      <c r="AB41" s="3478">
        <f t="shared" si="4"/>
        <v>1</v>
      </c>
      <c r="AC41" s="3478">
        <f t="shared" si="5"/>
        <v>1</v>
      </c>
    </row>
    <row r="42" spans="1:29" ht="15">
      <c r="A42" s="571"/>
      <c r="B42" s="504" t="s">
        <v>716</v>
      </c>
      <c r="C42" s="3465" t="s">
        <v>3331</v>
      </c>
      <c r="D42" s="517">
        <v>100</v>
      </c>
      <c r="E42" s="3488" t="s">
        <v>3331</v>
      </c>
      <c r="F42" s="552">
        <f>SUMIF(122:122,E42,123:123)-SUMIF(122:122,C42,123:123)+100</f>
        <v>100</v>
      </c>
      <c r="G42" s="3465" t="s">
        <v>3331</v>
      </c>
      <c r="H42" s="517">
        <f>SUMIF(122:122,G42,123:123)-SUMIF(122:122,C42,123:123)+100</f>
        <v>100</v>
      </c>
      <c r="I42" s="3488" t="s">
        <v>3338</v>
      </c>
      <c r="J42" s="517">
        <f>SUMIF(122:122,I42,123:123)-SUMIF(122:122,C42,123:123)+100</f>
        <v>95</v>
      </c>
      <c r="K42" s="836">
        <v>5</v>
      </c>
      <c r="L42" s="1978"/>
      <c r="M42" s="1970"/>
      <c r="N42" s="1970"/>
      <c r="O42" s="1977"/>
      <c r="P42" s="3688"/>
      <c r="Q42" s="3475" t="str">
        <f t="shared" si="11"/>
        <v>内部装修</v>
      </c>
      <c r="R42" s="1463" t="s">
        <v>8</v>
      </c>
      <c r="S42" s="1464">
        <f t="shared" si="12"/>
        <v>100</v>
      </c>
      <c r="T42" s="1463" t="s">
        <v>8</v>
      </c>
      <c r="U42" s="1464">
        <f t="shared" si="13"/>
        <v>100</v>
      </c>
      <c r="V42" s="1463" t="s">
        <v>8</v>
      </c>
      <c r="W42" s="1464">
        <f t="shared" si="14"/>
        <v>95</v>
      </c>
      <c r="X42" s="3477"/>
      <c r="Y42" s="3688"/>
      <c r="Z42" s="3476" t="str">
        <f t="shared" si="15"/>
        <v>内部装修</v>
      </c>
      <c r="AA42" s="3478">
        <f t="shared" si="3"/>
        <v>1</v>
      </c>
      <c r="AB42" s="3478">
        <f t="shared" si="4"/>
        <v>1</v>
      </c>
      <c r="AC42" s="3478">
        <f t="shared" si="5"/>
        <v>1.0526315789473684</v>
      </c>
    </row>
    <row r="43" spans="1:29" ht="28.8">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88"/>
      <c r="Q43" s="3475" t="str">
        <f t="shared" si="11"/>
        <v>内部装修维护情况</v>
      </c>
      <c r="R43" s="1463" t="s">
        <v>8</v>
      </c>
      <c r="S43" s="1464">
        <f t="shared" si="12"/>
        <v>100</v>
      </c>
      <c r="T43" s="1463" t="s">
        <v>8</v>
      </c>
      <c r="U43" s="1464">
        <f t="shared" si="13"/>
        <v>100</v>
      </c>
      <c r="V43" s="1463" t="s">
        <v>8</v>
      </c>
      <c r="W43" s="1464">
        <f t="shared" si="14"/>
        <v>100</v>
      </c>
      <c r="X43" s="3477"/>
      <c r="Y43" s="3688"/>
      <c r="Z43" s="3476" t="str">
        <f t="shared" si="15"/>
        <v>内部装修维护情况</v>
      </c>
      <c r="AA43" s="3478">
        <f t="shared" si="3"/>
        <v>1</v>
      </c>
      <c r="AB43" s="3478">
        <f t="shared" si="4"/>
        <v>1</v>
      </c>
      <c r="AC43" s="3478">
        <f t="shared" si="5"/>
        <v>1</v>
      </c>
    </row>
    <row r="44" spans="1:29" s="1166" customFormat="1" ht="15">
      <c r="A44" s="577"/>
      <c r="B44" s="3490" t="s">
        <v>3335</v>
      </c>
      <c r="C44" s="851">
        <v>20</v>
      </c>
      <c r="D44" s="253">
        <v>100</v>
      </c>
      <c r="E44" s="851">
        <v>0</v>
      </c>
      <c r="F44" s="835">
        <f>SUMIF(126:126,E44,127:127)-SUMIF(126:126,C44,127:127)+100</f>
        <v>120</v>
      </c>
      <c r="G44" s="851">
        <v>0</v>
      </c>
      <c r="H44" s="253">
        <f>SUMIF(126:126,G44,127:127)-SUMIF(126:126,C44,127:127)+100</f>
        <v>120</v>
      </c>
      <c r="I44" s="851">
        <v>0</v>
      </c>
      <c r="J44" s="253">
        <f>SUMIF(126:126,I44,127:127)-SUMIF(126:126,C44,127:127)+100</f>
        <v>120</v>
      </c>
      <c r="K44" s="837"/>
      <c r="L44" s="1971"/>
      <c r="M44" s="1972"/>
      <c r="N44" s="1972"/>
      <c r="O44" s="1973"/>
      <c r="P44" s="3688"/>
      <c r="Q44" s="3474" t="str">
        <f t="shared" si="11"/>
        <v>自持</v>
      </c>
      <c r="R44" s="1458" t="s">
        <v>8</v>
      </c>
      <c r="S44" s="1459">
        <f t="shared" si="12"/>
        <v>120</v>
      </c>
      <c r="T44" s="1458" t="s">
        <v>8</v>
      </c>
      <c r="U44" s="1459">
        <f t="shared" si="13"/>
        <v>120</v>
      </c>
      <c r="V44" s="1458" t="s">
        <v>8</v>
      </c>
      <c r="W44" s="1459">
        <f t="shared" si="14"/>
        <v>120</v>
      </c>
      <c r="X44" s="1460"/>
      <c r="Y44" s="3688"/>
      <c r="Z44" s="3473" t="str">
        <f t="shared" si="15"/>
        <v>自持</v>
      </c>
      <c r="AA44" s="1461">
        <f t="shared" si="3"/>
        <v>0.83333333333333337</v>
      </c>
      <c r="AB44" s="1461">
        <f t="shared" si="4"/>
        <v>0.83333333333333337</v>
      </c>
      <c r="AC44" s="1461">
        <f t="shared" si="5"/>
        <v>0.83333333333333337</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88"/>
      <c r="Q45" s="3475">
        <f t="shared" si="11"/>
        <v>111</v>
      </c>
      <c r="R45" s="1463" t="s">
        <v>8</v>
      </c>
      <c r="S45" s="1464">
        <f t="shared" si="12"/>
        <v>100</v>
      </c>
      <c r="T45" s="1463" t="s">
        <v>8</v>
      </c>
      <c r="U45" s="1464">
        <f t="shared" si="13"/>
        <v>100</v>
      </c>
      <c r="V45" s="1463" t="s">
        <v>8</v>
      </c>
      <c r="W45" s="1464">
        <f t="shared" si="14"/>
        <v>100</v>
      </c>
      <c r="X45" s="3477"/>
      <c r="Y45" s="3688"/>
      <c r="Z45" s="3476">
        <f t="shared" si="15"/>
        <v>111</v>
      </c>
      <c r="AA45" s="3478">
        <f t="shared" si="3"/>
        <v>1</v>
      </c>
      <c r="AB45" s="3478">
        <f t="shared" si="4"/>
        <v>1</v>
      </c>
      <c r="AC45" s="3478">
        <f t="shared" si="5"/>
        <v>1</v>
      </c>
    </row>
    <row r="46" spans="1:29" ht="15.6"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00"/>
      <c r="Q46" s="3475">
        <f t="shared" si="11"/>
        <v>111</v>
      </c>
      <c r="R46" s="1463" t="s">
        <v>8</v>
      </c>
      <c r="S46" s="1464">
        <f t="shared" si="12"/>
        <v>100</v>
      </c>
      <c r="T46" s="1463" t="s">
        <v>8</v>
      </c>
      <c r="U46" s="1464">
        <f t="shared" si="13"/>
        <v>100</v>
      </c>
      <c r="V46" s="1463" t="s">
        <v>8</v>
      </c>
      <c r="W46" s="1464">
        <f t="shared" si="14"/>
        <v>100</v>
      </c>
      <c r="X46" s="3477"/>
      <c r="Y46" s="3800"/>
      <c r="Z46" s="3476">
        <f t="shared" si="15"/>
        <v>111</v>
      </c>
      <c r="AA46" s="3478">
        <f t="shared" si="3"/>
        <v>1</v>
      </c>
      <c r="AB46" s="3478">
        <f t="shared" si="4"/>
        <v>1</v>
      </c>
      <c r="AC46" s="3478">
        <f t="shared" si="5"/>
        <v>1</v>
      </c>
    </row>
    <row r="47" spans="1:29" ht="14.4">
      <c r="A47" s="584" t="s">
        <v>718</v>
      </c>
      <c r="B47" s="858"/>
      <c r="C47" s="2392" t="s">
        <v>1</v>
      </c>
      <c r="D47" s="2393"/>
      <c r="E47" s="2394">
        <v>53000</v>
      </c>
      <c r="F47" s="2395"/>
      <c r="G47" s="2396">
        <v>54000</v>
      </c>
      <c r="H47" s="2397"/>
      <c r="I47" s="2394">
        <v>49000</v>
      </c>
      <c r="J47" s="2397"/>
      <c r="K47" s="1492"/>
      <c r="L47" s="1980"/>
      <c r="M47" s="1981">
        <v>55000</v>
      </c>
      <c r="N47" s="1970"/>
      <c r="O47" s="1981"/>
      <c r="P47" s="3683" t="str">
        <f>A47</f>
        <v>成交单价（元/平方米）</v>
      </c>
      <c r="Q47" s="3683"/>
      <c r="R47" s="3799">
        <f>E47</f>
        <v>53000</v>
      </c>
      <c r="S47" s="3799"/>
      <c r="T47" s="3799">
        <f>G47</f>
        <v>54000</v>
      </c>
      <c r="U47" s="3799"/>
      <c r="V47" s="3799">
        <f>I47</f>
        <v>49000</v>
      </c>
      <c r="W47" s="3799"/>
      <c r="X47" s="1452"/>
      <c r="Y47" s="1471"/>
      <c r="Z47" s="1452"/>
      <c r="AA47" s="1452"/>
      <c r="AB47" s="1452"/>
      <c r="AC47" s="1452"/>
    </row>
    <row r="48" spans="1:29" ht="15" thickBot="1">
      <c r="A48" s="592" t="s">
        <v>2410</v>
      </c>
      <c r="B48" s="859"/>
      <c r="C48" s="2398">
        <f>R49</f>
        <v>41677</v>
      </c>
      <c r="D48" s="2922" t="s">
        <v>2702</v>
      </c>
      <c r="E48" s="2399">
        <f>R48</f>
        <v>42063</v>
      </c>
      <c r="F48" s="2923"/>
      <c r="G48" s="2398">
        <f>T48</f>
        <v>42017</v>
      </c>
      <c r="H48" s="2923"/>
      <c r="I48" s="2399">
        <f>V48</f>
        <v>40952</v>
      </c>
      <c r="J48" s="2923"/>
      <c r="K48" s="2931">
        <f>F48+H48+J48</f>
        <v>0</v>
      </c>
      <c r="L48" s="1980"/>
      <c r="M48" s="1981">
        <f>C49/M47</f>
        <v>0.75776363636363642</v>
      </c>
      <c r="N48" s="1981"/>
      <c r="O48" s="1981"/>
      <c r="P48" s="3683" t="str">
        <f>A48</f>
        <v>比较价格（元/平方米）</v>
      </c>
      <c r="Q48" s="3683"/>
      <c r="R48" s="3799">
        <f>IF(F1="售价",ROUND(PRODUCT(R47,AA7:AA46),0),ROUND(PRODUCT(R47,AA7:AA46),1))</f>
        <v>42063</v>
      </c>
      <c r="S48" s="3799"/>
      <c r="T48" s="3799">
        <f>IF(F1="售价",ROUND(PRODUCT(T47,AB7:AB46),0),ROUND(PRODUCT(T47,AB7:AB46),1))</f>
        <v>42017</v>
      </c>
      <c r="U48" s="3799"/>
      <c r="V48" s="3799">
        <f>IF(F1="售价",ROUND(PRODUCT(V47,AC7:AC46),0),ROUND(PRODUCT(V47,AC7:AC46),1))</f>
        <v>40952</v>
      </c>
      <c r="W48" s="3799"/>
      <c r="X48" s="1452"/>
      <c r="Y48" s="1452"/>
      <c r="Z48" s="1452"/>
      <c r="AA48" s="1452"/>
      <c r="AB48" s="1452"/>
      <c r="AC48" s="1452"/>
    </row>
    <row r="49" spans="1:29" ht="15" thickBot="1">
      <c r="A49" s="596" t="s">
        <v>2637</v>
      </c>
      <c r="B49" s="597"/>
      <c r="C49" s="2400">
        <f>R49</f>
        <v>41677</v>
      </c>
      <c r="D49" s="2400"/>
      <c r="E49" s="2400"/>
      <c r="F49" s="2400"/>
      <c r="G49" s="2400"/>
      <c r="H49" s="2400"/>
      <c r="I49" s="2400"/>
      <c r="J49" s="2400"/>
      <c r="K49" s="1493"/>
      <c r="L49" s="1980"/>
      <c r="M49" s="1981"/>
      <c r="N49" s="1981"/>
      <c r="O49" s="1981"/>
      <c r="P49" s="3689" t="str">
        <f>A49</f>
        <v>估价对象XX用房的比较价格（楼面单价，元/平方米）</v>
      </c>
      <c r="Q49" s="3690"/>
      <c r="R49" s="3798">
        <f>IF(F1="售价",ROUND(IF(D48="简单平均",AVERAGE(R48:V48),R48*F48+T48*H48+V48*J48),0),ROUND(IF(D48="简单平均",AVERAGE(R48:V48),R48*F48+T48*H48+V48*J48),1))</f>
        <v>41677</v>
      </c>
      <c r="S49" s="3798"/>
      <c r="T49" s="3798"/>
      <c r="U49" s="3798"/>
      <c r="V49" s="3798"/>
      <c r="W49" s="3798"/>
      <c r="X49" s="1452"/>
      <c r="Y49" s="1452"/>
      <c r="Z49" s="1452"/>
      <c r="AA49" s="1452"/>
      <c r="AB49" s="1452"/>
      <c r="AC49" s="1452"/>
    </row>
    <row r="50" spans="1:29">
      <c r="A50" s="3122"/>
      <c r="B50" s="3122"/>
      <c r="C50" s="3122"/>
      <c r="D50" s="3122"/>
      <c r="E50" s="3122">
        <v>2010</v>
      </c>
      <c r="F50" s="3122"/>
      <c r="G50" s="3487">
        <v>2010</v>
      </c>
      <c r="H50" s="3122"/>
      <c r="I50" s="3122">
        <v>2004</v>
      </c>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0.26001473979506939</v>
      </c>
      <c r="F52" s="602" t="str">
        <f>IF(OR(E52&gt;=0.3,E52&lt;=-0.3),"超过30%","")</f>
        <v/>
      </c>
      <c r="G52" s="601">
        <f>IF(G47&lt;G48,G48/G47-1,G47/G48-1)</f>
        <v>0.2851940881071946</v>
      </c>
      <c r="H52" s="602" t="str">
        <f>IF(OR(G52&gt;=0.3,G52&lt;=-0.3),"超过30%","")</f>
        <v/>
      </c>
      <c r="I52" s="601">
        <f>IF(I47&lt;I48,I48/I47-1,I47/I48-1)</f>
        <v>0.19652275835124056</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1.0947949639432686E-3</v>
      </c>
      <c r="F53" s="602" t="str">
        <f>IF(OR(E53&gt;=0.2,E53&lt;=-0.2),"超过20%","")</f>
        <v/>
      </c>
      <c r="G53" s="601">
        <f>IF(G48&lt;I48,I48/G48-1,G48/I48-1)</f>
        <v>2.6006055870287259E-2</v>
      </c>
      <c r="H53" s="602" t="str">
        <f>IF(OR(G53&gt;=0.2,G53&lt;=-0.2),"超过20%","")</f>
        <v/>
      </c>
      <c r="I53" s="601">
        <f>IF(I48&lt;E48,E48/I48-1,I48/E48-1)</f>
        <v>2.7129322133229161E-2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1.8867924528301883E-2</v>
      </c>
      <c r="F54" s="602" t="str">
        <f>IF(OR(E54&gt;=0.3,E54&lt;=-0.3),"超过30%","")</f>
        <v/>
      </c>
      <c r="G54" s="601">
        <f>IF(G47&lt;I47,I47/G47-1,G47/I47-1)</f>
        <v>0.1020408163265305</v>
      </c>
      <c r="H54" s="602" t="str">
        <f>IF(OR(G54&gt;=0.3,G54&lt;=-0.3),"超过30%","")</f>
        <v/>
      </c>
      <c r="I54" s="601">
        <f>IF(I47&lt;E47,E47/I47-1,I47/E47-1)</f>
        <v>8.163265306122458E-2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2.2"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4.4">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4.4">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4.4"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ht="14.4">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4.4"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4.4"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4.4"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4.4"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4.4"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4.4"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4.4"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4.4"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ht="14.4">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4.4"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 thickTop="1">
      <c r="A80" s="644"/>
      <c r="B80" s="1765" t="s">
        <v>2107</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 thickTop="1">
      <c r="A82" s="644"/>
      <c r="B82" s="2363" t="s">
        <v>2265</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4.4"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4.4"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4.4"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4.4"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4.4"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4.4"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4.4"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4.4"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4.4"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4.4"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4.4"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ht="14.4">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28.2" thickTop="1">
      <c r="A102" s="644"/>
      <c r="B102" s="648" t="s">
        <v>730</v>
      </c>
      <c r="C102" s="683" t="str">
        <f>C103&amp;"(含)"&amp;"-"&amp;D103</f>
        <v>0(含)-50000</v>
      </c>
      <c r="D102" s="683" t="str">
        <f t="shared" ref="D102:L102" si="23">D103&amp;"(含)"&amp;"-"&amp;E103</f>
        <v>50000(含)-80000</v>
      </c>
      <c r="E102" s="683" t="str">
        <f t="shared" si="23"/>
        <v>80000(含)-120000</v>
      </c>
      <c r="F102" s="683" t="str">
        <f t="shared" si="23"/>
        <v>120000(含)-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80000</v>
      </c>
      <c r="F103" s="705">
        <v>120000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4.4"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4.4" thickBot="1">
      <c r="A113" s="662"/>
      <c r="B113" s="653"/>
      <c r="C113" s="687">
        <v>100</v>
      </c>
      <c r="D113" s="654">
        <f>C113+$K37</f>
        <v>105</v>
      </c>
      <c r="E113" s="654">
        <f>D113+$K37</f>
        <v>110</v>
      </c>
      <c r="F113" s="654">
        <f>E113+$K37</f>
        <v>115</v>
      </c>
      <c r="G113" s="654">
        <f>F113+$K37</f>
        <v>120</v>
      </c>
      <c r="H113" s="654">
        <f>G113+$K37</f>
        <v>125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9.4"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4.4"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826" t="s">
        <v>3337</v>
      </c>
      <c r="D122" s="3826" t="s">
        <v>3339</v>
      </c>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4.4" thickBot="1">
      <c r="A123" s="644"/>
      <c r="B123" s="653"/>
      <c r="C123" s="654">
        <v>100</v>
      </c>
      <c r="D123" s="654">
        <f t="shared" ref="D123:M123" si="29">C123-$K42</f>
        <v>95</v>
      </c>
      <c r="E123" s="654">
        <f t="shared" si="29"/>
        <v>90</v>
      </c>
      <c r="F123" s="654">
        <f t="shared" si="29"/>
        <v>85</v>
      </c>
      <c r="G123" s="654">
        <f t="shared" si="29"/>
        <v>80</v>
      </c>
      <c r="H123" s="654">
        <f t="shared" si="29"/>
        <v>75</v>
      </c>
      <c r="I123" s="654">
        <f t="shared" si="29"/>
        <v>70</v>
      </c>
      <c r="J123" s="654">
        <f t="shared" si="29"/>
        <v>65</v>
      </c>
      <c r="K123" s="654">
        <f t="shared" si="29"/>
        <v>60</v>
      </c>
      <c r="L123" s="654">
        <f t="shared" si="29"/>
        <v>55</v>
      </c>
      <c r="M123" s="654">
        <f t="shared" si="29"/>
        <v>50</v>
      </c>
      <c r="N123" s="2001"/>
      <c r="O123" s="2001"/>
      <c r="P123" s="2000"/>
      <c r="Q123" s="1993"/>
      <c r="R123" s="1981"/>
      <c r="S123" s="1981"/>
      <c r="T123" s="1981"/>
      <c r="U123" s="1981"/>
      <c r="V123" s="1981"/>
      <c r="W123" s="1981"/>
      <c r="X123" s="1981"/>
      <c r="Y123" s="1981"/>
      <c r="Z123" s="1981"/>
      <c r="AA123" s="1981"/>
      <c r="AB123" s="1981"/>
      <c r="AC123" s="1981"/>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4.4" thickTop="1">
      <c r="A126" s="703"/>
      <c r="B126" s="648" t="str">
        <f>B44</f>
        <v>自持</v>
      </c>
      <c r="C126" s="663">
        <v>20</v>
      </c>
      <c r="D126" s="663">
        <v>0</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4.4" thickBot="1">
      <c r="A127" s="662"/>
      <c r="B127" s="653"/>
      <c r="C127" s="667">
        <v>100</v>
      </c>
      <c r="D127" s="646">
        <v>120</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4.4"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4.4"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4.4"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4.4"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ht="15.6">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ht="15.6">
      <c r="A138" s="2014"/>
      <c r="B138" s="1793"/>
      <c r="C138" s="1794" t="s">
        <v>2053</v>
      </c>
      <c r="D138" s="1794" t="s">
        <v>2054</v>
      </c>
      <c r="E138" s="1795" t="s">
        <v>2055</v>
      </c>
      <c r="F138" s="1796" t="s">
        <v>2056</v>
      </c>
      <c r="G138" s="1794" t="s">
        <v>2054</v>
      </c>
      <c r="H138" s="1797" t="s">
        <v>2055</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2061</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6">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6">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6">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6">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6.2"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ht="14.4">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ht="14.4">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5" type="noConversion"/>
  <conditionalFormatting sqref="F52 H52 J52">
    <cfRule type="containsText" dxfId="22" priority="18" stopIfTrue="1" operator="containsText" text="超过">
      <formula>NOT(ISERROR(SEARCH("超过",F52)))</formula>
    </cfRule>
  </conditionalFormatting>
  <conditionalFormatting sqref="J54">
    <cfRule type="containsText" dxfId="21" priority="17" stopIfTrue="1" operator="containsText" text="超过">
      <formula>NOT(ISERROR(SEARCH("超过",J54)))</formula>
    </cfRule>
  </conditionalFormatting>
  <conditionalFormatting sqref="H54">
    <cfRule type="containsText" dxfId="20" priority="16" stopIfTrue="1" operator="containsText" text="超过">
      <formula>NOT(ISERROR(SEARCH("超过",H54)))</formula>
    </cfRule>
  </conditionalFormatting>
  <conditionalFormatting sqref="F54">
    <cfRule type="containsText" dxfId="19" priority="15" stopIfTrue="1" operator="containsText" text="超过">
      <formula>NOT(ISERROR(SEARCH("超过",F54)))</formula>
    </cfRule>
  </conditionalFormatting>
  <conditionalFormatting sqref="F53 H53 J53">
    <cfRule type="containsText" dxfId="18" priority="14" stopIfTrue="1" operator="containsText" text="超过">
      <formula>NOT(ISERROR(SEARCH("超过",F53)))</formula>
    </cfRule>
  </conditionalFormatting>
  <conditionalFormatting sqref="E52">
    <cfRule type="expression" dxfId="17" priority="13" stopIfTrue="1">
      <formula>$F$52="超过30%"</formula>
    </cfRule>
  </conditionalFormatting>
  <conditionalFormatting sqref="G54">
    <cfRule type="expression" dxfId="16" priority="12" stopIfTrue="1">
      <formula>$H$54="超过30%"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G36"/>
  <sheetViews>
    <sheetView topLeftCell="A13" workbookViewId="0">
      <selection activeCell="K41" sqref="K41"/>
    </sheetView>
  </sheetViews>
  <sheetFormatPr defaultRowHeight="14.4"/>
  <cols>
    <col min="3" max="3" width="10" customWidth="1"/>
    <col min="4" max="4" width="9.88671875" customWidth="1"/>
    <col min="5" max="5" width="11.88671875" customWidth="1"/>
  </cols>
  <sheetData>
    <row r="6" spans="2:5">
      <c r="B6" s="3454"/>
      <c r="C6" s="3454" t="s">
        <v>3142</v>
      </c>
      <c r="D6" s="3454"/>
      <c r="E6" s="3454"/>
    </row>
    <row r="7" spans="2:5">
      <c r="B7" s="3454"/>
      <c r="C7" s="3454" t="s">
        <v>3143</v>
      </c>
      <c r="D7" s="3454" t="s">
        <v>3144</v>
      </c>
      <c r="E7" s="3454" t="s">
        <v>3148</v>
      </c>
    </row>
    <row r="8" spans="2:5">
      <c r="B8" s="3454" t="s">
        <v>3145</v>
      </c>
      <c r="C8" s="3454">
        <f>[2]基准地价修正!$B$2</f>
        <v>99796</v>
      </c>
      <c r="D8" s="3454">
        <f ca="1">'剩余法-待开发'!B2</f>
        <v>153092</v>
      </c>
      <c r="E8" s="3454">
        <f ca="1">C8*C10+D8*D10</f>
        <v>121114.4</v>
      </c>
    </row>
    <row r="9" spans="2:5">
      <c r="B9" s="3454" t="s">
        <v>3146</v>
      </c>
      <c r="C9" s="3454">
        <f>ROUND(C8/'数据-汇总表'!E3*10000,0)</f>
        <v>10084</v>
      </c>
      <c r="D9" s="3454">
        <f ca="1">ROUND(D8/'数据-汇总表'!E3*10000,0)</f>
        <v>15469</v>
      </c>
      <c r="E9" s="3454">
        <f ca="1">ROUND(E8/'数据-汇总表'!E3*10000,0)</f>
        <v>12238</v>
      </c>
    </row>
    <row r="10" spans="2:5">
      <c r="B10" s="3454" t="s">
        <v>3147</v>
      </c>
      <c r="C10" s="3454">
        <v>0.6</v>
      </c>
      <c r="D10" s="3454">
        <f>1-C10</f>
        <v>0.4</v>
      </c>
      <c r="E10" s="3454"/>
    </row>
    <row r="16" spans="2:5">
      <c r="B16" s="3454"/>
      <c r="C16" s="3454" t="s">
        <v>3142</v>
      </c>
      <c r="D16" s="3454"/>
      <c r="E16" s="3454"/>
    </row>
    <row r="17" spans="2:7">
      <c r="B17" s="3454"/>
      <c r="C17" s="3454" t="s">
        <v>3143</v>
      </c>
      <c r="D17" s="3454" t="s">
        <v>3296</v>
      </c>
      <c r="E17" s="3454" t="s">
        <v>3148</v>
      </c>
    </row>
    <row r="18" spans="2:7">
      <c r="B18" s="3454" t="s">
        <v>3145</v>
      </c>
      <c r="C18" s="3454">
        <f>[3]基准地价修正!$B$2</f>
        <v>99796</v>
      </c>
      <c r="D18" s="3454">
        <f>'比较法-住宅、综合'!B2</f>
        <v>133447</v>
      </c>
      <c r="E18" s="3454">
        <f>C18*C20+D18*D20</f>
        <v>113256.4</v>
      </c>
      <c r="G18" s="3156" t="s">
        <v>3302</v>
      </c>
    </row>
    <row r="19" spans="2:7">
      <c r="B19" s="3454" t="s">
        <v>3146</v>
      </c>
      <c r="C19" s="3454">
        <f>C9</f>
        <v>10084</v>
      </c>
      <c r="D19" s="3454">
        <f>'比较法-住宅、综合'!B3</f>
        <v>13484</v>
      </c>
      <c r="E19" s="3454">
        <f>ROUND(E18/'数据-汇总表'!E3*10000,0)</f>
        <v>11444</v>
      </c>
      <c r="G19">
        <f>ROUND(E18/'数据-汇总表'!D3*10000,0)</f>
        <v>35069</v>
      </c>
    </row>
    <row r="20" spans="2:7">
      <c r="B20" s="3454" t="s">
        <v>3147</v>
      </c>
      <c r="C20" s="3454">
        <v>0.6</v>
      </c>
      <c r="D20" s="3454">
        <f>1-C20</f>
        <v>0.4</v>
      </c>
      <c r="E20" s="3454"/>
    </row>
    <row r="21" spans="2:7">
      <c r="B21" s="3454" t="s">
        <v>3305</v>
      </c>
      <c r="C21">
        <f>ROUND(C18/'数据-汇总表'!D3*10000,0)</f>
        <v>30901</v>
      </c>
    </row>
    <row r="22" spans="2:7">
      <c r="B22" s="3454"/>
    </row>
    <row r="23" spans="2:7">
      <c r="B23" s="3454"/>
      <c r="C23" s="3454" t="s">
        <v>3298</v>
      </c>
      <c r="D23" s="3454" t="s">
        <v>3299</v>
      </c>
      <c r="E23" s="3454" t="s">
        <v>3300</v>
      </c>
    </row>
    <row r="24" spans="2:7">
      <c r="B24" s="3454" t="s">
        <v>3297</v>
      </c>
      <c r="C24" s="3454">
        <f>'数据-汇总表'!G20</f>
        <v>22085</v>
      </c>
      <c r="D24" s="3454">
        <f>ROUND(17099*0.15*0.25,0)</f>
        <v>641</v>
      </c>
      <c r="E24" s="3454">
        <f>ROUND(C24*D24*(1+3.05%)/10000,0)</f>
        <v>1459</v>
      </c>
    </row>
    <row r="26" spans="2:7">
      <c r="E26">
        <f>E18-E24</f>
        <v>111797.4</v>
      </c>
    </row>
    <row r="31" spans="2:7">
      <c r="B31" s="3454"/>
      <c r="C31" s="3454" t="s">
        <v>3306</v>
      </c>
      <c r="D31" s="3454"/>
      <c r="E31" s="3454"/>
      <c r="F31" s="3454"/>
      <c r="G31" s="3454"/>
    </row>
    <row r="32" spans="2:7">
      <c r="B32" s="3454"/>
      <c r="C32" s="3454" t="s">
        <v>3296</v>
      </c>
      <c r="D32" s="3454" t="s">
        <v>3144</v>
      </c>
      <c r="E32" s="3454" t="s">
        <v>3148</v>
      </c>
      <c r="F32" s="3454"/>
      <c r="G32" s="3454" t="s">
        <v>3307</v>
      </c>
    </row>
    <row r="33" spans="2:7">
      <c r="B33" s="3454" t="s">
        <v>3145</v>
      </c>
      <c r="C33" s="3454">
        <f>D18</f>
        <v>133447</v>
      </c>
      <c r="D33" s="3454">
        <f ca="1">D8</f>
        <v>153092</v>
      </c>
      <c r="E33" s="3454">
        <f ca="1">C33*C35+D33*D35</f>
        <v>143269.5</v>
      </c>
      <c r="F33" s="3454"/>
      <c r="G33" s="3454">
        <f ca="1">ROUND(E33/'数据-汇总表'!F31*10000,0)</f>
        <v>22160</v>
      </c>
    </row>
    <row r="34" spans="2:7">
      <c r="B34" s="3454" t="s">
        <v>3146</v>
      </c>
      <c r="C34" s="3454">
        <f>D19</f>
        <v>13484</v>
      </c>
      <c r="D34" s="3454">
        <f ca="1">D9</f>
        <v>15469</v>
      </c>
      <c r="E34" s="3454">
        <f ca="1">ROUND(E33/'数据-汇总表'!E3*10000,0)</f>
        <v>14477</v>
      </c>
      <c r="F34" s="3454"/>
      <c r="G34" s="3454"/>
    </row>
    <row r="35" spans="2:7">
      <c r="B35" s="3454" t="s">
        <v>3147</v>
      </c>
      <c r="C35" s="3454">
        <v>0.5</v>
      </c>
      <c r="D35" s="3454">
        <f>1-C35</f>
        <v>0.5</v>
      </c>
      <c r="E35" s="3454"/>
      <c r="F35" s="3454"/>
      <c r="G35" s="3454"/>
    </row>
    <row r="36" spans="2:7">
      <c r="E36">
        <f ca="1">E33-E24</f>
        <v>141810.5</v>
      </c>
    </row>
  </sheetData>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26"/>
  <sheetViews>
    <sheetView workbookViewId="0">
      <selection activeCell="J27" sqref="J27"/>
    </sheetView>
  </sheetViews>
  <sheetFormatPr defaultRowHeight="14.4"/>
  <cols>
    <col min="2" max="2" width="9" customWidth="1"/>
    <col min="3" max="3" width="8.77734375" customWidth="1"/>
    <col min="4" max="4" width="9" customWidth="1"/>
    <col min="5" max="5" width="8.88671875" customWidth="1"/>
    <col min="6" max="6" width="10.109375" customWidth="1"/>
    <col min="9" max="9" width="9.44140625" customWidth="1"/>
    <col min="10" max="10" width="12.6640625" customWidth="1"/>
  </cols>
  <sheetData>
    <row r="5" spans="3:10">
      <c r="C5" s="3814" t="s">
        <v>3121</v>
      </c>
      <c r="D5" s="3814"/>
      <c r="E5" s="3814"/>
      <c r="F5" s="3453">
        <v>32294.89</v>
      </c>
    </row>
    <row r="6" spans="3:10">
      <c r="C6" s="3814" t="s">
        <v>3122</v>
      </c>
      <c r="D6" s="3814"/>
      <c r="E6" s="3814"/>
      <c r="F6" s="3453">
        <v>98965.43</v>
      </c>
    </row>
    <row r="7" spans="3:10">
      <c r="C7" s="3815" t="s">
        <v>3130</v>
      </c>
      <c r="D7" s="3814" t="s">
        <v>3123</v>
      </c>
      <c r="E7" s="3814"/>
      <c r="F7" s="3453">
        <v>64651.07</v>
      </c>
    </row>
    <row r="8" spans="3:10">
      <c r="C8" s="3817"/>
      <c r="D8" s="3815" t="s">
        <v>3129</v>
      </c>
      <c r="E8" s="3453" t="s">
        <v>3124</v>
      </c>
      <c r="F8" s="3453">
        <v>60651.07</v>
      </c>
    </row>
    <row r="9" spans="3:10">
      <c r="C9" s="3817"/>
      <c r="D9" s="3816"/>
      <c r="E9" s="3453" t="s">
        <v>3125</v>
      </c>
      <c r="F9" s="3453">
        <v>4000</v>
      </c>
    </row>
    <row r="10" spans="3:10">
      <c r="C10" s="3816"/>
      <c r="D10" s="3814" t="s">
        <v>3126</v>
      </c>
      <c r="E10" s="3814"/>
      <c r="F10" s="3453">
        <v>34314.36</v>
      </c>
      <c r="G10" s="3454"/>
      <c r="H10" s="3454"/>
      <c r="I10" s="3454" t="s">
        <v>3132</v>
      </c>
      <c r="J10" s="3454" t="s">
        <v>3133</v>
      </c>
    </row>
    <row r="11" spans="3:10">
      <c r="C11" s="3811" t="s">
        <v>3127</v>
      </c>
      <c r="D11" s="3812"/>
      <c r="E11" s="3813"/>
      <c r="F11" s="3453">
        <v>631</v>
      </c>
      <c r="G11" s="3454" t="s">
        <v>3131</v>
      </c>
      <c r="H11" s="3454">
        <v>35</v>
      </c>
      <c r="I11" s="3454">
        <f>H11*F11</f>
        <v>22085</v>
      </c>
      <c r="J11" s="3454">
        <f>F10-I11</f>
        <v>12229.36</v>
      </c>
    </row>
    <row r="12" spans="3:10">
      <c r="C12" s="3811" t="s">
        <v>3128</v>
      </c>
      <c r="D12" s="3812"/>
      <c r="E12" s="3813"/>
      <c r="F12" s="3453">
        <f>ROUND(F7/F5,0)</f>
        <v>2</v>
      </c>
    </row>
    <row r="19" spans="2:6">
      <c r="B19" s="3814" t="s">
        <v>3141</v>
      </c>
      <c r="C19" s="3814"/>
      <c r="D19" s="3814"/>
      <c r="E19" s="3814"/>
      <c r="F19" s="3814"/>
    </row>
    <row r="20" spans="2:6">
      <c r="B20" s="3453"/>
      <c r="C20" s="3453"/>
      <c r="D20" s="3453" t="s">
        <v>3139</v>
      </c>
      <c r="E20" s="3453" t="s">
        <v>3138</v>
      </c>
      <c r="F20" s="3453" t="s">
        <v>3140</v>
      </c>
    </row>
    <row r="21" spans="2:6">
      <c r="B21" s="3453" t="s">
        <v>3134</v>
      </c>
      <c r="C21" s="3453">
        <v>16</v>
      </c>
      <c r="D21" s="3453">
        <v>47356</v>
      </c>
      <c r="E21" s="3453">
        <v>13000</v>
      </c>
      <c r="F21" s="3453">
        <f>D21*E21/10000</f>
        <v>61562.8</v>
      </c>
    </row>
    <row r="22" spans="2:6">
      <c r="B22" s="3453" t="s">
        <v>3135</v>
      </c>
      <c r="C22" s="3453">
        <v>19</v>
      </c>
      <c r="D22" s="3453">
        <v>35083.97</v>
      </c>
      <c r="E22" s="3453">
        <v>35000</v>
      </c>
      <c r="F22" s="3453">
        <f t="shared" ref="F22:F24" si="0">D22*E22/10000</f>
        <v>122793.895</v>
      </c>
    </row>
    <row r="23" spans="2:6">
      <c r="B23" s="3453" t="s">
        <v>3135</v>
      </c>
      <c r="C23" s="3453">
        <v>20</v>
      </c>
      <c r="D23" s="3453">
        <v>49248.02</v>
      </c>
      <c r="E23" s="3453">
        <v>35000</v>
      </c>
      <c r="F23" s="3453">
        <f t="shared" si="0"/>
        <v>172368.07</v>
      </c>
    </row>
    <row r="24" spans="2:6">
      <c r="B24" s="3453" t="s">
        <v>3136</v>
      </c>
      <c r="C24" s="3453">
        <v>39</v>
      </c>
      <c r="D24" s="3453">
        <v>31450</v>
      </c>
      <c r="E24" s="3453">
        <v>13000</v>
      </c>
      <c r="F24" s="3453">
        <f t="shared" si="0"/>
        <v>40885</v>
      </c>
    </row>
    <row r="25" spans="2:6">
      <c r="B25" s="3453" t="s">
        <v>3137</v>
      </c>
      <c r="C25" s="3453">
        <v>40</v>
      </c>
      <c r="D25" s="3453">
        <v>60651.07</v>
      </c>
      <c r="E25" s="3455">
        <f>ROUND(F25/D25*10000,0)</f>
        <v>2290</v>
      </c>
      <c r="F25" s="3453">
        <f>F26-F21-F22-F23-F24</f>
        <v>13890.234999999986</v>
      </c>
    </row>
    <row r="26" spans="2:6">
      <c r="F26" s="3454">
        <v>411500</v>
      </c>
    </row>
  </sheetData>
  <mergeCells count="9">
    <mergeCell ref="C12:E12"/>
    <mergeCell ref="B19:F19"/>
    <mergeCell ref="D7:E7"/>
    <mergeCell ref="C6:E6"/>
    <mergeCell ref="C5:E5"/>
    <mergeCell ref="D10:E10"/>
    <mergeCell ref="D8:D9"/>
    <mergeCell ref="C7:C10"/>
    <mergeCell ref="C11:E1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9" workbookViewId="0">
      <selection activeCell="M289" sqref="M289"/>
    </sheetView>
  </sheetViews>
  <sheetFormatPr defaultRowHeight="14.4"/>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8"/>
  <sheetViews>
    <sheetView topLeftCell="E127" workbookViewId="0">
      <selection activeCell="I129" sqref="I129"/>
    </sheetView>
  </sheetViews>
  <sheetFormatPr defaultRowHeight="14.4"/>
  <cols>
    <col min="1" max="1" width="23.6640625" customWidth="1"/>
    <col min="2" max="3" width="0" hidden="1" customWidth="1"/>
    <col min="4" max="4" width="10.44140625" customWidth="1"/>
    <col min="5" max="7" width="9.109375" bestFit="1" customWidth="1"/>
    <col min="9" max="9" width="17.33203125" customWidth="1"/>
    <col min="10" max="10" width="0" hidden="1" customWidth="1"/>
    <col min="11" max="11" width="11.6640625" hidden="1" customWidth="1"/>
    <col min="12" max="12" width="11.6640625" bestFit="1" customWidth="1"/>
    <col min="14" max="14" width="14.21875" customWidth="1"/>
    <col min="15" max="15" width="9.109375" bestFit="1" customWidth="1"/>
    <col min="16" max="16" width="9.109375" hidden="1" customWidth="1"/>
    <col min="17" max="17" width="0" hidden="1" customWidth="1"/>
    <col min="18" max="18" width="9.109375" bestFit="1" customWidth="1"/>
    <col min="19" max="19" width="10.109375" customWidth="1"/>
    <col min="20" max="20" width="9.109375" bestFit="1" customWidth="1"/>
  </cols>
  <sheetData>
    <row r="1" spans="1:20">
      <c r="A1" s="3818" t="s">
        <v>3163</v>
      </c>
      <c r="B1" s="3818" t="s">
        <v>3164</v>
      </c>
      <c r="C1" s="3818" t="s">
        <v>3165</v>
      </c>
      <c r="D1" s="3818" t="s">
        <v>3166</v>
      </c>
      <c r="E1" s="3818" t="s">
        <v>3167</v>
      </c>
      <c r="F1" s="3818" t="s">
        <v>3168</v>
      </c>
      <c r="G1" s="3818" t="s">
        <v>1824</v>
      </c>
      <c r="H1" s="3818" t="s">
        <v>3169</v>
      </c>
      <c r="I1" s="3818" t="s">
        <v>3170</v>
      </c>
      <c r="J1" s="3818" t="s">
        <v>3171</v>
      </c>
      <c r="K1" s="3818" t="s">
        <v>3172</v>
      </c>
      <c r="L1" s="3818" t="s">
        <v>3173</v>
      </c>
      <c r="M1" s="3818" t="s">
        <v>3174</v>
      </c>
      <c r="N1" s="3818" t="s">
        <v>3175</v>
      </c>
      <c r="O1" s="3818" t="s">
        <v>3176</v>
      </c>
      <c r="P1" s="3818" t="s">
        <v>3177</v>
      </c>
      <c r="Q1" s="3818" t="s">
        <v>3178</v>
      </c>
      <c r="R1" s="3818" t="s">
        <v>3179</v>
      </c>
      <c r="S1" s="3818" t="s">
        <v>3180</v>
      </c>
      <c r="T1" s="3818" t="s">
        <v>3181</v>
      </c>
    </row>
    <row r="2" spans="1:20">
      <c r="A2" s="3818" t="s">
        <v>3182</v>
      </c>
      <c r="B2" s="3818" t="s">
        <v>1737</v>
      </c>
      <c r="C2" s="3818" t="s">
        <v>3183</v>
      </c>
      <c r="D2" s="3818" t="s">
        <v>3184</v>
      </c>
      <c r="E2" s="3818">
        <v>33141.01</v>
      </c>
      <c r="F2" s="3818">
        <v>61339.02</v>
      </c>
      <c r="G2" s="3818" t="s">
        <v>3185</v>
      </c>
      <c r="H2" s="3818" t="s">
        <v>3186</v>
      </c>
      <c r="I2" s="3818" t="s">
        <v>3187</v>
      </c>
      <c r="J2" s="3818" t="s">
        <v>3188</v>
      </c>
      <c r="K2" s="3819">
        <v>44608.000497685185</v>
      </c>
      <c r="L2" s="3819">
        <v>44608.000497685185</v>
      </c>
      <c r="M2" s="3818" t="s">
        <v>3189</v>
      </c>
      <c r="N2" s="3818" t="s">
        <v>3190</v>
      </c>
      <c r="O2" s="3818">
        <v>133000</v>
      </c>
      <c r="P2" s="3818">
        <v>27000</v>
      </c>
      <c r="Q2" s="3818" t="s">
        <v>3191</v>
      </c>
      <c r="R2" s="3818">
        <v>133000</v>
      </c>
      <c r="S2" s="3818">
        <v>21683</v>
      </c>
      <c r="T2" s="3818">
        <v>0</v>
      </c>
    </row>
    <row r="3" spans="1:20">
      <c r="A3" s="3818" t="s">
        <v>3192</v>
      </c>
      <c r="B3" s="3818" t="s">
        <v>1737</v>
      </c>
      <c r="C3" s="3818" t="s">
        <v>3193</v>
      </c>
      <c r="D3" s="3818" t="s">
        <v>3194</v>
      </c>
      <c r="E3" s="3818">
        <v>29991.73</v>
      </c>
      <c r="F3" s="3818">
        <v>119966.93</v>
      </c>
      <c r="G3" s="3818">
        <v>4</v>
      </c>
      <c r="H3" s="3818" t="s">
        <v>3186</v>
      </c>
      <c r="I3" s="3818" t="s">
        <v>3195</v>
      </c>
      <c r="J3" s="3818" t="s">
        <v>3196</v>
      </c>
      <c r="K3" s="3819">
        <v>44566.000497685185</v>
      </c>
      <c r="L3" s="3819">
        <v>44566.000497685185</v>
      </c>
      <c r="M3" s="3818" t="s">
        <v>3189</v>
      </c>
      <c r="N3" s="3818" t="s">
        <v>3197</v>
      </c>
      <c r="O3" s="3818">
        <v>165300</v>
      </c>
      <c r="P3" s="3818">
        <v>33100</v>
      </c>
      <c r="Q3" s="3818" t="s">
        <v>2534</v>
      </c>
      <c r="R3" s="3818">
        <v>165300</v>
      </c>
      <c r="S3" s="3818">
        <v>13779</v>
      </c>
      <c r="T3" s="3818">
        <v>0</v>
      </c>
    </row>
    <row r="4" spans="1:20">
      <c r="A4" s="3818" t="s">
        <v>3198</v>
      </c>
      <c r="B4" s="3818" t="s">
        <v>1737</v>
      </c>
      <c r="C4" s="3818" t="s">
        <v>3199</v>
      </c>
      <c r="D4" s="3818" t="s">
        <v>3194</v>
      </c>
      <c r="E4" s="3818">
        <v>204418.11</v>
      </c>
      <c r="F4" s="3818">
        <v>302000</v>
      </c>
      <c r="G4" s="3818">
        <v>1.5</v>
      </c>
      <c r="H4" s="3818" t="s">
        <v>3186</v>
      </c>
      <c r="I4" s="3818" t="s">
        <v>3195</v>
      </c>
      <c r="J4" s="3818" t="s">
        <v>3196</v>
      </c>
      <c r="K4" s="3819">
        <v>44495.000497685185</v>
      </c>
      <c r="L4" s="3819">
        <v>44495.000497685185</v>
      </c>
      <c r="M4" s="3818" t="s">
        <v>3189</v>
      </c>
      <c r="N4" s="3818" t="s">
        <v>3200</v>
      </c>
      <c r="O4" s="3818">
        <v>506700</v>
      </c>
      <c r="P4" s="3818">
        <v>101400</v>
      </c>
      <c r="Q4" s="3818" t="s">
        <v>3201</v>
      </c>
      <c r="R4" s="3818">
        <v>506700</v>
      </c>
      <c r="S4" s="3818">
        <v>16778</v>
      </c>
      <c r="T4" s="3818">
        <v>0</v>
      </c>
    </row>
    <row r="5" spans="1:20">
      <c r="A5" s="3818" t="s">
        <v>3202</v>
      </c>
      <c r="B5" s="3818" t="s">
        <v>1737</v>
      </c>
      <c r="C5" s="3818" t="s">
        <v>3203</v>
      </c>
      <c r="D5" s="3818" t="s">
        <v>3184</v>
      </c>
      <c r="E5" s="3818">
        <v>25189.62</v>
      </c>
      <c r="F5" s="3818">
        <v>37104</v>
      </c>
      <c r="G5" s="3818" t="s">
        <v>3204</v>
      </c>
      <c r="H5" s="3818" t="s">
        <v>3186</v>
      </c>
      <c r="I5" s="3818" t="s">
        <v>3205</v>
      </c>
      <c r="J5" s="3818" t="s">
        <v>3206</v>
      </c>
      <c r="K5" s="3819">
        <v>44481.000497685185</v>
      </c>
      <c r="L5" s="3819">
        <v>44481.000497685185</v>
      </c>
      <c r="M5" s="3818" t="s">
        <v>3189</v>
      </c>
      <c r="N5" s="3818" t="s">
        <v>3207</v>
      </c>
      <c r="O5" s="3818">
        <v>29500</v>
      </c>
      <c r="P5" s="3818">
        <v>5900</v>
      </c>
      <c r="Q5" s="3818" t="s">
        <v>3208</v>
      </c>
      <c r="R5" s="3818">
        <v>29500</v>
      </c>
      <c r="S5" s="3818">
        <v>7951</v>
      </c>
      <c r="T5" s="3818">
        <v>0</v>
      </c>
    </row>
    <row r="6" spans="1:20">
      <c r="A6" s="3818" t="s">
        <v>3209</v>
      </c>
      <c r="B6" s="3818" t="s">
        <v>1737</v>
      </c>
      <c r="C6" s="3818" t="s">
        <v>3210</v>
      </c>
      <c r="D6" s="3818" t="s">
        <v>3211</v>
      </c>
      <c r="E6" s="3818">
        <v>45949.97</v>
      </c>
      <c r="F6" s="3818">
        <v>82709.95</v>
      </c>
      <c r="G6" s="3818">
        <v>1.8</v>
      </c>
      <c r="H6" s="3818" t="s">
        <v>3186</v>
      </c>
      <c r="I6" s="3818" t="s">
        <v>3212</v>
      </c>
      <c r="J6" s="3818" t="s">
        <v>3196</v>
      </c>
      <c r="K6" s="3819">
        <v>44481.000497685185</v>
      </c>
      <c r="L6" s="3819">
        <v>44481.000497685185</v>
      </c>
      <c r="M6" s="3818" t="s">
        <v>3189</v>
      </c>
      <c r="N6" s="3818" t="s">
        <v>3213</v>
      </c>
      <c r="O6" s="3818">
        <v>11198.93</v>
      </c>
      <c r="P6" s="3818">
        <v>2300</v>
      </c>
      <c r="Q6" s="3818" t="s">
        <v>2534</v>
      </c>
      <c r="R6" s="3818">
        <v>11198.93</v>
      </c>
      <c r="S6" s="3818">
        <v>1354</v>
      </c>
      <c r="T6" s="3818">
        <v>0</v>
      </c>
    </row>
    <row r="7" spans="1:20">
      <c r="A7" s="3818" t="s">
        <v>3214</v>
      </c>
      <c r="B7" s="3818" t="s">
        <v>1737</v>
      </c>
      <c r="C7" s="3818" t="s">
        <v>3215</v>
      </c>
      <c r="D7" s="3818" t="s">
        <v>3211</v>
      </c>
      <c r="E7" s="3818">
        <v>17315.580000000002</v>
      </c>
      <c r="F7" s="3818">
        <v>20778.689999999999</v>
      </c>
      <c r="G7" s="3818" t="s">
        <v>3216</v>
      </c>
      <c r="H7" s="3818" t="s">
        <v>3186</v>
      </c>
      <c r="I7" s="3818" t="s">
        <v>3217</v>
      </c>
      <c r="J7" s="3818" t="s">
        <v>3196</v>
      </c>
      <c r="K7" s="3819">
        <v>44386.000497685185</v>
      </c>
      <c r="L7" s="3819">
        <v>44386.000497685185</v>
      </c>
      <c r="M7" s="3818" t="s">
        <v>3189</v>
      </c>
      <c r="N7" s="3818" t="s">
        <v>3218</v>
      </c>
      <c r="O7" s="3818">
        <v>4064.34</v>
      </c>
      <c r="P7" s="3818">
        <v>850</v>
      </c>
      <c r="Q7" s="3818" t="s">
        <v>2534</v>
      </c>
      <c r="R7" s="3818">
        <v>4064.34</v>
      </c>
      <c r="S7" s="3818">
        <v>1956</v>
      </c>
      <c r="T7" s="3818">
        <v>0</v>
      </c>
    </row>
    <row r="8" spans="1:20">
      <c r="A8" s="3818" t="s">
        <v>3219</v>
      </c>
      <c r="B8" s="3818" t="s">
        <v>1737</v>
      </c>
      <c r="C8" s="3818" t="s">
        <v>3220</v>
      </c>
      <c r="D8" s="3818" t="s">
        <v>3211</v>
      </c>
      <c r="E8" s="3818">
        <v>10677.25</v>
      </c>
      <c r="F8" s="3818">
        <v>21354.5</v>
      </c>
      <c r="G8" s="3818" t="s">
        <v>3221</v>
      </c>
      <c r="H8" s="3818" t="s">
        <v>3186</v>
      </c>
      <c r="I8" s="3818" t="s">
        <v>3217</v>
      </c>
      <c r="J8" s="3818" t="s">
        <v>3196</v>
      </c>
      <c r="K8" s="3819">
        <v>44386.000497685185</v>
      </c>
      <c r="L8" s="3819">
        <v>44386.000497685185</v>
      </c>
      <c r="M8" s="3818" t="s">
        <v>3189</v>
      </c>
      <c r="N8" s="3818" t="s">
        <v>3218</v>
      </c>
      <c r="O8" s="3818">
        <v>4133.82</v>
      </c>
      <c r="P8" s="3818">
        <v>850</v>
      </c>
      <c r="Q8" s="3818" t="s">
        <v>2534</v>
      </c>
      <c r="R8" s="3818">
        <v>4133.82</v>
      </c>
      <c r="S8" s="3818">
        <v>1936</v>
      </c>
      <c r="T8" s="3818">
        <v>0</v>
      </c>
    </row>
    <row r="9" spans="1:20">
      <c r="A9" s="3818" t="s">
        <v>3222</v>
      </c>
      <c r="B9" s="3818" t="s">
        <v>1737</v>
      </c>
      <c r="C9" s="3818" t="s">
        <v>3223</v>
      </c>
      <c r="D9" s="3818" t="s">
        <v>3211</v>
      </c>
      <c r="E9" s="3818">
        <v>20326.22</v>
      </c>
      <c r="F9" s="3818">
        <v>24391.47</v>
      </c>
      <c r="G9" s="3818" t="s">
        <v>3216</v>
      </c>
      <c r="H9" s="3818" t="s">
        <v>3186</v>
      </c>
      <c r="I9" s="3818" t="s">
        <v>3217</v>
      </c>
      <c r="J9" s="3818" t="s">
        <v>3196</v>
      </c>
      <c r="K9" s="3819">
        <v>44376.000497685185</v>
      </c>
      <c r="L9" s="3819">
        <v>44376.000497685185</v>
      </c>
      <c r="M9" s="3818" t="s">
        <v>3189</v>
      </c>
      <c r="N9" s="3818" t="s">
        <v>3224</v>
      </c>
      <c r="O9" s="3818">
        <v>4768.32</v>
      </c>
      <c r="P9" s="3818">
        <v>1000</v>
      </c>
      <c r="Q9" s="3818" t="s">
        <v>2534</v>
      </c>
      <c r="R9" s="3818">
        <v>4768.32</v>
      </c>
      <c r="S9" s="3818">
        <v>1955</v>
      </c>
      <c r="T9" s="3818">
        <v>0</v>
      </c>
    </row>
    <row r="10" spans="1:20">
      <c r="A10" s="3818" t="s">
        <v>3225</v>
      </c>
      <c r="B10" s="3818" t="s">
        <v>1737</v>
      </c>
      <c r="C10" s="3818" t="s">
        <v>3226</v>
      </c>
      <c r="D10" s="3818" t="s">
        <v>3194</v>
      </c>
      <c r="E10" s="3818">
        <v>17147.95</v>
      </c>
      <c r="F10" s="3818">
        <v>53158.65</v>
      </c>
      <c r="G10" s="3818" t="s">
        <v>3227</v>
      </c>
      <c r="H10" s="3818" t="s">
        <v>3186</v>
      </c>
      <c r="I10" s="3818" t="s">
        <v>3228</v>
      </c>
      <c r="J10" s="3818" t="s">
        <v>3196</v>
      </c>
      <c r="K10" s="3819">
        <v>44335.000497685185</v>
      </c>
      <c r="L10" s="3819">
        <v>44335.000497685185</v>
      </c>
      <c r="M10" s="3818" t="s">
        <v>3189</v>
      </c>
      <c r="N10" s="3818" t="s">
        <v>3190</v>
      </c>
      <c r="O10" s="3818">
        <v>69200</v>
      </c>
      <c r="P10" s="3818">
        <v>14000</v>
      </c>
      <c r="Q10" s="3818" t="s">
        <v>2534</v>
      </c>
      <c r="R10" s="3818">
        <v>69200</v>
      </c>
      <c r="S10" s="3818">
        <v>13018</v>
      </c>
      <c r="T10" s="3818">
        <v>0</v>
      </c>
    </row>
    <row r="11" spans="1:20">
      <c r="A11" s="3818" t="s">
        <v>3229</v>
      </c>
      <c r="B11" s="3818" t="s">
        <v>1737</v>
      </c>
      <c r="C11" s="3818" t="s">
        <v>3230</v>
      </c>
      <c r="D11" s="3818" t="s">
        <v>3184</v>
      </c>
      <c r="E11" s="3818">
        <v>104979.3</v>
      </c>
      <c r="F11" s="3818">
        <v>177256.92</v>
      </c>
      <c r="G11" s="3818" t="s">
        <v>3231</v>
      </c>
      <c r="H11" s="3818" t="s">
        <v>3186</v>
      </c>
      <c r="I11" s="3818" t="s">
        <v>3232</v>
      </c>
      <c r="J11" s="3818" t="s">
        <v>3233</v>
      </c>
      <c r="K11" s="3819">
        <v>44324.000497685185</v>
      </c>
      <c r="L11" s="3819">
        <v>44327.000497685185</v>
      </c>
      <c r="M11" s="3818" t="s">
        <v>3189</v>
      </c>
      <c r="N11" s="3818" t="s">
        <v>3234</v>
      </c>
      <c r="O11" s="3818">
        <v>447000</v>
      </c>
      <c r="P11" s="3818">
        <v>90000</v>
      </c>
      <c r="Q11" s="3818" t="s">
        <v>3235</v>
      </c>
      <c r="R11" s="3818">
        <v>451600</v>
      </c>
      <c r="S11" s="3818">
        <v>25477</v>
      </c>
      <c r="T11" s="3818">
        <v>1.03</v>
      </c>
    </row>
    <row r="12" spans="1:20">
      <c r="A12" s="3818" t="s">
        <v>3236</v>
      </c>
      <c r="B12" s="3818" t="s">
        <v>1737</v>
      </c>
      <c r="C12" s="3818" t="s">
        <v>3237</v>
      </c>
      <c r="D12" s="3818" t="s">
        <v>3184</v>
      </c>
      <c r="E12" s="3818">
        <v>124063.23</v>
      </c>
      <c r="F12" s="3818">
        <v>240662.81</v>
      </c>
      <c r="G12" s="3818" t="s">
        <v>3238</v>
      </c>
      <c r="H12" s="3818" t="s">
        <v>3186</v>
      </c>
      <c r="I12" s="3818" t="s">
        <v>3239</v>
      </c>
      <c r="J12" s="3818" t="s">
        <v>3233</v>
      </c>
      <c r="K12" s="3819">
        <v>44324.000497685185</v>
      </c>
      <c r="L12" s="3819">
        <v>44327.000497685185</v>
      </c>
      <c r="M12" s="3818" t="s">
        <v>3189</v>
      </c>
      <c r="N12" s="3818" t="s">
        <v>3240</v>
      </c>
      <c r="O12" s="3818">
        <v>358000</v>
      </c>
      <c r="P12" s="3818">
        <v>72000</v>
      </c>
      <c r="Q12" s="3818" t="s">
        <v>3235</v>
      </c>
      <c r="R12" s="3818">
        <v>411500</v>
      </c>
      <c r="S12" s="3818">
        <v>17099</v>
      </c>
      <c r="T12" s="3818">
        <v>14.94</v>
      </c>
    </row>
    <row r="13" spans="1:20" s="3456" customFormat="1">
      <c r="A13" s="3821" t="s">
        <v>3241</v>
      </c>
      <c r="B13" s="3821" t="s">
        <v>1737</v>
      </c>
      <c r="C13" s="3821" t="s">
        <v>3242</v>
      </c>
      <c r="D13" s="3821" t="s">
        <v>3184</v>
      </c>
      <c r="E13" s="3821">
        <v>44474.33</v>
      </c>
      <c r="F13" s="3821">
        <v>95931.32</v>
      </c>
      <c r="G13" s="3821" t="s">
        <v>3243</v>
      </c>
      <c r="H13" s="3821" t="s">
        <v>3186</v>
      </c>
      <c r="I13" s="3821" t="s">
        <v>3244</v>
      </c>
      <c r="J13" s="3821" t="s">
        <v>3233</v>
      </c>
      <c r="K13" s="3820">
        <v>44324.000497685185</v>
      </c>
      <c r="L13" s="3820">
        <v>44343.000497685185</v>
      </c>
      <c r="M13" s="3821" t="s">
        <v>3189</v>
      </c>
      <c r="N13" s="3821" t="s">
        <v>3245</v>
      </c>
      <c r="O13" s="3821">
        <v>179200</v>
      </c>
      <c r="P13" s="3821">
        <v>36000</v>
      </c>
      <c r="Q13" s="3821" t="s">
        <v>3235</v>
      </c>
      <c r="R13" s="3821">
        <v>224000</v>
      </c>
      <c r="S13" s="3821">
        <v>23350</v>
      </c>
      <c r="T13" s="3821">
        <v>25</v>
      </c>
    </row>
    <row r="14" spans="1:20">
      <c r="A14" s="3818" t="s">
        <v>3246</v>
      </c>
      <c r="B14" s="3818" t="s">
        <v>1737</v>
      </c>
      <c r="C14" s="3818" t="s">
        <v>3247</v>
      </c>
      <c r="D14" s="3818" t="s">
        <v>3194</v>
      </c>
      <c r="E14" s="3818">
        <v>22058.78</v>
      </c>
      <c r="F14" s="3818">
        <v>47390</v>
      </c>
      <c r="G14" s="3818" t="s">
        <v>3248</v>
      </c>
      <c r="H14" s="3818" t="s">
        <v>3186</v>
      </c>
      <c r="I14" s="3818" t="s">
        <v>3195</v>
      </c>
      <c r="J14" s="3818" t="s">
        <v>3196</v>
      </c>
      <c r="K14" s="3819">
        <v>44234.000497685185</v>
      </c>
      <c r="L14" s="3819">
        <v>44234.000497685185</v>
      </c>
      <c r="M14" s="3818" t="s">
        <v>3189</v>
      </c>
      <c r="N14" s="3818" t="s">
        <v>3249</v>
      </c>
      <c r="O14" s="3818">
        <v>32700</v>
      </c>
      <c r="P14" s="3818">
        <v>6600</v>
      </c>
      <c r="Q14" s="3818" t="s">
        <v>2534</v>
      </c>
      <c r="R14" s="3818">
        <v>32700</v>
      </c>
      <c r="S14" s="3818">
        <v>6900</v>
      </c>
      <c r="T14" s="3818">
        <v>0</v>
      </c>
    </row>
    <row r="15" spans="1:20">
      <c r="A15" s="3818" t="s">
        <v>3250</v>
      </c>
      <c r="B15" s="3818" t="s">
        <v>1737</v>
      </c>
      <c r="C15" s="3818" t="s">
        <v>3251</v>
      </c>
      <c r="D15" s="3818" t="s">
        <v>3211</v>
      </c>
      <c r="E15" s="3818">
        <v>106100</v>
      </c>
      <c r="F15" s="3818">
        <v>127300</v>
      </c>
      <c r="G15" s="3818" t="s">
        <v>3252</v>
      </c>
      <c r="H15" s="3818" t="s">
        <v>3186</v>
      </c>
      <c r="I15" s="3818" t="s">
        <v>3253</v>
      </c>
      <c r="J15" s="3818" t="s">
        <v>3196</v>
      </c>
      <c r="K15" s="3819">
        <v>44204.000497685185</v>
      </c>
      <c r="L15" s="3819">
        <v>44204.000497685185</v>
      </c>
      <c r="M15" s="3818" t="s">
        <v>3189</v>
      </c>
      <c r="N15" s="3818" t="s">
        <v>3254</v>
      </c>
      <c r="O15" s="3818">
        <v>9472.42</v>
      </c>
      <c r="P15" s="3818">
        <v>1900</v>
      </c>
      <c r="Q15" s="3818" t="s">
        <v>2534</v>
      </c>
      <c r="R15" s="3818">
        <v>9472.42</v>
      </c>
      <c r="S15" s="3818">
        <v>744</v>
      </c>
      <c r="T15" s="3818">
        <v>0</v>
      </c>
    </row>
    <row r="16" spans="1:20">
      <c r="A16" s="3818" t="s">
        <v>3255</v>
      </c>
      <c r="B16" s="3818" t="s">
        <v>1737</v>
      </c>
      <c r="C16" s="3818" t="s">
        <v>3256</v>
      </c>
      <c r="D16" s="3818" t="s">
        <v>3184</v>
      </c>
      <c r="E16" s="3818">
        <v>37814.6</v>
      </c>
      <c r="F16" s="3818">
        <v>77172</v>
      </c>
      <c r="G16" s="3818" t="s">
        <v>3257</v>
      </c>
      <c r="H16" s="3818" t="s">
        <v>3186</v>
      </c>
      <c r="I16" s="3818" t="s">
        <v>3205</v>
      </c>
      <c r="J16" s="3818" t="s">
        <v>3196</v>
      </c>
      <c r="K16" s="3819">
        <v>44026.000497685185</v>
      </c>
      <c r="L16" s="3819">
        <v>44026.000497685185</v>
      </c>
      <c r="M16" s="3818" t="s">
        <v>3189</v>
      </c>
      <c r="N16" s="3818" t="s">
        <v>3258</v>
      </c>
      <c r="O16" s="3818">
        <v>113100</v>
      </c>
      <c r="P16" s="3818">
        <v>22650</v>
      </c>
      <c r="Q16" s="3818" t="s">
        <v>3259</v>
      </c>
      <c r="R16" s="3818">
        <v>124000</v>
      </c>
      <c r="S16" s="3818">
        <v>16068</v>
      </c>
      <c r="T16" s="3818">
        <v>9.64</v>
      </c>
    </row>
    <row r="17" spans="1:20" s="3456" customFormat="1">
      <c r="A17" s="3821" t="s">
        <v>3260</v>
      </c>
      <c r="B17" s="3821" t="s">
        <v>1737</v>
      </c>
      <c r="C17" s="3821" t="s">
        <v>3261</v>
      </c>
      <c r="D17" s="3821" t="s">
        <v>3184</v>
      </c>
      <c r="E17" s="3821">
        <v>27525.64</v>
      </c>
      <c r="F17" s="3821">
        <v>50251</v>
      </c>
      <c r="G17" s="3821" t="s">
        <v>3262</v>
      </c>
      <c r="H17" s="3821" t="s">
        <v>3186</v>
      </c>
      <c r="I17" s="3821" t="s">
        <v>3205</v>
      </c>
      <c r="J17" s="3821" t="s">
        <v>3196</v>
      </c>
      <c r="K17" s="3820">
        <v>43879.000497685185</v>
      </c>
      <c r="L17" s="3820">
        <v>43879.000497685185</v>
      </c>
      <c r="M17" s="3821" t="s">
        <v>3189</v>
      </c>
      <c r="N17" s="3821" t="s">
        <v>3263</v>
      </c>
      <c r="O17" s="3821">
        <v>90000</v>
      </c>
      <c r="P17" s="3821">
        <v>18000</v>
      </c>
      <c r="Q17" s="3821" t="s">
        <v>3264</v>
      </c>
      <c r="R17" s="3821">
        <v>134800</v>
      </c>
      <c r="S17" s="3821">
        <v>26825</v>
      </c>
      <c r="T17" s="3821">
        <v>49.78</v>
      </c>
    </row>
    <row r="18" spans="1:20" s="3456" customFormat="1">
      <c r="A18" s="3821" t="s">
        <v>3265</v>
      </c>
      <c r="B18" s="3821" t="s">
        <v>1737</v>
      </c>
      <c r="C18" s="3821" t="s">
        <v>3266</v>
      </c>
      <c r="D18" s="3821" t="s">
        <v>3184</v>
      </c>
      <c r="E18" s="3821">
        <v>99023.27</v>
      </c>
      <c r="F18" s="3821">
        <v>220184.56</v>
      </c>
      <c r="G18" s="3821" t="s">
        <v>3267</v>
      </c>
      <c r="H18" s="3821" t="s">
        <v>3186</v>
      </c>
      <c r="I18" s="3821" t="s">
        <v>3205</v>
      </c>
      <c r="J18" s="3821" t="s">
        <v>3196</v>
      </c>
      <c r="K18" s="3820">
        <v>43872.000497685185</v>
      </c>
      <c r="L18" s="3820">
        <v>43872.000497685185</v>
      </c>
      <c r="M18" s="3821" t="s">
        <v>3189</v>
      </c>
      <c r="N18" s="3821" t="s">
        <v>3268</v>
      </c>
      <c r="O18" s="3821">
        <v>380000</v>
      </c>
      <c r="P18" s="3821">
        <v>76000</v>
      </c>
      <c r="Q18" s="3821" t="s">
        <v>3269</v>
      </c>
      <c r="R18" s="3821">
        <v>467000</v>
      </c>
      <c r="S18" s="3821">
        <v>21209</v>
      </c>
      <c r="T18" s="3821">
        <v>22.89</v>
      </c>
    </row>
    <row r="19" spans="1:20">
      <c r="A19" s="3818" t="s">
        <v>3270</v>
      </c>
      <c r="B19" s="3818" t="s">
        <v>1737</v>
      </c>
      <c r="C19" s="3818" t="s">
        <v>3271</v>
      </c>
      <c r="D19" s="3818" t="s">
        <v>3194</v>
      </c>
      <c r="E19" s="3818">
        <v>28003.32</v>
      </c>
      <c r="F19" s="3818">
        <v>70008</v>
      </c>
      <c r="G19" s="3818" t="s">
        <v>3272</v>
      </c>
      <c r="H19" s="3818" t="s">
        <v>3186</v>
      </c>
      <c r="I19" s="3818" t="s">
        <v>3195</v>
      </c>
      <c r="J19" s="3818" t="s">
        <v>3196</v>
      </c>
      <c r="K19" s="3819">
        <v>43755.000497685185</v>
      </c>
      <c r="L19" s="3819">
        <v>43755.000497685185</v>
      </c>
      <c r="M19" s="3818" t="s">
        <v>3189</v>
      </c>
      <c r="N19" s="3818" t="s">
        <v>3273</v>
      </c>
      <c r="O19" s="3818">
        <v>96800</v>
      </c>
      <c r="P19" s="3818">
        <v>19500</v>
      </c>
      <c r="Q19" s="3818" t="s">
        <v>3274</v>
      </c>
      <c r="R19" s="3818">
        <v>97800</v>
      </c>
      <c r="S19" s="3818">
        <v>13970</v>
      </c>
      <c r="T19" s="3818">
        <v>1.03</v>
      </c>
    </row>
    <row r="20" spans="1:20" s="3456" customFormat="1">
      <c r="A20" s="3821" t="s">
        <v>3275</v>
      </c>
      <c r="B20" s="3821" t="s">
        <v>1737</v>
      </c>
      <c r="C20" s="3821" t="s">
        <v>3276</v>
      </c>
      <c r="D20" s="3821" t="s">
        <v>3184</v>
      </c>
      <c r="E20" s="3821">
        <v>73240.63</v>
      </c>
      <c r="F20" s="3821">
        <v>153989</v>
      </c>
      <c r="G20" s="3821" t="s">
        <v>3257</v>
      </c>
      <c r="H20" s="3821" t="s">
        <v>3186</v>
      </c>
      <c r="I20" s="3821" t="s">
        <v>3277</v>
      </c>
      <c r="J20" s="3821" t="s">
        <v>3196</v>
      </c>
      <c r="K20" s="3820">
        <v>43753.000497685185</v>
      </c>
      <c r="L20" s="3820">
        <v>43753.000497685185</v>
      </c>
      <c r="M20" s="3821" t="s">
        <v>3189</v>
      </c>
      <c r="N20" s="3821" t="s">
        <v>3278</v>
      </c>
      <c r="O20" s="3821">
        <v>332000</v>
      </c>
      <c r="P20" s="3821">
        <v>66400</v>
      </c>
      <c r="Q20" s="3821" t="s">
        <v>3279</v>
      </c>
      <c r="R20" s="3821">
        <v>332000</v>
      </c>
      <c r="S20" s="3821">
        <v>21560</v>
      </c>
      <c r="T20" s="3821">
        <v>0</v>
      </c>
    </row>
    <row r="24" spans="1:20">
      <c r="A24" s="3457" t="s">
        <v>3241</v>
      </c>
    </row>
    <row r="56" spans="1:1">
      <c r="A56" s="3457" t="s">
        <v>3275</v>
      </c>
    </row>
    <row r="67" spans="1:1">
      <c r="A67" s="3457" t="s">
        <v>3265</v>
      </c>
    </row>
    <row r="95" spans="1:1">
      <c r="A95" s="3457" t="s">
        <v>3260</v>
      </c>
    </row>
    <row r="130" spans="1:4">
      <c r="A130" s="3482" t="s">
        <v>3320</v>
      </c>
      <c r="D130" s="3482" t="s">
        <v>3325</v>
      </c>
    </row>
    <row r="158" spans="1:4">
      <c r="A158" s="3482" t="s">
        <v>3321</v>
      </c>
      <c r="D158" s="3482" t="s">
        <v>3324</v>
      </c>
    </row>
    <row r="188" spans="1:4">
      <c r="A188" s="3482" t="s">
        <v>3322</v>
      </c>
      <c r="D188" s="3482" t="s">
        <v>3323</v>
      </c>
    </row>
  </sheetData>
  <mergeCells count="400">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2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97"/>
  <sheetViews>
    <sheetView topLeftCell="A97" workbookViewId="0">
      <selection activeCell="I130" sqref="I130"/>
    </sheetView>
  </sheetViews>
  <sheetFormatPr defaultRowHeight="14.4"/>
  <sheetData>
    <row r="43" spans="1:1" ht="19.8">
      <c r="A43" s="3489" t="s">
        <v>3332</v>
      </c>
    </row>
    <row r="70" spans="1:1" ht="19.8">
      <c r="A70" s="3489" t="s">
        <v>3333</v>
      </c>
    </row>
    <row r="97" spans="1:1" ht="19.8">
      <c r="A97" s="3489" t="s">
        <v>3334</v>
      </c>
    </row>
  </sheetData>
  <phoneticPr fontId="22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4" sqref="Q44"/>
    </sheetView>
  </sheetViews>
  <sheetFormatPr defaultColWidth="12" defaultRowHeight="12"/>
  <cols>
    <col min="1" max="1" width="9.77734375" style="1308" customWidth="1"/>
    <col min="2" max="2" width="20.88671875" style="1423" customWidth="1"/>
    <col min="3" max="4" width="12" style="1309"/>
    <col min="5" max="5" width="14.6640625" style="1309" customWidth="1"/>
    <col min="6" max="8" width="12" style="1309"/>
    <col min="9" max="9" width="12.21875" style="1309" bestFit="1" customWidth="1"/>
    <col min="10" max="10" width="12" style="1309"/>
    <col min="11" max="11" width="9.6640625" style="1306" customWidth="1"/>
    <col min="12" max="12" width="12" style="1309"/>
    <col min="13" max="14" width="10.6640625" style="1309" customWidth="1"/>
    <col min="15" max="17" width="12" style="1309"/>
    <col min="18" max="18" width="12" style="1308"/>
    <col min="19" max="22" width="15.44140625" style="1308" customWidth="1"/>
    <col min="23" max="28" width="12" style="1309"/>
    <col min="29" max="29" width="9.33203125" style="1308" customWidth="1"/>
    <col min="30" max="35" width="9.33203125" style="1307" customWidth="1"/>
    <col min="36" max="39" width="9.33203125" style="1308" customWidth="1"/>
    <col min="40" max="41" width="9.33203125" style="1309" customWidth="1"/>
    <col min="42" max="16384" width="12" style="1309"/>
  </cols>
  <sheetData>
    <row r="1" spans="1:39" ht="20.399999999999999">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1436</v>
      </c>
      <c r="T1" s="2575" t="s">
        <v>2500</v>
      </c>
      <c r="U1" s="2575" t="s">
        <v>2501</v>
      </c>
      <c r="V1" s="2575" t="s">
        <v>971</v>
      </c>
      <c r="W1" s="2024"/>
      <c r="X1" s="2024"/>
      <c r="Y1" s="2024"/>
      <c r="Z1" s="2024"/>
      <c r="AA1" s="2024"/>
      <c r="AB1" s="2024"/>
      <c r="AC1" s="2025"/>
    </row>
    <row r="2" spans="1:39" ht="15.6">
      <c r="A2" s="1310" t="s">
        <v>899</v>
      </c>
      <c r="B2" s="1007">
        <f>结果表新!C18</f>
        <v>99796</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6">
      <c r="A3" s="1315" t="s">
        <v>1487</v>
      </c>
      <c r="B3" s="1007">
        <f>结果表新!C19</f>
        <v>10084</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31.2">
      <c r="A4" s="1760" t="s">
        <v>2071</v>
      </c>
      <c r="B4" s="2262">
        <f>结果表新!C21</f>
        <v>30901</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6"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6" thickBot="1">
      <c r="A6" s="1522" t="s">
        <v>1666</v>
      </c>
      <c r="B6" s="1326" t="s">
        <v>910</v>
      </c>
      <c r="C6" s="1011">
        <f>SUMIF(L1:L12,'基准地价-结果链接'!G2,M1:M12)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20"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3472" t="s">
        <v>2481</v>
      </c>
      <c r="X7" s="2566">
        <f>G2</f>
        <v>0</v>
      </c>
      <c r="Y7" s="2566" t="s">
        <v>2482</v>
      </c>
      <c r="Z7" s="2567">
        <f>G3</f>
        <v>4</v>
      </c>
      <c r="AA7" s="2027"/>
      <c r="AB7" s="2027"/>
      <c r="AC7" s="2028"/>
      <c r="AD7" s="2568"/>
      <c r="AE7" s="2568"/>
      <c r="AF7" s="2568"/>
      <c r="AG7" s="2568"/>
      <c r="AH7" s="2568"/>
      <c r="AI7" s="2568"/>
      <c r="AJ7" s="2569"/>
    </row>
    <row r="8" spans="1:39" ht="15">
      <c r="A8" s="3721"/>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31" t="s">
        <v>2499</v>
      </c>
      <c r="X8" s="3732"/>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21"/>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30"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21"/>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30"/>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21"/>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30"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8" thickBot="1">
      <c r="A12" s="3720"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30"/>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22"/>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30"/>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22"/>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23"/>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20" t="s">
        <v>1638</v>
      </c>
      <c r="B16" s="1331" t="s">
        <v>929</v>
      </c>
      <c r="C16" s="1021" t="e">
        <f>ROUND(IF(F17="与级别开发程度一致",0,(G17-E17)/C17),0)</f>
        <v>#DIV/0!</v>
      </c>
      <c r="D16" s="3738" t="s">
        <v>933</v>
      </c>
      <c r="E16" s="3739"/>
      <c r="F16" s="3738" t="s">
        <v>930</v>
      </c>
      <c r="G16" s="3739"/>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8" thickBot="1">
      <c r="A17" s="3724"/>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 thickBot="1">
      <c r="A18" s="2419" t="s">
        <v>1626</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9.4" thickBot="1">
      <c r="A19" s="1523" t="s">
        <v>1627</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44756</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9.4" thickBot="1">
      <c r="A20" s="2419" t="s">
        <v>1628</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4">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4">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4">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24">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6"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36">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3.2">
      <c r="A33" s="3727"/>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27"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3.2">
      <c r="A34" s="3728"/>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28"/>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3.2">
      <c r="A35" s="3728"/>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28"/>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8" thickBot="1">
      <c r="A36" s="3729"/>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29"/>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3.2">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3.2">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8"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24">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4.4">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48">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36">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36.6"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4.4">
      <c r="A56" s="2233" t="s">
        <v>963</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2042</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48">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48">
      <c r="A61" s="1032" t="s">
        <v>1002</v>
      </c>
      <c r="B61" s="2703" t="s">
        <v>2639</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36">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36.6"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4.4">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2042</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60">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3.8">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36">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36">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36.6"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4.4">
      <c r="A78" s="2233" t="s">
        <v>964</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2042</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3.8">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36">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48.6"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25" t="s">
        <v>1434</v>
      </c>
      <c r="B90" s="3725"/>
      <c r="C90" s="3725"/>
      <c r="D90" s="3725"/>
      <c r="E90" s="3725"/>
      <c r="F90" s="3725"/>
      <c r="G90" s="3725"/>
      <c r="H90" s="3725"/>
      <c r="I90" s="3725"/>
      <c r="J90" s="3725"/>
      <c r="K90" s="3470"/>
      <c r="L90" s="3470"/>
      <c r="M90" s="3470"/>
      <c r="N90" s="3470"/>
    </row>
    <row r="91" spans="1:40">
      <c r="A91" s="3726" t="s">
        <v>1422</v>
      </c>
      <c r="B91" s="3726" t="s">
        <v>1435</v>
      </c>
      <c r="C91" s="1086" t="s">
        <v>1436</v>
      </c>
      <c r="D91" s="1087"/>
      <c r="E91" s="1087"/>
      <c r="F91" s="1087"/>
      <c r="G91" s="1087"/>
      <c r="H91" s="1087"/>
      <c r="I91" s="1087"/>
      <c r="J91" s="1088"/>
      <c r="K91" s="1080"/>
      <c r="L91" s="1080"/>
      <c r="M91" s="1080"/>
      <c r="N91" s="1080"/>
    </row>
    <row r="92" spans="1:40">
      <c r="A92" s="3726"/>
      <c r="B92" s="3726"/>
      <c r="C92" s="3471" t="s">
        <v>886</v>
      </c>
      <c r="D92" s="3471" t="s">
        <v>864</v>
      </c>
      <c r="E92" s="3471" t="s">
        <v>865</v>
      </c>
      <c r="F92" s="3471" t="s">
        <v>889</v>
      </c>
      <c r="G92" s="3471" t="s">
        <v>867</v>
      </c>
      <c r="H92" s="3471" t="s">
        <v>868</v>
      </c>
      <c r="I92" s="3471" t="s">
        <v>869</v>
      </c>
      <c r="J92" s="3471" t="s">
        <v>870</v>
      </c>
      <c r="K92" s="3471" t="s">
        <v>894</v>
      </c>
      <c r="L92" s="3471" t="s">
        <v>872</v>
      </c>
      <c r="M92" s="3471" t="s">
        <v>873</v>
      </c>
      <c r="N92" s="3471" t="s">
        <v>874</v>
      </c>
    </row>
    <row r="93" spans="1:40">
      <c r="A93" s="3733"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34"/>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34"/>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34"/>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34"/>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34"/>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34"/>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35"/>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33" t="s">
        <v>1438</v>
      </c>
      <c r="B101" s="1093" t="s">
        <v>862</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34"/>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34"/>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34"/>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34"/>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34"/>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34"/>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34"/>
      <c r="B108" s="3736"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35"/>
      <c r="B109" s="3737"/>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19" t="s">
        <v>1440</v>
      </c>
      <c r="B110" s="3719"/>
      <c r="C110" s="3719"/>
      <c r="D110" s="3719"/>
      <c r="E110" s="3719"/>
      <c r="F110" s="3719"/>
      <c r="G110" s="3719"/>
      <c r="H110" s="3719"/>
      <c r="I110" s="3719"/>
      <c r="J110" s="3719"/>
      <c r="K110" s="3469"/>
      <c r="L110" s="3469"/>
      <c r="M110" s="3469"/>
      <c r="N110" s="3469"/>
    </row>
    <row r="112" spans="1:14" ht="12.6" thickBot="1"/>
    <row r="113" spans="1:13" ht="25.8"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3.2">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3.2">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3.2">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3.2">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8"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96" t="s">
        <v>1830</v>
      </c>
      <c r="B1" s="3496"/>
      <c r="C1" s="3496"/>
      <c r="D1" s="3496"/>
      <c r="E1" s="3496"/>
      <c r="F1" s="3496"/>
      <c r="G1" s="3496"/>
      <c r="H1" s="3496"/>
      <c r="I1" s="3496"/>
      <c r="J1" s="3496"/>
      <c r="K1" s="3496"/>
      <c r="L1" s="3496"/>
      <c r="M1" s="3496"/>
      <c r="N1" s="3496"/>
      <c r="O1" s="3496"/>
      <c r="P1" s="3496"/>
      <c r="Q1" s="3496"/>
      <c r="R1" s="3496"/>
    </row>
    <row r="2" spans="1:18">
      <c r="A2" s="1677" t="s">
        <v>1832</v>
      </c>
      <c r="B2" s="1677"/>
      <c r="C2" s="1677"/>
      <c r="D2" s="1677"/>
      <c r="E2" s="1677"/>
      <c r="F2" s="1677"/>
      <c r="G2" s="1677"/>
      <c r="H2" s="1677"/>
      <c r="I2" s="1678"/>
      <c r="J2" s="1678"/>
      <c r="K2" s="1679" t="str">
        <f>"估价期日："&amp;TEXT(项目基本情况!D3,"yyyy年m月d日;;")</f>
        <v>估价期日：2022年7月14日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97" t="s">
        <v>1821</v>
      </c>
      <c r="B3" s="3497" t="s">
        <v>2448</v>
      </c>
      <c r="C3" s="3498" t="s">
        <v>1822</v>
      </c>
      <c r="D3" s="3497" t="s">
        <v>2452</v>
      </c>
      <c r="E3" s="3492" t="s">
        <v>1823</v>
      </c>
      <c r="F3" s="3492"/>
      <c r="G3" s="3492"/>
      <c r="H3" s="3492" t="s">
        <v>1824</v>
      </c>
      <c r="I3" s="3492"/>
      <c r="J3" s="3492"/>
      <c r="K3" s="3498" t="s">
        <v>1825</v>
      </c>
      <c r="L3" s="3498" t="s">
        <v>1826</v>
      </c>
      <c r="M3" s="3497" t="s">
        <v>2449</v>
      </c>
      <c r="N3" s="3499" t="str">
        <f>"（分摊）"&amp;项目基本情况!B16&amp;"国有建设用地使用权面积/㎡"</f>
        <v>（分摊）出让国有建设用地使用权面积/㎡</v>
      </c>
      <c r="O3" s="3497" t="s">
        <v>1855</v>
      </c>
      <c r="P3" s="3498" t="s">
        <v>1835</v>
      </c>
      <c r="Q3" s="3498" t="s">
        <v>1856</v>
      </c>
      <c r="R3" s="3498" t="s">
        <v>1827</v>
      </c>
    </row>
    <row r="4" spans="1:18" ht="36.75" customHeight="1">
      <c r="A4" s="3497"/>
      <c r="B4" s="3497"/>
      <c r="C4" s="3498"/>
      <c r="D4" s="3497"/>
      <c r="E4" s="2413" t="s">
        <v>1834</v>
      </c>
      <c r="F4" s="2413" t="s">
        <v>2461</v>
      </c>
      <c r="G4" s="2413" t="s">
        <v>1828</v>
      </c>
      <c r="H4" s="2413" t="s">
        <v>1829</v>
      </c>
      <c r="I4" s="2413" t="s">
        <v>2462</v>
      </c>
      <c r="J4" s="2413" t="s">
        <v>1828</v>
      </c>
      <c r="K4" s="3498"/>
      <c r="L4" s="3498"/>
      <c r="M4" s="3497"/>
      <c r="N4" s="3499"/>
      <c r="O4" s="3497"/>
      <c r="P4" s="3498"/>
      <c r="Q4" s="3498"/>
      <c r="R4" s="3498"/>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32294.89</v>
      </c>
      <c r="O5" s="1680">
        <f>项目基本情况!C21</f>
        <v>98965.430000000008</v>
      </c>
      <c r="P5" s="1680">
        <f ca="1">结果表!E42</f>
        <v>44363</v>
      </c>
      <c r="Q5" s="1680">
        <f ca="1">结果表!D42</f>
        <v>14477</v>
      </c>
      <c r="R5" s="1681">
        <f ca="1">结果表!C42</f>
        <v>143270</v>
      </c>
    </row>
    <row r="6" spans="1:18">
      <c r="A6" s="3493" t="str">
        <f>IF(项目基本情况!B9="市场价格","——","抵押价格")</f>
        <v>抵押价格</v>
      </c>
      <c r="B6" s="3494"/>
      <c r="C6" s="3494"/>
      <c r="D6" s="3494"/>
      <c r="E6" s="3494"/>
      <c r="F6" s="3494"/>
      <c r="G6" s="3494"/>
      <c r="H6" s="3494"/>
      <c r="I6" s="3494"/>
      <c r="J6" s="3494"/>
      <c r="K6" s="3494"/>
      <c r="L6" s="3494"/>
      <c r="M6" s="3494"/>
      <c r="N6" s="3494"/>
      <c r="O6" s="3494"/>
      <c r="P6" s="3494"/>
      <c r="Q6" s="3495"/>
      <c r="R6" s="1682">
        <f ca="1">结果表!O39</f>
        <v>141811</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682" t="str">
        <f>结果表!O40</f>
        <v>——</v>
      </c>
    </row>
    <row r="8" spans="1:18">
      <c r="A8" s="3493">
        <f>IF(项目基本情况!B9="市场价格","——",项目基本情况!E9)</f>
        <v>0</v>
      </c>
      <c r="B8" s="3494"/>
      <c r="C8" s="3494"/>
      <c r="D8" s="3494"/>
      <c r="E8" s="3494"/>
      <c r="F8" s="3494"/>
      <c r="G8" s="3494"/>
      <c r="H8" s="3494"/>
      <c r="I8" s="3494"/>
      <c r="J8" s="3494"/>
      <c r="K8" s="3494"/>
      <c r="L8" s="3494"/>
      <c r="M8" s="3494"/>
      <c r="N8" s="3494"/>
      <c r="O8" s="3494"/>
      <c r="P8" s="3494"/>
      <c r="Q8" s="3495"/>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72" customWidth="1"/>
    <col min="2" max="3" width="21.33203125" style="1672" customWidth="1"/>
    <col min="4" max="4" width="19.88671875" style="1672" customWidth="1"/>
    <col min="5" max="16384" width="9" style="1672"/>
  </cols>
  <sheetData>
    <row r="1" spans="1:4">
      <c r="A1" s="3500" t="s">
        <v>1857</v>
      </c>
      <c r="B1" s="3500"/>
      <c r="C1" s="3500"/>
      <c r="D1" s="3500"/>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503" t="s">
        <v>1858</v>
      </c>
      <c r="B5" s="3503"/>
      <c r="C5" s="3503"/>
      <c r="D5" s="3503"/>
    </row>
    <row r="6" spans="1:4">
      <c r="A6" s="3500" t="s">
        <v>1836</v>
      </c>
      <c r="B6" s="3500"/>
      <c r="C6" s="3500"/>
      <c r="D6" s="3500"/>
    </row>
    <row r="7" spans="1:4" ht="33" customHeight="1">
      <c r="A7" s="3500" t="s">
        <v>2292</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0"/>
      <c r="C8" s="3500"/>
      <c r="D8" s="3500"/>
    </row>
    <row r="9" spans="1:4" ht="33.75" customHeight="1">
      <c r="A9" s="35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0"/>
      <c r="C9" s="3500"/>
      <c r="D9" s="3500"/>
    </row>
    <row r="10" spans="1:4">
      <c r="A10" s="3500" t="str">
        <f>IF(项目基本情况!B8="抵押","4.估价师所知悉的法定优先受偿款情况为：","——")</f>
        <v>4.估价师所知悉的法定优先受偿款情况为：</v>
      </c>
      <c r="B10" s="3500"/>
      <c r="C10" s="3500"/>
      <c r="D10" s="3500"/>
    </row>
    <row r="11" spans="1:4" ht="37.5" customHeight="1">
      <c r="A11" s="35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2"/>
      <c r="C11" s="3502"/>
      <c r="D11" s="3502"/>
    </row>
    <row r="12" spans="1:4" ht="168" customHeight="1">
      <c r="A12" s="3503" t="s">
        <v>1860</v>
      </c>
      <c r="B12" s="3503"/>
      <c r="C12" s="3503"/>
      <c r="D12" s="3503"/>
    </row>
    <row r="13" spans="1:4">
      <c r="A13" s="3501" t="s">
        <v>2463</v>
      </c>
      <c r="B13" s="3501"/>
      <c r="C13" s="3501"/>
      <c r="D13" s="3501"/>
    </row>
    <row r="14" spans="1:4">
      <c r="A14" s="3502" t="str">
        <f>IF(项目基本情况!B8="抵押","综上，"&amp;结果表!K47,"——")</f>
        <v>综上，本次评估估价师知悉的法定优先受偿款为人民币1459万元整。</v>
      </c>
      <c r="B14" s="3502"/>
      <c r="C14" s="3502"/>
      <c r="D14" s="3502"/>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2419</v>
      </c>
      <c r="B17" s="3500"/>
      <c r="C17" s="3500"/>
      <c r="D17" s="3500"/>
    </row>
    <row r="18" spans="1:4">
      <c r="A18" s="3500" t="s">
        <v>2411</v>
      </c>
      <c r="B18" s="3500"/>
      <c r="C18" s="3500"/>
      <c r="D18" s="3500"/>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500" t="s">
        <v>2416</v>
      </c>
      <c r="B23" s="3500"/>
      <c r="C23" s="3500"/>
      <c r="D23" s="3500"/>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11" customWidth="1"/>
    <col min="2" max="16384" width="14.44140625" style="1109"/>
  </cols>
  <sheetData>
    <row r="1" spans="1:7" s="1107" customFormat="1" ht="17.399999999999999">
      <c r="A1" s="1106" t="s">
        <v>65</v>
      </c>
    </row>
    <row r="3" spans="1:7">
      <c r="A3" s="1108" t="s">
        <v>66</v>
      </c>
      <c r="B3" s="1109" t="s">
        <v>67</v>
      </c>
      <c r="G3" s="1110"/>
    </row>
    <row r="4" spans="1:7">
      <c r="G4" s="1110"/>
    </row>
    <row r="5" spans="1:7">
      <c r="A5" s="1112" t="s">
        <v>45</v>
      </c>
      <c r="B5" s="1109" t="s">
        <v>46</v>
      </c>
      <c r="G5" s="1110"/>
    </row>
    <row r="6" spans="1:7">
      <c r="G6" s="1110"/>
    </row>
    <row r="7" spans="1:7">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4">
      <c r="A15" s="3512" t="s">
        <v>53</v>
      </c>
      <c r="B15" s="3513" t="s">
        <v>826</v>
      </c>
      <c r="C15" s="3509"/>
    </row>
    <row r="16" spans="1:7" ht="14.4">
      <c r="A16" s="3512"/>
      <c r="B16" s="3510" t="s">
        <v>54</v>
      </c>
      <c r="C16" s="1118" t="s">
        <v>53</v>
      </c>
    </row>
    <row r="17" spans="1:3" ht="14.4">
      <c r="A17" s="3512"/>
      <c r="B17" s="3510"/>
      <c r="C17" s="1118" t="s">
        <v>55</v>
      </c>
    </row>
    <row r="18" spans="1:3" ht="14.4">
      <c r="A18" s="3512"/>
      <c r="B18" s="3510"/>
      <c r="C18" s="1118" t="s">
        <v>56</v>
      </c>
    </row>
    <row r="19" spans="1:3" ht="14.4">
      <c r="A19" s="3512"/>
      <c r="B19" s="3508" t="s">
        <v>57</v>
      </c>
      <c r="C19" s="3509"/>
    </row>
    <row r="20" spans="1:3" ht="14.4">
      <c r="A20" s="1119" t="s">
        <v>58</v>
      </c>
      <c r="B20" s="1120"/>
      <c r="C20" s="1121"/>
    </row>
    <row r="21" spans="1:3" ht="14.4">
      <c r="A21" s="3511" t="s">
        <v>59</v>
      </c>
      <c r="B21" s="3508" t="s">
        <v>60</v>
      </c>
      <c r="C21" s="3509"/>
    </row>
    <row r="22" spans="1:3" ht="14.4">
      <c r="A22" s="3511"/>
      <c r="B22" s="3508" t="s">
        <v>61</v>
      </c>
      <c r="C22" s="3509"/>
    </row>
    <row r="23" spans="1:3" ht="14.4">
      <c r="A23" s="3511"/>
      <c r="B23" s="3508" t="s">
        <v>62</v>
      </c>
      <c r="C23" s="3509"/>
    </row>
    <row r="24" spans="1:3" ht="14.4">
      <c r="A24" s="3511"/>
      <c r="B24" s="3514" t="s">
        <v>63</v>
      </c>
      <c r="C24" s="1122" t="s">
        <v>817</v>
      </c>
    </row>
    <row r="25" spans="1:3" ht="14.4">
      <c r="A25" s="3511"/>
      <c r="B25" s="3515"/>
      <c r="C25" s="1122" t="s">
        <v>818</v>
      </c>
    </row>
    <row r="26" spans="1:3" ht="14.4">
      <c r="A26" s="3511"/>
      <c r="B26" s="3515"/>
      <c r="C26" s="1122" t="s">
        <v>819</v>
      </c>
    </row>
    <row r="27" spans="1:3" ht="14.4">
      <c r="A27" s="3511"/>
      <c r="B27" s="3515"/>
      <c r="C27" s="1122" t="s">
        <v>820</v>
      </c>
    </row>
    <row r="28" spans="1:3" ht="14.4">
      <c r="A28" s="3511"/>
      <c r="B28" s="3515"/>
      <c r="C28" s="1122" t="s">
        <v>821</v>
      </c>
    </row>
    <row r="29" spans="1:3" ht="14.4">
      <c r="A29" s="3511"/>
      <c r="B29" s="3515"/>
      <c r="C29" s="1122" t="s">
        <v>822</v>
      </c>
    </row>
    <row r="30" spans="1:3" ht="14.4">
      <c r="A30" s="3511"/>
      <c r="B30" s="3515"/>
      <c r="C30" s="1122" t="s">
        <v>823</v>
      </c>
    </row>
    <row r="31" spans="1:3" ht="14.4">
      <c r="A31" s="3511"/>
      <c r="B31" s="3515"/>
      <c r="C31" s="1122" t="s">
        <v>824</v>
      </c>
    </row>
    <row r="32" spans="1:3" ht="14.4">
      <c r="A32" s="3511"/>
      <c r="B32" s="3515"/>
      <c r="C32" s="1122" t="s">
        <v>1446</v>
      </c>
    </row>
    <row r="33" spans="1:3" ht="14.4">
      <c r="A33" s="3511"/>
      <c r="B33" s="3505" t="s">
        <v>1452</v>
      </c>
      <c r="C33" s="1122" t="s">
        <v>1447</v>
      </c>
    </row>
    <row r="34" spans="1:3" ht="14.4">
      <c r="A34" s="3511"/>
      <c r="B34" s="3506"/>
      <c r="C34" s="1127" t="s">
        <v>1448</v>
      </c>
    </row>
    <row r="35" spans="1:3" ht="14.4">
      <c r="A35" s="3511"/>
      <c r="B35" s="3506"/>
      <c r="C35" s="1128" t="s">
        <v>1449</v>
      </c>
    </row>
    <row r="36" spans="1:3" ht="14.4">
      <c r="A36" s="3511"/>
      <c r="B36" s="3506"/>
      <c r="C36" s="1128" t="s">
        <v>1450</v>
      </c>
    </row>
    <row r="37" spans="1:3" ht="14.4">
      <c r="A37" s="3511"/>
      <c r="B37" s="3507"/>
      <c r="C37" s="1129" t="s">
        <v>1451</v>
      </c>
    </row>
    <row r="38" spans="1:3">
      <c r="A38" s="1123" t="s">
        <v>825</v>
      </c>
    </row>
    <row r="41" spans="1:3">
      <c r="A41" s="1123" t="s">
        <v>68</v>
      </c>
    </row>
    <row r="42" spans="1:3" ht="14.4">
      <c r="A42" s="1124" t="s">
        <v>833</v>
      </c>
    </row>
    <row r="43" spans="1:3" ht="14.4">
      <c r="A43" s="1125" t="s">
        <v>69</v>
      </c>
    </row>
    <row r="44" spans="1:3" ht="14.4">
      <c r="A44" s="1124" t="s">
        <v>832</v>
      </c>
    </row>
    <row r="45" spans="1:3" ht="14.4">
      <c r="A45" s="1126" t="s">
        <v>834</v>
      </c>
    </row>
    <row r="46" spans="1:3" ht="14.4">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640625" defaultRowHeight="20.25" customHeight="1"/>
  <cols>
    <col min="1" max="1" width="24.77734375" style="2748" customWidth="1"/>
    <col min="2" max="2" width="22.77734375" style="2748" bestFit="1" customWidth="1"/>
    <col min="3" max="3" width="25.77734375" style="2748" bestFit="1" customWidth="1"/>
    <col min="4" max="4" width="22.6640625" style="2748"/>
    <col min="5" max="5" width="22.77734375" style="2748" bestFit="1" customWidth="1"/>
    <col min="6" max="6" width="25.6640625" style="2748" customWidth="1"/>
    <col min="7" max="16384" width="22.6640625" style="2748"/>
  </cols>
  <sheetData>
    <row r="1" spans="1:7" ht="20.25" customHeight="1">
      <c r="A1" s="2933"/>
      <c r="B1" s="2933"/>
      <c r="C1" s="2933"/>
      <c r="D1" s="2933"/>
      <c r="E1" s="2933"/>
      <c r="F1" s="2933"/>
      <c r="G1" s="2933"/>
    </row>
    <row r="2" spans="1:7" ht="20.25" customHeight="1">
      <c r="A2" s="2934" t="s">
        <v>1703</v>
      </c>
      <c r="B2" s="2935">
        <f ca="1">TODAY()</f>
        <v>44761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19" t="s">
        <v>1720</v>
      </c>
      <c r="B18" s="3520"/>
      <c r="C18" s="3520"/>
      <c r="D18" s="3520"/>
      <c r="E18" s="3520"/>
      <c r="F18" s="3520"/>
      <c r="G18" s="2942"/>
    </row>
    <row r="19" spans="1:7" ht="20.25" customHeight="1">
      <c r="A19" s="3516" t="s">
        <v>1721</v>
      </c>
      <c r="B19" s="3516"/>
      <c r="C19" s="3517"/>
      <c r="D19" s="3518" t="s">
        <v>1722</v>
      </c>
      <c r="E19" s="3516"/>
      <c r="F19" s="3516"/>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54" priority="151">
      <formula>AND($C5-TODAY()&lt;30,TODAY()&lt;$C5)</formula>
    </cfRule>
  </conditionalFormatting>
  <conditionalFormatting sqref="C21">
    <cfRule type="expression" dxfId="253" priority="150">
      <formula>AND($C21-TODAY()&lt;30,TODAY()&lt;$C21)</formula>
    </cfRule>
  </conditionalFormatting>
  <conditionalFormatting sqref="C21 F4 C5 C13">
    <cfRule type="cellIs" dxfId="252" priority="152" stopIfTrue="1" operator="lessThan">
      <formula>$B$2</formula>
    </cfRule>
  </conditionalFormatting>
  <conditionalFormatting sqref="F5 F7 F9">
    <cfRule type="cellIs" dxfId="251" priority="146" stopIfTrue="1" operator="lessThan">
      <formula>$B$2</formula>
    </cfRule>
  </conditionalFormatting>
  <conditionalFormatting sqref="C17:D17">
    <cfRule type="expression" dxfId="250" priority="144">
      <formula>AND($C17-TODAY()&lt;30,TODAY()&lt;$C17)</formula>
    </cfRule>
  </conditionalFormatting>
  <conditionalFormatting sqref="F6 F8 F10 C17:D17">
    <cfRule type="cellIs" dxfId="249" priority="145" stopIfTrue="1" operator="lessThan">
      <formula>$B$2</formula>
    </cfRule>
  </conditionalFormatting>
  <conditionalFormatting sqref="F14">
    <cfRule type="cellIs" dxfId="248" priority="116" stopIfTrue="1" operator="lessThan">
      <formula>$B$2</formula>
    </cfRule>
  </conditionalFormatting>
  <conditionalFormatting sqref="F13">
    <cfRule type="cellIs" dxfId="247" priority="115" stopIfTrue="1" operator="lessThan">
      <formula>$B$2</formula>
    </cfRule>
  </conditionalFormatting>
  <conditionalFormatting sqref="B4:B11 E4:E11 E13:E16 B13:B16">
    <cfRule type="cellIs" dxfId="246" priority="113" stopIfTrue="1" operator="equal">
      <formula>"已过期"</formula>
    </cfRule>
  </conditionalFormatting>
  <conditionalFormatting sqref="C6">
    <cfRule type="expression" dxfId="245" priority="84">
      <formula>AND($C6-TODAY()&lt;30,TODAY()&lt;$C6)</formula>
    </cfRule>
  </conditionalFormatting>
  <conditionalFormatting sqref="C6">
    <cfRule type="cellIs" dxfId="244" priority="85" stopIfTrue="1" operator="lessThan">
      <formula>$B$2</formula>
    </cfRule>
  </conditionalFormatting>
  <conditionalFormatting sqref="C11 C15:C16">
    <cfRule type="expression" dxfId="243" priority="82">
      <formula>AND($C11-TODAY()&lt;30,TODAY()&lt;$C11)</formula>
    </cfRule>
  </conditionalFormatting>
  <conditionalFormatting sqref="C11 C15:C16">
    <cfRule type="cellIs" dxfId="242" priority="83" stopIfTrue="1" operator="lessThan">
      <formula>$B$2</formula>
    </cfRule>
  </conditionalFormatting>
  <conditionalFormatting sqref="F11">
    <cfRule type="cellIs" dxfId="241" priority="81" stopIfTrue="1" operator="lessThan">
      <formula>$B$2</formula>
    </cfRule>
  </conditionalFormatting>
  <conditionalFormatting sqref="C14">
    <cfRule type="expression" dxfId="240" priority="62">
      <formula>AND($C14-TODAY()&lt;30,TODAY()&lt;$C14)</formula>
    </cfRule>
  </conditionalFormatting>
  <conditionalFormatting sqref="C14">
    <cfRule type="cellIs" dxfId="239" priority="63" stopIfTrue="1" operator="lessThan">
      <formula>$B$2</formula>
    </cfRule>
  </conditionalFormatting>
  <conditionalFormatting sqref="C12">
    <cfRule type="cellIs" dxfId="238" priority="56" stopIfTrue="1" operator="lessThan">
      <formula>$B$2</formula>
    </cfRule>
  </conditionalFormatting>
  <conditionalFormatting sqref="C12">
    <cfRule type="expression" dxfId="237" priority="53">
      <formula>AND($C12-TODAY()&lt;30,TODAY()&lt;$C12)</formula>
    </cfRule>
  </conditionalFormatting>
  <conditionalFormatting sqref="C12">
    <cfRule type="cellIs" dxfId="236" priority="54" stopIfTrue="1" operator="lessThan">
      <formula>$B$2</formula>
    </cfRule>
  </conditionalFormatting>
  <conditionalFormatting sqref="B12">
    <cfRule type="cellIs" dxfId="235" priority="50" stopIfTrue="1" operator="equal">
      <formula>"已过期"</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C9:C10">
    <cfRule type="expression" dxfId="232" priority="35">
      <formula>AND($C9-TODAY()&lt;30,TODAY()&lt;$C9)</formula>
    </cfRule>
  </conditionalFormatting>
  <conditionalFormatting sqref="C9:C10">
    <cfRule type="cellIs" dxfId="231" priority="36" stopIfTrue="1" operator="lessThan">
      <formula>$B$2</formula>
    </cfRule>
  </conditionalFormatting>
  <conditionalFormatting sqref="F22">
    <cfRule type="cellIs" dxfId="230" priority="15" stopIfTrue="1" operator="lessThan">
      <formula>$B$2</formula>
    </cfRule>
  </conditionalFormatting>
  <conditionalFormatting sqref="F22">
    <cfRule type="expression" dxfId="229" priority="16">
      <formula>AND($E22-TODAY()&lt;30,TODAY()&lt;$E22)</formula>
    </cfRule>
  </conditionalFormatting>
  <conditionalFormatting sqref="C7:C8">
    <cfRule type="expression" dxfId="228" priority="7">
      <formula>AND($C7-TODAY()&lt;30,TODAY()&lt;$C7)</formula>
    </cfRule>
  </conditionalFormatting>
  <conditionalFormatting sqref="C7:C8">
    <cfRule type="cellIs" dxfId="227" priority="8" stopIfTrue="1" operator="lessThan">
      <formula>$B$2</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4">
    <cfRule type="expression" dxfId="224" priority="3">
      <formula>AND($C4-TODAY()&lt;30,TODAY()&lt;$C4)</formula>
    </cfRule>
  </conditionalFormatting>
  <conditionalFormatting sqref="C4">
    <cfRule type="cellIs" dxfId="223" priority="4" stopIfTrue="1" operator="lessThan">
      <formula>$B$2</formula>
    </cfRule>
  </conditionalFormatting>
  <conditionalFormatting sqref="F21">
    <cfRule type="cellIs" dxfId="222" priority="1" stopIfTrue="1" operator="lessThan">
      <formula>$B$2</formula>
    </cfRule>
  </conditionalFormatting>
  <conditionalFormatting sqref="F21">
    <cfRule type="expression" dxfId="22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5" sqref="AF35"/>
    </sheetView>
  </sheetViews>
  <sheetFormatPr defaultColWidth="9" defaultRowHeight="13.8"/>
  <cols>
    <col min="1" max="1" width="10.33203125" style="1131" customWidth="1"/>
    <col min="2" max="2" width="18.88671875" style="110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09" customWidth="1"/>
    <col min="25" max="25" width="7.21875" style="1109" customWidth="1"/>
    <col min="26" max="16384" width="9" style="1109"/>
  </cols>
  <sheetData>
    <row r="1" spans="1:23" s="1130" customFormat="1" ht="28.8">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ht="14.4">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ht="14.4">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ht="14.4">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ht="14.4">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ht="14.4">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ht="14.4">
      <c r="A7" s="8" t="s">
        <v>102</v>
      </c>
      <c r="B7" s="8" t="s">
        <v>103</v>
      </c>
      <c r="C7" s="1445" t="s">
        <v>1514</v>
      </c>
      <c r="F7" s="9" t="s">
        <v>154</v>
      </c>
      <c r="H7" s="9" t="s">
        <v>104</v>
      </c>
      <c r="I7" s="9" t="s">
        <v>105</v>
      </c>
    </row>
    <row r="8" spans="1:23" ht="14.4">
      <c r="A8" s="8" t="s">
        <v>106</v>
      </c>
      <c r="B8" s="8" t="s">
        <v>107</v>
      </c>
      <c r="C8" s="1445" t="s">
        <v>1515</v>
      </c>
      <c r="F8" s="9" t="s">
        <v>155</v>
      </c>
      <c r="H8" s="9"/>
      <c r="I8" s="9" t="s">
        <v>108</v>
      </c>
    </row>
    <row r="9" spans="1:23" ht="14.4">
      <c r="A9" s="8" t="s">
        <v>109</v>
      </c>
      <c r="B9" s="8" t="s">
        <v>156</v>
      </c>
      <c r="C9" s="1445" t="s">
        <v>1516</v>
      </c>
      <c r="F9" s="9" t="s">
        <v>110</v>
      </c>
      <c r="H9" s="9"/>
    </row>
    <row r="10" spans="1:23" ht="14.4">
      <c r="A10" s="8" t="s">
        <v>111</v>
      </c>
      <c r="B10" s="8" t="s">
        <v>157</v>
      </c>
      <c r="C10" s="1445" t="s">
        <v>1517</v>
      </c>
      <c r="F10" s="9" t="s">
        <v>6</v>
      </c>
    </row>
    <row r="11" spans="1:23" ht="14.4">
      <c r="A11" s="8" t="s">
        <v>112</v>
      </c>
      <c r="B11" s="8" t="s">
        <v>158</v>
      </c>
      <c r="C11" s="1445" t="s">
        <v>1518</v>
      </c>
    </row>
    <row r="12" spans="1:23" ht="14.4">
      <c r="A12" s="8" t="s">
        <v>113</v>
      </c>
      <c r="B12" s="8" t="s">
        <v>159</v>
      </c>
      <c r="C12" s="1445" t="s">
        <v>1519</v>
      </c>
    </row>
    <row r="13" spans="1:23" ht="14.4">
      <c r="A13" s="8" t="s">
        <v>114</v>
      </c>
      <c r="B13" s="8" t="s">
        <v>160</v>
      </c>
      <c r="C13" s="1445" t="s">
        <v>1520</v>
      </c>
    </row>
    <row r="14" spans="1:23" ht="14.4">
      <c r="A14" s="8" t="s">
        <v>115</v>
      </c>
      <c r="B14" s="8" t="s">
        <v>161</v>
      </c>
      <c r="C14" s="1448" t="s">
        <v>1692</v>
      </c>
    </row>
    <row r="15" spans="1:23" ht="14.4">
      <c r="A15" s="8" t="s">
        <v>116</v>
      </c>
      <c r="B15" s="8" t="s">
        <v>1481</v>
      </c>
      <c r="C15" s="1448"/>
    </row>
    <row r="16" spans="1:23" ht="14.4">
      <c r="A16" s="8" t="s">
        <v>117</v>
      </c>
      <c r="B16" s="8" t="s">
        <v>1482</v>
      </c>
      <c r="C16" s="1448"/>
    </row>
    <row r="17" spans="1:3" ht="14.4">
      <c r="A17" s="8" t="s">
        <v>118</v>
      </c>
      <c r="B17" s="8" t="s">
        <v>1483</v>
      </c>
      <c r="C17" s="1448"/>
    </row>
    <row r="18" spans="1:3" ht="14.4">
      <c r="A18" s="8" t="s">
        <v>119</v>
      </c>
      <c r="B18" s="2710" t="s">
        <v>2655</v>
      </c>
      <c r="C18" s="1448"/>
    </row>
    <row r="19" spans="1:3" ht="14.4">
      <c r="A19" s="8" t="s">
        <v>120</v>
      </c>
      <c r="B19" s="2710" t="s">
        <v>2662</v>
      </c>
      <c r="C19" s="1448"/>
    </row>
    <row r="20" spans="1:3" ht="14.4">
      <c r="A20" s="8" t="s">
        <v>121</v>
      </c>
      <c r="B20" s="2710" t="s">
        <v>2704</v>
      </c>
      <c r="C20" s="1448"/>
    </row>
    <row r="21" spans="1:3" ht="14.4">
      <c r="A21" s="8" t="s">
        <v>122</v>
      </c>
      <c r="B21" s="8" t="s">
        <v>2884</v>
      </c>
      <c r="C21" s="1448"/>
    </row>
    <row r="22" spans="1:3" ht="14.4">
      <c r="A22" s="8" t="s">
        <v>123</v>
      </c>
      <c r="B22" s="8" t="s">
        <v>3161</v>
      </c>
      <c r="C22" s="1448"/>
    </row>
    <row r="23" spans="1:3" ht="14.4">
      <c r="A23" s="8" t="s">
        <v>124</v>
      </c>
      <c r="B23" s="8" t="s">
        <v>3304</v>
      </c>
      <c r="C23" s="1448"/>
    </row>
    <row r="24" spans="1:3">
      <c r="A24" s="8" t="s">
        <v>12</v>
      </c>
      <c r="B24" s="8" t="s">
        <v>1442</v>
      </c>
      <c r="C24" s="1448"/>
    </row>
    <row r="25" spans="1:3" ht="14.4">
      <c r="A25" s="8" t="s">
        <v>125</v>
      </c>
      <c r="B25" s="8" t="s">
        <v>1442</v>
      </c>
      <c r="C25" s="1448"/>
    </row>
    <row r="26" spans="1:3" ht="14.4">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21"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c r="D53" s="1640"/>
      <c r="E53" s="1640"/>
    </row>
    <row r="54" spans="1:5">
      <c r="A54" s="3521"/>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21"/>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21"/>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21"/>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ht="14.4">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169</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不动产收益法-酒店模型</vt:lpstr>
      <vt:lpstr>成本逼近法</vt:lpstr>
      <vt:lpstr>不动产收益法-车位</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不动产比较法-新房</vt:lpstr>
      <vt:lpstr>结果表新</vt:lpstr>
      <vt:lpstr>面积清单</vt:lpstr>
      <vt:lpstr>市场情况</vt:lpstr>
      <vt:lpstr>土地案例</vt:lpstr>
      <vt:lpstr>新房案例</vt:lpstr>
      <vt:lpstr>基准地价-结果链接</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'不动产比较法-新房'!Print_Area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'基准地价-结果链接'!Print_Area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'基准地价-结果链接'!季度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'不动产比较法-新房'!住宅朝向</vt:lpstr>
      <vt:lpstr>住宅朝向</vt:lpstr>
      <vt:lpstr>'不动产比较法-新房'!住宅房型</vt:lpstr>
      <vt:lpstr>住宅房型</vt:lpstr>
      <vt:lpstr>'不动产比较法-新房'!住宅公共部分装修</vt:lpstr>
      <vt:lpstr>住宅公共部分装修</vt:lpstr>
      <vt:lpstr>'不动产比较法-新房'!住宅基础设施水平</vt:lpstr>
      <vt:lpstr>住宅基础设施水平</vt:lpstr>
      <vt:lpstr>'不动产比较法-新房'!住宅建筑结构</vt:lpstr>
      <vt:lpstr>住宅建筑结构</vt:lpstr>
      <vt:lpstr>'不动产比较法-新房'!住宅建筑类型</vt:lpstr>
      <vt:lpstr>住宅建筑类型</vt:lpstr>
      <vt:lpstr>'不动产比较法-新房'!住宅建筑品质</vt:lpstr>
      <vt:lpstr>住宅建筑品质</vt:lpstr>
      <vt:lpstr>'不动产比较法-新房'!住宅交易情况</vt:lpstr>
      <vt:lpstr>住宅交易情况</vt:lpstr>
      <vt:lpstr>'不动产比较法-新房'!住宅楼层</vt:lpstr>
      <vt:lpstr>住宅楼层</vt:lpstr>
      <vt:lpstr>'不动产比较法-新房'!住宅内部装修</vt:lpstr>
      <vt:lpstr>住宅内部装修</vt:lpstr>
      <vt:lpstr>'不动产比较法-新房'!住宅物业管理</vt:lpstr>
      <vt:lpstr>住宅物业管理</vt:lpstr>
      <vt:lpstr>'不动产比较法-新房'!住宅用途</vt:lpstr>
      <vt:lpstr>住宅用途</vt:lpstr>
      <vt:lpstr>'不动产比较法-新房'!住宅主力户型面积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2022-07-19T06:41:02Z</dcterms:modified>
</cp:coreProperties>
</file>