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05" windowWidth="10395" windowHeight="101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3" i="83" l="1"/>
  <c r="L22" i="83"/>
  <c r="AB21" i="83"/>
  <c r="M21" i="83"/>
  <c r="L21" i="83"/>
  <c r="N19" i="1"/>
  <c r="N6" i="1"/>
  <c r="B14" i="74" l="1"/>
  <c r="J32" i="78"/>
  <c r="AB16" i="83"/>
  <c r="E8" i="78" l="1"/>
  <c r="AD27" i="83"/>
  <c r="AD26" i="83"/>
  <c r="AD30" i="83" s="1"/>
  <c r="N21" i="83"/>
  <c r="O21" i="83"/>
  <c r="P21" i="83"/>
  <c r="Q21" i="83"/>
  <c r="R21" i="83"/>
  <c r="S21" i="83"/>
  <c r="T21" i="83"/>
  <c r="U21" i="83"/>
  <c r="V21" i="83"/>
  <c r="W21" i="83"/>
  <c r="X21" i="83"/>
  <c r="Y21" i="83"/>
  <c r="Z21" i="83"/>
  <c r="AA21" i="83"/>
  <c r="E70" i="39"/>
  <c r="F70" i="39" s="1"/>
  <c r="G70" i="39" s="1"/>
  <c r="H70" i="39" s="1"/>
  <c r="I70" i="39" s="1"/>
  <c r="J70" i="39" s="1"/>
  <c r="K70" i="39" s="1"/>
  <c r="L70" i="39" s="1"/>
  <c r="M70" i="39" s="1"/>
  <c r="D70" i="39"/>
  <c r="I38" i="39"/>
  <c r="G38" i="39"/>
  <c r="E38" i="39"/>
  <c r="C38" i="39"/>
  <c r="I11" i="39"/>
  <c r="G11" i="39"/>
  <c r="E11" i="39"/>
  <c r="C11" i="39"/>
  <c r="I5" i="39"/>
  <c r="G5" i="39"/>
  <c r="E5" i="39"/>
  <c r="I7" i="39"/>
  <c r="G7" i="39"/>
  <c r="E7" i="39"/>
  <c r="AE27" i="83" l="1"/>
  <c r="J22" i="83"/>
  <c r="N14" i="78"/>
  <c r="N13" i="78"/>
  <c r="O10" i="78" l="1"/>
  <c r="F8" i="85"/>
  <c r="F7" i="85"/>
  <c r="F6" i="85"/>
  <c r="F3" i="85"/>
  <c r="L4" i="85"/>
  <c r="F4" i="85"/>
  <c r="F5" i="85" s="1"/>
  <c r="AB19" i="83"/>
  <c r="I46" i="39" s="1"/>
  <c r="M19" i="83"/>
  <c r="G46" i="39" s="1"/>
  <c r="L19" i="83"/>
  <c r="E46" i="39" s="1"/>
  <c r="J21" i="83"/>
  <c r="J20" i="83"/>
  <c r="J19" i="83"/>
  <c r="N12" i="78"/>
  <c r="L20" i="83" l="1"/>
  <c r="M20" i="83"/>
  <c r="AB20" i="83"/>
  <c r="H26" i="78"/>
  <c r="H39" i="78"/>
  <c r="G39" i="78"/>
  <c r="N10" i="78"/>
  <c r="N3" i="78"/>
  <c r="N4" i="78"/>
  <c r="N5" i="78"/>
  <c r="N6" i="78"/>
  <c r="N7" i="78"/>
  <c r="N8" i="78"/>
  <c r="N9" i="78"/>
  <c r="N2" i="78"/>
  <c r="K10" i="78"/>
  <c r="L10" i="78"/>
  <c r="K7" i="78"/>
  <c r="K6" i="78"/>
  <c r="K5" i="78"/>
  <c r="K4" i="78"/>
  <c r="K3" i="78"/>
  <c r="K2" i="78"/>
  <c r="K9" i="78"/>
  <c r="K8" i="78"/>
  <c r="H36" i="78"/>
  <c r="G36" i="78"/>
  <c r="F36" i="78"/>
  <c r="I32" i="78"/>
  <c r="L7" i="1" l="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M9" i="84"/>
  <c r="M23" i="84"/>
  <c r="F6" i="84"/>
  <c r="M27" i="84"/>
  <c r="F16" i="84"/>
  <c r="F26" i="84"/>
  <c r="C27" i="84" l="1"/>
  <c r="D23" i="84"/>
  <c r="D22" i="84"/>
  <c r="D24" i="84"/>
  <c r="P61" i="84"/>
  <c r="N7" i="1"/>
  <c r="Y7" i="1" s="1"/>
  <c r="I33" i="78"/>
  <c r="I29" i="78"/>
  <c r="I28" i="78"/>
  <c r="E33" i="78"/>
  <c r="F33" i="78"/>
  <c r="G33" i="78"/>
  <c r="H33" i="78"/>
  <c r="G26" i="78"/>
  <c r="F26" i="78"/>
  <c r="F25" i="78" s="1"/>
  <c r="D33" i="78"/>
  <c r="C33" i="78"/>
  <c r="D25" i="78"/>
  <c r="E25" i="78"/>
  <c r="G25" i="78"/>
  <c r="H25" i="78"/>
  <c r="C25" i="78"/>
  <c r="F36" i="84"/>
  <c r="F38" i="84"/>
  <c r="F9" i="84"/>
  <c r="M6" i="84"/>
  <c r="F37" i="84"/>
  <c r="F8" i="84"/>
  <c r="F40" i="84"/>
  <c r="L47" i="84"/>
  <c r="F42" i="84"/>
  <c r="C76" i="84"/>
  <c r="J15" i="84"/>
  <c r="M8" i="84"/>
  <c r="M26" i="84"/>
  <c r="M22" i="84"/>
  <c r="M28" i="84"/>
  <c r="M24" i="84"/>
  <c r="F13" i="84"/>
  <c r="L48"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F20" i="6" s="1"/>
  <c r="I15" i="3"/>
  <c r="I14" i="3"/>
  <c r="I13" i="3"/>
  <c r="E15" i="78"/>
  <c r="E7" i="78"/>
  <c r="L46" i="84" l="1"/>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S38" i="39"/>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H11"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AC11" i="39"/>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AC38" i="39"/>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U2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W31" i="39"/>
  <c r="AC31" i="39"/>
  <c r="AB39" i="39"/>
  <c r="W34" i="39"/>
  <c r="U38"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AB21" i="39"/>
  <c r="AA21" i="39"/>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C76" i="15"/>
  <c r="AO12" i="1"/>
  <c r="F20" i="31"/>
  <c r="F3" i="73"/>
  <c r="F8" i="15"/>
  <c r="M9" i="67"/>
  <c r="F9" i="67"/>
  <c r="M29" i="67"/>
  <c r="L48" i="67"/>
  <c r="M8" i="15"/>
  <c r="F9" i="15"/>
  <c r="F4" i="73"/>
  <c r="F6" i="67"/>
  <c r="F26" i="15"/>
  <c r="AO11" i="1"/>
  <c r="AO8" i="1"/>
  <c r="F6" i="15"/>
  <c r="F36" i="15"/>
  <c r="F16" i="15"/>
  <c r="B11" i="76"/>
  <c r="F38" i="67"/>
  <c r="M6" i="67"/>
  <c r="D6" i="73"/>
  <c r="D2" i="34"/>
  <c r="E2" i="69"/>
  <c r="L47" i="15"/>
  <c r="M6" i="15"/>
  <c r="D2" i="33"/>
  <c r="F43" i="67"/>
  <c r="M26" i="15"/>
  <c r="M24" i="67"/>
  <c r="F37" i="67"/>
  <c r="D2" i="37"/>
  <c r="B7" i="76"/>
  <c r="M24" i="15"/>
  <c r="M22" i="67"/>
  <c r="F37" i="15"/>
  <c r="M23" i="67"/>
  <c r="E2" i="68"/>
  <c r="M9" i="15"/>
  <c r="M22" i="15"/>
  <c r="E11" i="76"/>
  <c r="F6" i="73"/>
  <c r="M8" i="67"/>
  <c r="D2" i="35"/>
  <c r="M28" i="15"/>
  <c r="J15" i="15"/>
  <c r="E7" i="76"/>
  <c r="L47" i="67"/>
  <c r="F42" i="67"/>
  <c r="L48" i="15"/>
  <c r="F13" i="67"/>
  <c r="F13" i="15"/>
  <c r="F40" i="67"/>
  <c r="E8" i="76"/>
  <c r="B8" i="76"/>
  <c r="F26" i="67"/>
  <c r="B13" i="76"/>
  <c r="M27" i="67"/>
  <c r="F5" i="73"/>
  <c r="D2" i="21"/>
  <c r="E10" i="76"/>
  <c r="E9" i="76"/>
  <c r="M28" i="67"/>
  <c r="C76" i="67"/>
  <c r="B12" i="76"/>
  <c r="F40" i="15"/>
  <c r="M26" i="67"/>
  <c r="B9" i="76"/>
  <c r="E12" i="76"/>
  <c r="AO13" i="1"/>
  <c r="M27" i="15"/>
  <c r="F38" i="15"/>
  <c r="AO10" i="1"/>
  <c r="F36" i="67"/>
  <c r="J15" i="67"/>
  <c r="E13" i="76"/>
  <c r="F7" i="73"/>
  <c r="F42" i="15"/>
  <c r="AO9" i="1"/>
  <c r="F16" i="67"/>
  <c r="M23" i="15"/>
  <c r="F8" i="67"/>
  <c r="D2" i="36"/>
  <c r="B10" i="76"/>
  <c r="F106" i="39" l="1"/>
  <c r="J32" i="39"/>
  <c r="U34" i="39"/>
  <c r="AB34" i="39"/>
  <c r="W27" i="39"/>
  <c r="U29" i="39"/>
  <c r="S34" i="39"/>
  <c r="S31" i="39"/>
  <c r="W29" i="39"/>
  <c r="W23" i="39"/>
  <c r="S11" i="39"/>
  <c r="U40" i="39"/>
  <c r="B63" i="43"/>
  <c r="B52" i="43"/>
  <c r="B65" i="43"/>
  <c r="B60" i="43"/>
  <c r="E19" i="6"/>
  <c r="K6" i="1" s="1"/>
  <c r="F19" i="6"/>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M6" i="1"/>
  <c r="O6" i="1" s="1"/>
  <c r="AH6" i="1"/>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H16" i="1"/>
  <c r="BA14" i="3"/>
  <c r="AZ14" i="3" s="1"/>
  <c r="E29" i="6"/>
  <c r="AZ13" i="3"/>
  <c r="AR9" i="1"/>
  <c r="T9" i="1"/>
  <c r="D9" i="11"/>
  <c r="C9" i="11" s="1"/>
  <c r="D19" i="12"/>
  <c r="C19" i="12" s="1"/>
  <c r="AR11" i="1"/>
  <c r="AE11" i="43"/>
  <c r="AE13" i="43" s="1"/>
  <c r="Z7" i="43"/>
  <c r="AF11" i="43"/>
  <c r="AF13" i="43" s="1"/>
  <c r="T10" i="1"/>
  <c r="T12" i="1"/>
  <c r="S2" i="43"/>
  <c r="I101" i="43"/>
  <c r="H22" i="43"/>
  <c r="E10" i="6"/>
  <c r="N104" i="46"/>
  <c r="E22" i="43"/>
  <c r="F101" i="43"/>
  <c r="E13" i="6"/>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43" i="15"/>
  <c r="F7" i="67"/>
  <c r="M29" i="15"/>
  <c r="C16" i="67"/>
  <c r="M29" i="84"/>
  <c r="F43" i="84"/>
  <c r="D5" i="73"/>
  <c r="D3" i="73"/>
  <c r="D4" i="73"/>
  <c r="D7" i="73"/>
  <c r="F7" i="15"/>
  <c r="G106" i="39" l="1"/>
  <c r="H106" i="39" s="1"/>
  <c r="I106" i="39" s="1"/>
  <c r="J106" i="39" s="1"/>
  <c r="K106" i="39" s="1"/>
  <c r="L106" i="39" s="1"/>
  <c r="M106" i="39" s="1"/>
  <c r="F32" i="39"/>
  <c r="H32" i="39"/>
  <c r="W32" i="39"/>
  <c r="AC32" i="39"/>
  <c r="F71" i="84"/>
  <c r="AH7" i="1"/>
  <c r="F11" i="84"/>
  <c r="M11" i="84"/>
  <c r="M7" i="15"/>
  <c r="J6" i="15" s="1"/>
  <c r="J18" i="15" s="1"/>
  <c r="F50" i="15"/>
  <c r="C49" i="15" s="1"/>
  <c r="C6" i="15"/>
  <c r="C32" i="15" s="1"/>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M26" i="79"/>
  <c r="F6" i="79"/>
  <c r="L47" i="79"/>
  <c r="F40" i="79"/>
  <c r="C76" i="79"/>
  <c r="L48" i="79"/>
  <c r="J15" i="79"/>
  <c r="C16" i="15"/>
  <c r="M28" i="79"/>
  <c r="M9" i="79"/>
  <c r="AE6" i="1"/>
  <c r="F38" i="79"/>
  <c r="M22" i="79"/>
  <c r="F42" i="79"/>
  <c r="M8" i="79"/>
  <c r="F16" i="79"/>
  <c r="F36" i="79"/>
  <c r="F7" i="84"/>
  <c r="G1" i="73"/>
  <c r="F43" i="79"/>
  <c r="F7" i="79"/>
  <c r="F26" i="79"/>
  <c r="F37" i="79"/>
  <c r="M24" i="79"/>
  <c r="C16" i="84"/>
  <c r="M6" i="79"/>
  <c r="M23" i="79"/>
  <c r="F9" i="79"/>
  <c r="M29" i="79"/>
  <c r="F8" i="79"/>
  <c r="F13" i="79"/>
  <c r="M27" i="79"/>
  <c r="AA32" i="39" l="1"/>
  <c r="S32" i="39"/>
  <c r="AB32" i="39"/>
  <c r="U32" i="39"/>
  <c r="E6" i="3"/>
  <c r="H6" i="3"/>
  <c r="B40" i="1"/>
  <c r="F24" i="84" s="1"/>
  <c r="M7" i="84"/>
  <c r="J6" i="84" s="1"/>
  <c r="J18" i="84" s="1"/>
  <c r="F50" i="84"/>
  <c r="C49" i="84" s="1"/>
  <c r="C6" i="84"/>
  <c r="C10" i="84" s="1"/>
  <c r="C5" i="84" s="1"/>
  <c r="F24" i="79"/>
  <c r="C24" i="79" s="1"/>
  <c r="C53" i="84"/>
  <c r="F28" i="12"/>
  <c r="C29" i="12" s="1"/>
  <c r="D28" i="12" s="1"/>
  <c r="J10" i="15"/>
  <c r="J5" i="15" s="1"/>
  <c r="J26" i="15"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B1" i="74" s="1"/>
  <c r="C8" i="74"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41" i="67"/>
  <c r="C16" i="79"/>
  <c r="C7" i="74" l="1"/>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J24" i="15"/>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26" i="68"/>
  <c r="D22" i="68" s="1"/>
  <c r="C38" i="67"/>
  <c r="C38" i="15"/>
  <c r="C66" i="67"/>
  <c r="C60" i="67"/>
  <c r="B6" i="76"/>
  <c r="E6" i="76"/>
  <c r="AE7" i="1"/>
  <c r="F41" i="15"/>
  <c r="F41" i="68" l="1"/>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79"/>
  <c r="F41" i="84"/>
  <c r="F69" i="84" l="1"/>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7" i="67"/>
  <c r="C17" i="84"/>
  <c r="C17" i="15"/>
  <c r="C14" i="67"/>
  <c r="C17" i="79"/>
  <c r="C14" i="79"/>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84"/>
  <c r="C14" i="15"/>
  <c r="C15" i="84" l="1"/>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F35" i="79"/>
  <c r="M21" i="79"/>
  <c r="C19" i="84" l="1"/>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M21" i="67"/>
  <c r="F35" i="15"/>
  <c r="F35" i="84"/>
  <c r="M21" i="84"/>
  <c r="M21" i="15"/>
  <c r="F35" i="67"/>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L51" i="79"/>
  <c r="C19" i="80"/>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D19" i="80"/>
  <c r="C20" i="80"/>
  <c r="L51" i="84"/>
  <c r="L51" i="67"/>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D20" i="80"/>
  <c r="AO7" i="1"/>
  <c r="D35" i="80"/>
  <c r="D34" i="80"/>
  <c r="L51" i="15"/>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L46" i="15" l="1"/>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C6" i="68" s="1"/>
  <c r="C7" i="68" s="1"/>
  <c r="C5"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23" i="68" l="1"/>
  <c r="C20" i="68"/>
  <c r="C25" i="68" s="1"/>
  <c r="F65" i="39"/>
  <c r="B2" i="39" s="1"/>
  <c r="B3" i="39" s="1"/>
  <c r="Q62" i="15"/>
  <c r="B6" i="70"/>
  <c r="B2" i="70" s="1"/>
  <c r="D7" i="71"/>
  <c r="C6" i="71"/>
  <c r="C42" i="40"/>
  <c r="C43" i="40"/>
  <c r="E47" i="40"/>
  <c r="F47" i="40" s="1"/>
  <c r="E46" i="40"/>
  <c r="F46" i="40" s="1"/>
  <c r="I47" i="40"/>
  <c r="J47" i="40" s="1"/>
  <c r="D19" i="9"/>
  <c r="C28" i="68" l="1"/>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G21" i="9" s="1"/>
  <c r="B3" i="68"/>
  <c r="C20" i="9"/>
  <c r="D34" i="9"/>
  <c r="D35" i="9"/>
  <c r="C103" i="9" l="1"/>
  <c r="G20" i="9"/>
  <c r="D59" i="9"/>
  <c r="M55" i="9" s="1"/>
  <c r="O2" i="78" l="1"/>
  <c r="P2" i="78" s="1"/>
  <c r="R24" i="31"/>
  <c r="S24" i="31" s="1"/>
  <c r="S22" i="31" s="1"/>
  <c r="C32" i="9"/>
  <c r="C35" i="9" s="1"/>
  <c r="C34" i="9" s="1"/>
  <c r="U22" i="31" l="1"/>
  <c r="R22" i="31"/>
  <c r="B20" i="31"/>
  <c r="B21" i="31" s="1"/>
  <c r="F118" i="9" l="1"/>
  <c r="F119" i="9" l="1"/>
  <c r="F5" i="52" s="1"/>
  <c r="B53" i="72" s="1"/>
  <c r="G118" i="9"/>
  <c r="G4" i="52" s="1"/>
  <c r="B52" i="72" s="1"/>
  <c r="F4" i="52"/>
  <c r="B51" i="72" s="1"/>
  <c r="D118" i="9" l="1"/>
  <c r="D4" i="52" l="1"/>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c r="D54" i="80" s="1"/>
  <c r="L64" i="80" l="1"/>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s="1"/>
  <c r="I118" i="9"/>
  <c r="E118" i="9" s="1"/>
  <c r="E4" i="52" s="1"/>
  <c r="B48" i="72" s="1"/>
  <c r="C105" i="9"/>
  <c r="H4" i="52"/>
  <c r="H119" i="9"/>
  <c r="H5" i="52" s="1"/>
  <c r="C104" i="9"/>
  <c r="I4" i="52" l="1"/>
  <c r="H101" i="9"/>
  <c r="G14" i="74"/>
  <c r="B6" i="74" s="1"/>
  <c r="F14" i="74"/>
  <c r="B5" i="74"/>
  <c r="E14" i="74"/>
  <c r="D6" i="74"/>
  <c r="M48" i="9"/>
  <c r="M49" i="9" s="1"/>
  <c r="C6" i="74"/>
  <c r="H102" i="9"/>
  <c r="D7" i="53" s="1"/>
  <c r="B21" i="72" s="1"/>
  <c r="D5" i="53" l="1"/>
  <c r="H107" i="9"/>
  <c r="D45" i="9"/>
  <c r="D5" i="74"/>
  <c r="C5" i="74"/>
  <c r="L63" i="9"/>
  <c r="M63" i="9" s="1"/>
  <c r="L64" i="9"/>
  <c r="M64" i="9" s="1"/>
  <c r="L65" i="9"/>
  <c r="M65" i="9" s="1"/>
  <c r="L66" i="9"/>
  <c r="M66" i="9" s="1"/>
  <c r="L67" i="9"/>
  <c r="M67" i="9" s="1"/>
  <c r="L68" i="9"/>
  <c r="M68" i="9" s="1"/>
  <c r="D122" i="9" l="1"/>
  <c r="D13" i="53"/>
  <c r="H108" i="9"/>
  <c r="D15" i="53" s="1"/>
  <c r="B31" i="72" s="1"/>
  <c r="D6" i="53"/>
  <c r="B22" i="72" s="1"/>
  <c r="B20" i="72"/>
  <c r="C72" i="9"/>
  <c r="C93" i="9"/>
  <c r="C86" i="9" s="1"/>
  <c r="D53" i="9"/>
  <c r="C64" i="9"/>
  <c r="C63" i="9" s="1"/>
  <c r="C67" i="9" s="1"/>
  <c r="C68" i="9" s="1"/>
  <c r="D54" i="9" s="1"/>
  <c r="D48" i="9" s="1"/>
  <c r="M52" i="9" s="1"/>
  <c r="D55" i="9"/>
  <c r="M53" i="9" s="1"/>
  <c r="C78" i="9"/>
  <c r="C73" i="9" s="1"/>
  <c r="C85" i="9"/>
  <c r="D52" i="9"/>
  <c r="M69" i="9"/>
  <c r="N69" i="9" s="1"/>
  <c r="B30" i="72" l="1"/>
  <c r="D14" i="53"/>
  <c r="B32" i="72" s="1"/>
  <c r="D123" i="9"/>
  <c r="D9" i="52" s="1"/>
  <c r="D8" i="52"/>
  <c r="C95" i="9"/>
  <c r="C79" i="9"/>
  <c r="C80" i="9" l="1"/>
  <c r="E80" i="9" s="1"/>
  <c r="E81" i="9" s="1"/>
  <c r="C81" i="9"/>
  <c r="D58" i="9" s="1"/>
  <c r="D56" i="9" s="1"/>
  <c r="M54" i="9" s="1"/>
  <c r="N57" i="9" s="1"/>
  <c r="C96" i="9"/>
  <c r="E96" i="9" s="1"/>
  <c r="E97" i="9" s="1"/>
  <c r="C97" i="9"/>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<sst xmlns="http://schemas.openxmlformats.org/spreadsheetml/2006/main" count="10015" uniqueCount="4134">
  <si>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</si>
  <si>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</si>
  <si>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</si>
  <si>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</si>
  <si>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</si>
  <si>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</si>
  <si>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</si>
  <si>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</si>
  <si>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</si>
  <si>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</si>
  <si>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</si>
  <si>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</si>
  <si>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</si>
  <si>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</si>
  <si>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</si>
  <si>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</si>
  <si>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</si>
  <si>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</si>
  <si>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</si>
  <si>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</si>
  <si>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</si>
  <si>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</si>
  <si>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</si>
  <si>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</si>
  <si>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</si>
  <si>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</si>
  <si>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</si>
  <si>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</si>
  <si>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</si>
  <si>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</si>
  <si>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</si>
  <si>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</si>
  <si>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</si>
  <si>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</si>
  <si>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</si>
  <si>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</si>
  <si>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</si>
  <si>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</si>
  <si>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</si>
  <si>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</si>
  <si>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</si>
  <si>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</si>
  <si>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</si>
  <si>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</si>
  <si>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</si>
  <si>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</si>
  <si>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</si>
  <si>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</si>
  <si>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</si>
  <si>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</si>
  <si>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</si>
  <si>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</si>
  <si>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</si>
  <si>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</si>
  <si>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</si>
  <si>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</si>
  <si>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</si>
  <si>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</si>
  <si>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</si>
  <si>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</si>
  <si>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</si>
  <si>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</si>
  <si>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</si>
  <si>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</si>
  <si>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</si>
  <si>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</si>
  <si>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</si>
  <si>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</si>
  <si>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</si>
  <si>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</si>
  <si>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</si>
  <si>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</si>
  <si>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</si>
  <si>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</si>
  <si>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</si>
  <si>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</si>
  <si>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</si>
  <si>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</si>
  <si>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</si>
  <si>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</si>
  <si>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</si>
  <si>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</si>
  <si>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</si>
  <si>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</si>
  <si>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</si>
  <si>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</si>
  <si>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</si>
  <si>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</si>
  <si>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</si>
  <si>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</si>
  <si>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</si>
  <si>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</si>
  <si>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</si>
  <si>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</si>
  <si>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</si>
  <si>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</si>
  <si>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</si>
  <si>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</si>
  <si>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</si>
  <si>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</si>
  <si>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</si>
  <si>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</si>
  <si>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</si>
  <si>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</si>
  <si>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</si>
  <si>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</si>
  <si>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</si>
  <si>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</si>
  <si>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</si>
  <si>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</si>
  <si>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</si>
  <si>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</si>
  <si>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</si>
  <si>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</si>
  <si>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</si>
  <si>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</si>
  <si>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</si>
  <si>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</si>
  <si>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</si>
  <si>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</si>
  <si>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</si>
  <si>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</si>
  <si>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</si>
  <si>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</si>
  <si>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</si>
  <si>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</si>
  <si>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</si>
  <si>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</si>
  <si>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</si>
  <si>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</si>
  <si>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</si>
  <si>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</si>
  <si>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</si>
  <si>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</si>
  <si>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</si>
  <si>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</si>
  <si>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</si>
  <si>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</si>
  <si>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</si>
  <si>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</si>
  <si>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</si>
  <si>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</si>
  <si>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</si>
  <si>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</si>
  <si>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</si>
  <si>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</si>
  <si>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</si>
  <si>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</si>
  <si>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</si>
  <si>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</si>
  <si>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</si>
  <si>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</si>
  <si>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</si>
  <si>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</si>
  <si>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</si>
  <si>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</si>
  <si>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</si>
  <si>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</si>
  <si>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</si>
  <si>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</si>
  <si>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</si>
  <si>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</si>
  <si>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</si>
  <si>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</si>
  <si>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</si>
  <si>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</si>
  <si>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</si>
  <si>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</si>
  <si>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</si>
  <si>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</si>
  <si>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</si>
  <si>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</si>
  <si>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</si>
  <si>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</si>
  <si>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</si>
  <si>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</si>
  <si>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</si>
  <si>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</si>
  <si>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</si>
  <si>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</si>
  <si>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</si>
  <si>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</si>
  <si>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</si>
  <si>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</si>
  <si>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</si>
  <si>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</si>
  <si>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</si>
  <si>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</si>
  <si>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</si>
  <si>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</si>
  <si>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</si>
  <si>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</si>
  <si>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</si>
  <si>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</si>
  <si>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</si>
  <si>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</si>
  <si>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</si>
  <si>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</si>
  <si>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</si>
  <si>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</si>
  <si>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</si>
  <si>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</si>
  <si>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</si>
  <si>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</si>
  <si>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</si>
  <si>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</si>
  <si>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</si>
  <si>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</si>
  <si>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</si>
  <si>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</si>
  <si>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</si>
  <si>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</si>
  <si>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</si>
  <si>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</si>
  <si>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</si>
  <si>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</si>
  <si>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</si>
  <si>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</si>
  <si>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</si>
  <si>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</si>
  <si>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</si>
  <si>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</si>
  <si>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</si>
  <si>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</si>
  <si>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</si>
  <si>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</si>
  <si>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</si>
  <si>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</si>
  <si>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</si>
  <si>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</si>
  <si>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</si>
  <si>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</si>
  <si>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</si>
  <si>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</si>
  <si>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</si>
  <si>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</si>
  <si>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</si>
  <si>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</si>
  <si>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</si>
  <si>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</si>
  <si>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</si>
  <si>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</si>
  <si>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</si>
  <si>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</si>
  <si>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</si>
  <si>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</si>
  <si>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</si>
  <si>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</si>
  <si>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</si>
  <si>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</si>
  <si>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</si>
  <si>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</si>
  <si>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</si>
  <si>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</si>
  <si>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</si>
  <si>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</si>
  <si>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</si>
  <si>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</si>
  <si>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</si>
  <si>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</si>
  <si>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</si>
  <si>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</si>
  <si>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</si>
  <si>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</si>
  <si>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</si>
  <si>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</si>
  <si>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</si>
  <si>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</si>
  <si>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</si>
  <si>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</si>
  <si>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</si>
  <si>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</si>
  <si>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</si>
  <si>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</si>
  <si>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</si>
  <si>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</si>
  <si>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</si>
  <si>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</si>
  <si>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</si>
  <si>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</si>
  <si>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</si>
  <si>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</si>
  <si>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</si>
  <si>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</si>
  <si>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</si>
  <si>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</si>
  <si>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</si>
  <si>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</si>
  <si>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</si>
  <si>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</si>
  <si>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</si>
  <si>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</si>
  <si>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</si>
  <si>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</si>
  <si>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</si>
  <si>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</si>
  <si>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</si>
  <si>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</si>
  <si>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</si>
  <si>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</si>
  <si>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</si>
  <si>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</si>
  <si>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</si>
  <si>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</si>
  <si>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</si>
  <si>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</si>
  <si>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</si>
  <si>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</si>
  <si>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</si>
  <si>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</si>
  <si>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</si>
  <si>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</si>
  <si>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</si>
  <si>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</si>
  <si>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</si>
  <si>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</si>
  <si>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</si>
  <si>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</si>
  <si>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</si>
  <si>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</si>
  <si>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</si>
  <si>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</si>
  <si>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</si>
  <si>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</si>
  <si>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</si>
  <si>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</si>
  <si>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</si>
  <si>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</si>
  <si>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</si>
  <si>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</si>
  <si>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</si>
  <si>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</si>
  <si>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</si>
  <si>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</si>
  <si>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</si>
  <si>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</si>
  <si>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</si>
  <si>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</si>
  <si>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</si>
  <si>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</si>
  <si>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</si>
  <si>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</si>
  <si>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</si>
  <si>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</si>
  <si>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</si>
  <si>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</si>
  <si>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</si>
  <si>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</si>
  <si>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</si>
  <si>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</si>
  <si>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</si>
  <si>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</si>
  <si>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</si>
  <si>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</si>
  <si>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</si>
  <si>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</si>
  <si>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</si>
  <si>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</si>
  <si>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</si>
  <si>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</si>
  <si>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</si>
  <si>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</si>
  <si>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</si>
  <si>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</si>
  <si>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</si>
  <si>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</si>
  <si>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</si>
  <si>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</si>
  <si>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</si>
  <si>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</si>
  <si>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</si>
  <si>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</si>
  <si>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</si>
  <si>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</si>
  <si>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</si>
  <si>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</si>
  <si>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</si>
  <si>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</si>
  <si>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</si>
  <si>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</si>
  <si>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</si>
  <si>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</si>
  <si>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</si>
  <si>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</si>
  <si>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</si>
  <si>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</si>
  <si>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</si>
  <si>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</si>
  <si>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</si>
  <si>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</si>
  <si>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</si>
  <si>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</si>
  <si>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</si>
  <si>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</si>
  <si>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</si>
  <si>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</si>
  <si>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</si>
  <si>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</si>
  <si>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</si>
  <si>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</si>
  <si>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</si>
  <si>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</si>
  <si>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</si>
  <si>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</si>
  <si>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</si>
  <si>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</si>
  <si>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</si>
  <si>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</si>
  <si>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</si>
  <si>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</si>
  <si>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</si>
  <si>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</si>
  <si>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</si>
  <si>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</si>
  <si>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</si>
  <si>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</si>
  <si>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</si>
  <si>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</si>
  <si>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</si>
  <si>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</si>
  <si>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</si>
  <si>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</si>
  <si>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</si>
  <si>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</si>
  <si>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</si>
  <si>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</si>
  <si>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</si>
  <si>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</si>
  <si>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</si>
  <si>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</si>
  <si>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</si>
  <si>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</si>
  <si>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</si>
  <si>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</si>
  <si>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</si>
  <si>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</si>
  <si>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</si>
  <si>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</si>
  <si>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</si>
  <si>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</si>
  <si>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</si>
  <si>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</si>
  <si>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</si>
  <si>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</si>
  <si>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</si>
  <si>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</si>
  <si>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</si>
  <si>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</si>
  <si>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</si>
  <si>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</si>
  <si>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</si>
  <si>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</si>
  <si>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</si>
  <si>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</si>
  <si>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</si>
  <si>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</si>
  <si>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</si>
  <si>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</si>
  <si>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</si>
  <si>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</si>
  <si>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</si>
  <si>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</si>
  <si>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</si>
  <si>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</si>
  <si>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</si>
  <si>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</si>
  <si>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</si>
  <si>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</si>
  <si>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</si>
  <si>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</si>
  <si>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</si>
  <si>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</si>
  <si>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</si>
  <si>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</si>
  <si>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</si>
  <si>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</si>
  <si>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</si>
  <si>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</si>
  <si>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</si>
  <si>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</si>
  <si>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</si>
  <si>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</si>
  <si>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</si>
  <si>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</si>
  <si>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</si>
  <si>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</si>
  <si>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</si>
  <si>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</si>
  <si>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</si>
  <si>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</si>
  <si>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</si>
  <si>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</si>
  <si>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</si>
  <si>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</si>
  <si>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</si>
  <si>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</si>
  <si>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</si>
  <si>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</si>
  <si>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</si>
  <si>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</si>
  <si>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</si>
  <si>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</si>
  <si>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</si>
  <si>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</si>
  <si>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</si>
  <si>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</si>
  <si>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</si>
  <si>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</si>
  <si>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</si>
  <si>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</si>
  <si>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</si>
  <si>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</si>
  <si>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</si>
  <si>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</si>
  <si>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</si>
  <si>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</si>
  <si>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</si>
  <si>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</si>
  <si>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</si>
  <si>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</si>
  <si>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</si>
  <si>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</si>
  <si>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</si>
  <si>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</si>
  <si>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</si>
  <si>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</si>
  <si>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</si>
  <si>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</si>
  <si>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</si>
  <si>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</si>
  <si>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</si>
  <si>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</si>
  <si>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</si>
  <si>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</si>
  <si>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</si>
  <si>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</si>
  <si>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</si>
  <si>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</si>
  <si>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</si>
  <si>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</si>
  <si>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</si>
  <si>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</si>
  <si>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</si>
  <si>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</si>
  <si>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</si>
  <si>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</si>
  <si>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</si>
  <si>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</si>
  <si>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</si>
  <si>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</si>
  <si>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</si>
  <si>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</si>
  <si>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</si>
  <si>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</si>
  <si>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</si>
  <si>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</si>
  <si>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</si>
  <si>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</si>
  <si>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</si>
  <si>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</si>
  <si>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</si>
  <si>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</si>
  <si>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</si>
  <si>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</si>
  <si>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</si>
  <si>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</si>
  <si>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</si>
  <si>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</si>
  <si>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</si>
  <si>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</si>
  <si>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</si>
  <si>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</si>
  <si>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</si>
  <si>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</si>
  <si>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</si>
  <si>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</si>
  <si>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</si>
  <si>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</si>
  <si>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</si>
  <si>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</si>
  <si>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</si>
  <si>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</si>
  <si>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</si>
  <si>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</si>
  <si>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</si>
  <si>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</si>
  <si>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</si>
  <si>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</si>
  <si>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</si>
  <si>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</si>
  <si>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</si>
  <si>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</si>
  <si>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</si>
  <si>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</si>
  <si>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</si>
  <si>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</si>
  <si>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</si>
  <si>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</si>
  <si>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</si>
  <si>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</si>
  <si>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</si>
  <si>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</si>
  <si>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</si>
  <si>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</si>
  <si>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</si>
  <si>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</si>
  <si>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</si>
  <si>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</si>
  <si>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</si>
  <si>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</si>
  <si>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</si>
  <si>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</si>
  <si>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</si>
  <si>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</si>
  <si>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</si>
  <si>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</si>
  <si>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</si>
  <si>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</si>
  <si>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</si>
  <si>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</si>
  <si>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</si>
  <si>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</si>
  <si>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</si>
  <si>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</si>
  <si>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</si>
  <si>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</si>
  <si>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</si>
  <si>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</si>
  <si>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</si>
  <si>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</si>
  <si>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</si>
  <si>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</si>
  <si>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</si>
  <si>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</si>
  <si>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</si>
  <si>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</si>
  <si>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</si>
  <si>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</si>
  <si>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</si>
  <si>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</si>
  <si>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</si>
  <si>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</si>
  <si>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</si>
  <si>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</si>
  <si>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</si>
  <si>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</si>
  <si>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</si>
  <si>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</si>
  <si>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</si>
  <si>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</si>
  <si>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</si>
  <si>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</si>
  <si>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</si>
  <si>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</si>
  <si>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</si>
  <si>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</si>
  <si>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</si>
  <si>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</si>
  <si>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</si>
  <si>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</si>
  <si>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</si>
  <si>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</si>
  <si>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</si>
  <si>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</si>
  <si>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</si>
  <si>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</si>
  <si>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</si>
  <si>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</si>
  <si>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</si>
  <si>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</si>
  <si>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</si>
  <si>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</si>
  <si>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</si>
  <si>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</si>
  <si>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</si>
  <si>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</si>
  <si>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</si>
  <si>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</si>
  <si>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</si>
  <si>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</si>
  <si>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</si>
  <si>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</si>
  <si>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</si>
  <si>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</si>
  <si>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</si>
  <si>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</si>
  <si>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</si>
  <si>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</si>
  <si>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</si>
  <si>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</si>
  <si>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</si>
  <si>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</si>
  <si>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</si>
  <si>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</si>
  <si>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</si>
  <si>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</si>
  <si>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</si>
  <si>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</si>
  <si>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</si>
  <si>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</si>
  <si>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</si>
  <si>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</si>
  <si>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</si>
  <si>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</si>
  <si>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</si>
  <si>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</si>
  <si>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</si>
  <si>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</si>
  <si>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</si>
  <si>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</si>
  <si>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</si>
  <si>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</si>
  <si>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</si>
  <si>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</si>
  <si>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</si>
  <si>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</si>
  <si>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</si>
  <si>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</si>
  <si>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</si>
  <si>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</si>
  <si>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</si>
  <si>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</si>
  <si>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</si>
  <si>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</si>
  <si>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</si>
  <si>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</si>
  <si>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</si>
  <si>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</si>
  <si>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</si>
  <si>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</si>
  <si>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</si>
  <si>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</si>
  <si>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</si>
  <si>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</si>
  <si>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</si>
  <si>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</si>
  <si>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</si>
  <si>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</si>
  <si>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</si>
  <si>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</si>
  <si>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</si>
  <si>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</si>
  <si>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</si>
  <si>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</si>
  <si>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</si>
  <si>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</si>
  <si>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</si>
  <si>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</si>
  <si>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</si>
  <si>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</si>
  <si>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</si>
  <si>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</si>
  <si>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</si>
  <si>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</si>
  <si>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</si>
  <si>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</si>
  <si>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</si>
  <si>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</si>
  <si>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</si>
  <si>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</si>
  <si>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</si>
  <si>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</si>
  <si>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</si>
  <si>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</si>
  <si>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</si>
  <si>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</si>
  <si>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</si>
  <si>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</si>
  <si>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</si>
  <si>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</si>
  <si>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</si>
  <si>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</si>
  <si>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</si>
  <si>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</si>
  <si>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</si>
  <si>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</si>
  <si>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</si>
  <si>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</si>
  <si>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</si>
  <si>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</si>
  <si>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</si>
  <si>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</si>
  <si>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</si>
  <si>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</si>
  <si>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</si>
  <si>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</si>
  <si>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</si>
  <si>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</si>
  <si>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</si>
  <si>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</si>
  <si>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</si>
  <si>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</si>
  <si>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</si>
  <si>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</si>
  <si>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</si>
  <si>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</si>
  <si>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</si>
  <si>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</si>
  <si>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</si>
  <si>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</si>
  <si>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</si>
  <si>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</si>
  <si>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</si>
  <si>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</si>
  <si>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</si>
  <si>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</si>
  <si>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</si>
  <si>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</si>
  <si>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</si>
  <si>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</si>
  <si>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</si>
  <si>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</si>
  <si>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</si>
  <si>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</si>
  <si>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</si>
  <si>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</si>
  <si>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</si>
  <si>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</si>
  <si>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</si>
  <si>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</si>
  <si>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</si>
  <si>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</si>
  <si>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</si>
  <si>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</si>
  <si>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</si>
  <si>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</si>
  <si>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</si>
  <si>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</si>
  <si>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</si>
  <si>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</si>
  <si>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</si>
  <si>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</si>
  <si>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</si>
  <si>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</si>
  <si>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</si>
  <si>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</si>
  <si>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</si>
  <si>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</si>
  <si>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</si>
  <si>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</si>
  <si>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</si>
  <si>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</si>
  <si>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</si>
  <si>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</si>
  <si>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</si>
  <si>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</si>
  <si>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</si>
  <si>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</si>
  <si>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</si>
  <si>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</si>
  <si>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</si>
  <si>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</si>
  <si>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</si>
  <si>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</si>
  <si>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</si>
  <si>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</si>
  <si>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</si>
  <si>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</si>
  <si>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</si>
  <si>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</si>
  <si>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</si>
  <si>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</si>
  <si>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</si>
  <si>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</si>
  <si>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</si>
  <si>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</si>
  <si>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</si>
  <si>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</si>
  <si>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</si>
  <si>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</si>
  <si>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</si>
  <si>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</si>
  <si>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</si>
  <si>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</si>
  <si>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</si>
  <si>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</si>
  <si>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</si>
  <si>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</si>
  <si>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</si>
  <si>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</si>
  <si>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</si>
  <si>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</si>
  <si>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</si>
  <si>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</si>
  <si>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</si>
  <si>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</si>
  <si>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</si>
  <si>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</si>
  <si>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</si>
  <si>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</si>
  <si>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</si>
  <si>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</si>
  <si>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</si>
  <si>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</si>
  <si>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</si>
  <si>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</si>
  <si>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</si>
  <si>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</si>
  <si>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</si>
  <si>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</si>
  <si>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</si>
  <si>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</si>
  <si>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</si>
  <si>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</si>
  <si>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</si>
  <si>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</si>
  <si>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</si>
  <si>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</si>
  <si>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</si>
  <si>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</si>
  <si>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</si>
  <si>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</si>
  <si>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</si>
  <si>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</si>
  <si>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</si>
  <si>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</si>
  <si>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</si>
  <si>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</si>
  <si>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</si>
  <si>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</si>
  <si>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</si>
  <si>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</si>
  <si>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</si>
  <si>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</si>
  <si>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</si>
  <si>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</si>
  <si>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</si>
  <si>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</si>
  <si>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</si>
  <si>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</si>
  <si>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</si>
  <si>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</si>
  <si>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</si>
  <si>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</si>
  <si>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</si>
  <si>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</si>
  <si>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</si>
  <si>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</si>
  <si>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</si>
  <si>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</si>
  <si>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</si>
  <si>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</si>
  <si>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</si>
  <si>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</si>
  <si>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</si>
  <si>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</si>
  <si>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</si>
  <si>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</si>
  <si>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</si>
  <si>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</si>
  <si>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</si>
  <si>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</si>
  <si>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</si>
  <si>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</si>
  <si>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</si>
  <si>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</si>
  <si>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</si>
  <si>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</si>
  <si>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</si>
  <si>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</si>
  <si>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</si>
  <si>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</si>
  <si>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</si>
  <si>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</si>
  <si>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</si>
  <si>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</si>
  <si>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</si>
  <si>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</si>
  <si>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</si>
  <si>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</si>
  <si>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</si>
  <si>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</si>
  <si>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</si>
  <si>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</si>
  <si>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</si>
  <si>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</si>
  <si>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</si>
  <si>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</si>
  <si>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</si>
  <si>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</si>
  <si>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</si>
  <si>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</si>
  <si>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</si>
  <si>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</si>
  <si>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</si>
  <si>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</si>
  <si>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</si>
  <si>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</si>
  <si>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</si>
  <si>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</si>
  <si>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</si>
  <si>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</si>
  <si>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</si>
  <si>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</si>
  <si>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</si>
  <si>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</si>
  <si>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</si>
  <si>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</si>
  <si>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</si>
  <si>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</si>
  <si>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</si>
  <si>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</si>
  <si>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</si>
  <si>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</si>
  <si>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</si>
  <si>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</si>
  <si>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</si>
  <si>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</si>
  <si>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</si>
  <si>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</si>
  <si>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</si>
  <si>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</si>
  <si>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</si>
  <si>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</si>
  <si>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</si>
  <si>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</si>
  <si>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</si>
  <si>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</si>
  <si>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</si>
  <si>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</si>
  <si>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</si>
  <si>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</si>
  <si>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</si>
  <si>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</si>
  <si>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</si>
  <si>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</si>
  <si>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</si>
  <si>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</si>
  <si>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</si>
  <si>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</si>
  <si>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</si>
  <si>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</si>
  <si>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</si>
  <si>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</si>
  <si>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</si>
  <si>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</si>
  <si>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</si>
  <si>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</si>
  <si>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</si>
  <si>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</si>
  <si>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</si>
  <si>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</si>
  <si>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</si>
  <si>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</si>
  <si>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</si>
  <si>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</si>
  <si>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</si>
  <si>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</si>
  <si>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</si>
  <si>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</si>
  <si>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</si>
  <si>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</si>
  <si>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</si>
  <si>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</si>
  <si>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</si>
  <si>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</si>
  <si>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</si>
  <si>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</si>
  <si>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</si>
  <si>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</si>
  <si>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</si>
  <si>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</si>
  <si>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</si>
  <si>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</si>
  <si>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</si>
  <si>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</si>
  <si>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</si>
  <si>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</si>
  <si>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</si>
  <si>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</si>
  <si>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</si>
  <si>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</si>
  <si>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</si>
  <si>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</si>
  <si>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</si>
  <si>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</si>
  <si>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</si>
  <si>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</si>
  <si>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</si>
  <si>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</si>
  <si>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</si>
  <si>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</si>
  <si>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</si>
  <si>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</si>
  <si>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</si>
  <si>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</si>
  <si>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</si>
  <si>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</si>
  <si>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</si>
  <si>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</si>
  <si>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</si>
  <si>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</si>
  <si>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</si>
  <si>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</si>
  <si>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</si>
  <si>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</si>
  <si>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</si>
  <si>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</si>
  <si>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</si>
  <si>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</si>
  <si>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</si>
  <si>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</si>
  <si>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</si>
  <si>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</si>
  <si>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</si>
  <si>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</si>
  <si>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</si>
  <si>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</si>
  <si>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</si>
  <si>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</si>
  <si>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</si>
  <si>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</si>
  <si>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</si>
  <si>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</si>
  <si>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</si>
  <si>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</si>
  <si>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</si>
  <si>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</si>
  <si>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</si>
  <si>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</si>
  <si>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</si>
  <si>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</si>
  <si>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</si>
  <si>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</si>
  <si>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</si>
  <si>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</si>
  <si>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</si>
  <si>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</si>
  <si>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</si>
  <si>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</si>
  <si>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</si>
  <si>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</si>
  <si>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</si>
  <si>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</si>
  <si>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</si>
  <si>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</si>
  <si>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</si>
  <si>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</si>
  <si>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</si>
  <si>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</si>
  <si>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</si>
  <si>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</si>
  <si>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</si>
  <si>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</si>
  <si>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</si>
  <si>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</si>
  <si>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</si>
  <si>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</si>
  <si>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</si>
  <si>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</si>
  <si>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</si>
  <si>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</si>
  <si>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</si>
  <si>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</si>
  <si>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</si>
  <si>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</si>
  <si>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</si>
  <si>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</si>
  <si>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</si>
  <si>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</si>
  <si>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</si>
  <si>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</si>
  <si>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</si>
  <si>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</si>
  <si>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</si>
  <si>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</si>
  <si>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</si>
  <si>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</si>
  <si>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</si>
  <si>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</si>
  <si>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</si>
  <si>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</si>
  <si>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</si>
  <si>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</si>
  <si>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</si>
  <si>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</si>
  <si>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</si>
  <si>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</si>
  <si>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</si>
  <si>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</si>
  <si>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</si>
  <si>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</si>
  <si>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</si>
  <si>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</si>
  <si>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</si>
  <si>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</si>
  <si>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</si>
  <si>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</si>
  <si>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</si>
  <si>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</si>
  <si>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</si>
  <si>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</si>
  <si>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</si>
  <si>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</si>
  <si>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</si>
  <si>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</si>
  <si>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</si>
  <si>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</si>
  <si>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</si>
  <si>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</si>
  <si>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</si>
  <si>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</si>
  <si>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</si>
  <si>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</si>
  <si>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</si>
  <si>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</si>
  <si>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</si>
  <si>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</si>
  <si>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</si>
  <si>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</si>
  <si>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</si>
  <si>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</si>
  <si>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</si>
  <si>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</si>
  <si>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</si>
  <si>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</si>
  <si>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</si>
  <si>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</si>
  <si>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</si>
  <si>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</si>
  <si>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</si>
  <si>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</si>
  <si>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</si>
  <si>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</si>
  <si>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</si>
  <si>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</si>
  <si>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</si>
  <si>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</si>
  <si>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</si>
  <si>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</si>
  <si>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</si>
  <si>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</si>
  <si>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</si>
  <si>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</si>
  <si>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</si>
  <si>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</si>
  <si>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</si>
  <si>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</si>
  <si>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</si>
  <si>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</si>
  <si>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</si>
  <si>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</si>
  <si>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</si>
  <si>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</si>
  <si>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</si>
  <si>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</si>
  <si>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</si>
  <si>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</si>
  <si>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</si>
  <si>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</si>
  <si>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</si>
  <si>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</si>
  <si>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</si>
  <si>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</si>
  <si>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</si>
  <si>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</si>
  <si>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</si>
  <si>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</si>
  <si>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</si>
  <si>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</si>
  <si>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</si>
  <si>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</si>
  <si>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</si>
  <si>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</si>
  <si>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</si>
  <si>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</si>
  <si>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</si>
  <si>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</si>
  <si>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</si>
  <si>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</si>
  <si>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</si>
  <si>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</si>
  <si>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</si>
  <si>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</si>
  <si>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</si>
  <si>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</si>
  <si>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</si>
  <si>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</si>
  <si>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</si>
  <si>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</si>
  <si>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</si>
  <si>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</si>
  <si>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</si>
  <si>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</si>
  <si>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</si>
  <si>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</si>
  <si>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</si>
  <si>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</si>
  <si>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</si>
  <si>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</si>
  <si>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</si>
  <si>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</si>
  <si>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</si>
  <si>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</si>
  <si>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</si>
  <si>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</si>
  <si>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</si>
  <si>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</si>
  <si>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</si>
  <si>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</si>
  <si>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</si>
  <si>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</si>
  <si>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</si>
  <si>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</si>
  <si>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</si>
  <si>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</si>
  <si>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</si>
  <si>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</si>
  <si>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</si>
  <si>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</si>
  <si>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</si>
  <si>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</si>
  <si>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</si>
  <si>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</si>
  <si>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</si>
  <si>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</si>
  <si>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</si>
  <si>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</si>
  <si>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</si>
  <si>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</si>
  <si>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</si>
  <si>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</si>
  <si>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</si>
  <si>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</si>
  <si>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</si>
  <si>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</si>
  <si>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</si>
  <si>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</si>
  <si>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</si>
  <si>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</si>
  <si>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</si>
  <si>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</si>
  <si>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</si>
  <si>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</si>
  <si>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</si>
  <si>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</si>
  <si>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</si>
  <si>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</si>
  <si>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</si>
  <si>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</si>
  <si>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</si>
  <si>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</si>
  <si>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</si>
  <si>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</si>
  <si>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</si>
  <si>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</si>
  <si>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</si>
  <si>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</si>
  <si>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</si>
  <si>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</si>
  <si>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</si>
  <si>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</si>
  <si>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</si>
  <si>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</si>
  <si>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</si>
  <si>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</si>
  <si>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</si>
  <si>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</si>
  <si>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</si>
  <si>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</si>
  <si>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</si>
  <si>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</si>
  <si>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</si>
  <si>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</si>
  <si>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</si>
  <si>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</si>
  <si>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</si>
  <si>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</si>
  <si>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</si>
  <si>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</si>
  <si>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</si>
  <si>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</si>
  <si>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</si>
  <si>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</si>
  <si>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</si>
  <si>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</si>
  <si>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</si>
  <si>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</si>
  <si>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</si>
  <si>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</si>
  <si>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</si>
  <si>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</si>
  <si>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</si>
  <si>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</si>
  <si>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</si>
  <si>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</si>
  <si>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</si>
  <si>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</si>
  <si>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</si>
  <si>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</si>
  <si>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</si>
  <si>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</si>
  <si>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</si>
  <si>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</si>
  <si>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</si>
  <si>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</si>
  <si>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</si>
  <si>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</si>
  <si>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</si>
  <si>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</si>
  <si>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</si>
  <si>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</si>
  <si>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</si>
  <si>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</si>
  <si>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</si>
  <si>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</si>
  <si>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</si>
  <si>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</si>
  <si>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</si>
  <si>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</si>
  <si>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</si>
  <si>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</si>
  <si>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</si>
  <si>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</si>
  <si>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</si>
  <si>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</si>
  <si>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</si>
  <si>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</si>
  <si>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</si>
  <si>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</si>
  <si>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</si>
  <si>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</si>
  <si>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</si>
  <si>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</si>
  <si>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</si>
  <si>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</si>
  <si>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</si>
  <si>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</si>
  <si>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</si>
  <si>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</si>
  <si>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</si>
  <si>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</si>
  <si>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</si>
  <si>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</si>
  <si>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</si>
  <si>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</si>
  <si>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</si>
  <si>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</si>
  <si>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</si>
  <si>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</si>
  <si>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</si>
  <si>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</si>
  <si>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</si>
  <si>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</si>
  <si>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</si>
  <si>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</si>
  <si>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</si>
  <si>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</si>
  <si>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</si>
  <si>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</si>
  <si>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</si>
  <si>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</si>
  <si>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</si>
  <si>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</si>
  <si>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</si>
  <si>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</si>
  <si>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</si>
  <si>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</si>
  <si>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</si>
  <si>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</si>
  <si>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</si>
  <si>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</si>
  <si>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</si>
  <si>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</si>
  <si>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</si>
  <si>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</si>
  <si>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</si>
  <si>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</si>
  <si>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</si>
  <si>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</si>
  <si>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</si>
  <si>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</si>
  <si>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</si>
  <si>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</si>
  <si>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</si>
  <si>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</si>
  <si>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</si>
  <si>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</si>
  <si>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</si>
  <si>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</si>
  <si>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</si>
  <si>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</si>
  <si>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</si>
  <si>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</si>
  <si>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</si>
  <si>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</si>
  <si>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</si>
  <si>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</si>
  <si>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</si>
  <si>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</si>
  <si>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</si>
  <si>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</si>
  <si>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</si>
  <si>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</si>
  <si>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</si>
  <si>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</si>
  <si>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</si>
  <si>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</si>
  <si>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</si>
  <si>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</si>
  <si>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</si>
  <si>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</si>
  <si>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</si>
  <si>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</si>
  <si>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</si>
  <si>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</si>
  <si>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</si>
  <si>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</si>
  <si>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</si>
  <si>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</si>
  <si>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</si>
  <si>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</si>
  <si>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</si>
  <si>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</si>
  <si>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</si>
  <si>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</si>
  <si>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</si>
  <si>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</si>
  <si>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</si>
  <si>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</si>
  <si>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</si>
  <si>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</si>
  <si>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</si>
  <si>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</si>
  <si>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</si>
  <si>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</si>
  <si>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</si>
  <si>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</si>
  <si>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</si>
  <si>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</si>
  <si>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</si>
  <si>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</si>
  <si>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</si>
  <si>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</si>
  <si>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</si>
  <si>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</si>
  <si>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</si>
  <si>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</si>
  <si>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</si>
  <si>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</si>
  <si>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</si>
  <si>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</si>
  <si>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</si>
  <si>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</si>
  <si>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</si>
  <si>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</si>
  <si>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</si>
  <si>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</si>
  <si>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</si>
  <si>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</si>
  <si>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</si>
  <si>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</si>
  <si>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</si>
  <si>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</si>
  <si>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</si>
  <si>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</si>
  <si>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</si>
  <si>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</si>
  <si>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</si>
  <si>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</si>
  <si>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</si>
  <si>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</si>
  <si>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</si>
  <si>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</si>
  <si>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</si>
  <si>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</si>
  <si>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</si>
  <si>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</si>
  <si>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</si>
  <si>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</si>
  <si>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</si>
  <si>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</si>
  <si>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</si>
  <si>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</si>
  <si>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</si>
  <si>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</si>
  <si>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</si>
  <si>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</si>
  <si>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</si>
  <si>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</si>
  <si>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</si>
  <si>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</si>
  <si>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</si>
  <si>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</si>
  <si>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</si>
  <si>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</si>
  <si>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</si>
  <si>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</si>
  <si>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</si>
  <si>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</si>
  <si>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</si>
  <si>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</si>
  <si>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</si>
  <si>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</si>
  <si>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</si>
  <si>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</si>
  <si>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</si>
  <si>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</si>
  <si>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</si>
  <si>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</si>
  <si>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</si>
  <si>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</si>
  <si>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</si>
  <si>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</si>
  <si>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</si>
  <si>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</si>
  <si>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</si>
  <si>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</si>
  <si>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</si>
  <si>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</si>
  <si>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</si>
  <si>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</si>
  <si>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</si>
  <si>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</si>
  <si>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</si>
  <si>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</si>
  <si>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</si>
  <si>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</si>
  <si>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</si>
  <si>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</si>
  <si>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</si>
  <si>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</si>
  <si>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</si>
  <si>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</si>
  <si>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</si>
  <si>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</si>
  <si>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</si>
  <si>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</si>
  <si>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</si>
  <si>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</si>
  <si>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</si>
  <si>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</si>
  <si>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</si>
  <si>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</si>
  <si>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</si>
  <si>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</si>
  <si>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</si>
  <si>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</si>
  <si>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</si>
  <si>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</si>
  <si>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</si>
  <si>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</si>
  <si>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</si>
  <si>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</si>
  <si>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</si>
  <si>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</si>
  <si>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</si>
  <si>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</si>
  <si>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</si>
  <si>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</si>
  <si>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</si>
  <si>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</si>
  <si>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</si>
  <si>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</si>
  <si>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</si>
  <si>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</si>
  <si>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</si>
  <si>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</si>
  <si>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</si>
  <si>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</si>
  <si>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</si>
  <si>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</si>
  <si>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</si>
  <si>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</si>
  <si>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</si>
  <si>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</si>
  <si>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</si>
  <si>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</si>
  <si>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</si>
  <si>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</si>
  <si>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</si>
  <si>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</si>
  <si>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</si>
  <si>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</si>
  <si>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</si>
  <si>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</si>
  <si>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</si>
  <si>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</si>
  <si>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</si>
  <si>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</si>
  <si>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</si>
  <si>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</si>
  <si>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</si>
  <si>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</si>
  <si>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</si>
  <si>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</si>
  <si>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</si>
  <si>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</si>
  <si>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</si>
  <si>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</si>
  <si>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</si>
  <si>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</si>
  <si>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</si>
  <si>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</si>
  <si>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</si>
  <si>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</si>
  <si>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</si>
  <si>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</si>
  <si>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</si>
  <si>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</si>
  <si>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</si>
  <si>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</si>
  <si>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</si>
  <si>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</si>
  <si>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</si>
  <si>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</si>
  <si>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</si>
  <si>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</si>
  <si>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</si>
  <si>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</si>
  <si>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</si>
  <si>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</si>
  <si>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</si>
  <si>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</si>
  <si>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</si>
  <si>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</si>
  <si>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</si>
  <si>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</si>
  <si>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</si>
  <si>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</si>
  <si>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</si>
  <si>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</si>
  <si>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</si>
  <si>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</si>
  <si>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</si>
  <si>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</si>
  <si>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</si>
  <si>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</si>
  <si>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</si>
  <si>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</si>
  <si>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</si>
  <si>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</si>
  <si>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</si>
  <si>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</si>
  <si>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</si>
  <si>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</si>
  <si>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</si>
  <si>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</si>
  <si>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</si>
  <si>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</si>
  <si>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</si>
  <si>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</si>
  <si>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</si>
  <si>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</si>
  <si>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</si>
  <si>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</si>
  <si>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</si>
  <si>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</si>
  <si>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</si>
  <si>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</si>
  <si>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</si>
  <si>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</si>
  <si>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</si>
  <si>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</si>
  <si>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</si>
  <si>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</si>
  <si>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</si>
  <si>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</si>
  <si>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</si>
  <si>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</si>
  <si>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</si>
  <si>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</si>
  <si>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</si>
  <si>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</si>
  <si>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</si>
  <si>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</si>
  <si>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</si>
  <si>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</si>
  <si>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</si>
  <si>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</si>
  <si>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</si>
  <si>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</si>
  <si>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</si>
  <si>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</si>
  <si>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</si>
  <si>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</si>
  <si>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</si>
  <si>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</si>
  <si>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</si>
  <si>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</si>
  <si>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</si>
  <si>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</si>
  <si>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</si>
  <si>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</si>
  <si>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</si>
  <si>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</si>
  <si>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</si>
  <si>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</si>
  <si>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</si>
  <si>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</si>
  <si>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</si>
  <si>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</si>
  <si>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</si>
  <si>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</si>
  <si>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</si>
  <si>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</si>
  <si>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</si>
  <si>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</si>
  <si>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</si>
  <si>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</si>
  <si>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</si>
  <si>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</si>
  <si>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</si>
  <si>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</si>
  <si>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</si>
  <si>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</si>
  <si>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</si>
  <si>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</si>
  <si>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</si>
  <si>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</si>
  <si>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</si>
  <si>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</si>
  <si>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</si>
  <si>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</si>
  <si>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</si>
  <si>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</si>
  <si>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</si>
  <si>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</si>
  <si>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</si>
  <si>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</si>
  <si>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</si>
  <si>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</si>
  <si>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</si>
  <si>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</si>
  <si>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</si>
  <si>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</si>
  <si>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</si>
  <si>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</si>
  <si>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</si>
  <si>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</si>
  <si>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</si>
  <si>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</si>
  <si>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</si>
  <si>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</si>
  <si>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</si>
  <si>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</si>
  <si>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</si>
  <si>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</si>
  <si>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</si>
  <si>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</si>
  <si>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</si>
  <si>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</si>
  <si>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</si>
  <si>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</si>
  <si>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</si>
  <si>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</si>
  <si>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</si>
  <si>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</si>
  <si>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</si>
  <si>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</si>
  <si>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</si>
  <si>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</si>
  <si>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</si>
  <si>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</si>
  <si>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</si>
  <si>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</si>
  <si>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</si>
  <si>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</si>
  <si>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</si>
  <si>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</si>
  <si>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</si>
  <si>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</si>
  <si>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</si>
  <si>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</si>
  <si>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</si>
  <si>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</si>
  <si>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</si>
  <si>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</si>
  <si>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</si>
  <si>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</si>
  <si>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</si>
  <si>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</si>
  <si>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</si>
  <si>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</si>
  <si>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</si>
  <si>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</si>
  <si>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</si>
  <si>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</si>
  <si>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</si>
  <si>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</si>
  <si>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</si>
  <si>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</si>
  <si>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</si>
  <si>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</si>
  <si>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</si>
  <si>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</si>
  <si>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</si>
  <si>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</si>
  <si>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</si>
  <si>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</si>
  <si>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</si>
  <si>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</si>
  <si>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</si>
  <si>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</si>
  <si>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</si>
  <si>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</si>
  <si>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</si>
  <si>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</si>
  <si>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</si>
  <si>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</si>
  <si>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</si>
  <si>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</si>
  <si>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</si>
  <si>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</si>
  <si>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</si>
  <si>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</si>
  <si>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</si>
  <si>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</si>
  <si>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</si>
  <si>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</si>
  <si>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</si>
  <si>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</si>
  <si>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</si>
  <si>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</si>
  <si>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</si>
  <si>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</si>
  <si>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</si>
  <si>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</si>
  <si>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</si>
  <si>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</si>
  <si>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</si>
  <si>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</si>
  <si>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</si>
  <si>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</si>
  <si>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</si>
  <si>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</si>
  <si>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</si>
  <si>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</si>
  <si>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</si>
  <si>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</si>
  <si>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</si>
  <si>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</si>
  <si>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</si>
  <si>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</si>
  <si>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</si>
  <si>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</si>
  <si>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</si>
  <si>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</si>
  <si>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</si>
  <si>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</si>
  <si>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</si>
  <si>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</si>
  <si>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</si>
  <si>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</si>
  <si>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</si>
  <si>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</si>
  <si>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</si>
  <si>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</si>
  <si>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</si>
  <si>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</si>
  <si>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</si>
  <si>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</si>
  <si>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</si>
  <si>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</si>
  <si>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</si>
  <si>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</si>
  <si>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</si>
  <si>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</si>
  <si>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</si>
  <si>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</si>
  <si>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</si>
  <si>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</si>
  <si>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</si>
  <si>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</si>
  <si>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</si>
  <si>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</si>
  <si>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</si>
  <si>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</si>
  <si>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</si>
  <si>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</si>
  <si>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</si>
  <si>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</si>
  <si>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</si>
  <si>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</si>
  <si>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</si>
  <si>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</si>
  <si>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</si>
  <si>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</si>
  <si>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</si>
  <si>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</si>
  <si>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</si>
  <si>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</si>
  <si>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</si>
  <si>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</si>
  <si>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</si>
  <si>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</si>
  <si>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</si>
  <si>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</si>
  <si>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</si>
  <si>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</si>
  <si>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</si>
  <si>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</si>
  <si>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</si>
  <si>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</si>
  <si>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</si>
  <si>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</si>
  <si>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</si>
  <si>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</si>
  <si>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</si>
  <si>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</si>
  <si>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</si>
  <si>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</si>
  <si>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</si>
  <si>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</si>
  <si>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</si>
  <si>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</si>
  <si>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</si>
  <si>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</si>
  <si>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</si>
  <si>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</si>
  <si>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</si>
  <si>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</si>
  <si>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</si>
  <si>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</si>
  <si>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</si>
  <si>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</si>
  <si>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</si>
  <si>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</si>
  <si>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</si>
  <si>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</si>
  <si>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</si>
  <si>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</si>
  <si>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</si>
  <si>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</si>
  <si>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</si>
  <si>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</si>
  <si>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</si>
  <si>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</si>
  <si>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</si>
  <si>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</si>
  <si>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</si>
  <si>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</si>
  <si>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</si>
  <si>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</si>
  <si>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</si>
  <si>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</si>
  <si>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</si>
  <si>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</si>
  <si>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</si>
  <si>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</si>
  <si>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</si>
  <si>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</si>
  <si>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</si>
  <si>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</si>
  <si>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</si>
  <si>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</si>
  <si>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</si>
  <si>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</si>
  <si>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</si>
  <si>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</si>
  <si>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</si>
  <si>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</si>
  <si>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</si>
  <si>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</si>
  <si>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</si>
  <si>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</si>
  <si>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</si>
  <si>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</si>
  <si>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</si>
  <si>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</si>
  <si>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</si>
  <si>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</si>
  <si>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</si>
  <si>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</si>
  <si>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</si>
  <si>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</si>
  <si>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</si>
  <si>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</si>
  <si>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</si>
  <si>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</si>
  <si>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</si>
  <si>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</si>
  <si>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</si>
  <si>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</si>
  <si>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</si>
  <si>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</si>
  <si>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</si>
  <si>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</si>
  <si>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</si>
  <si>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</si>
  <si>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</si>
  <si>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</si>
  <si>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</si>
  <si>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</si>
  <si>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</si>
  <si>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</si>
  <si>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</si>
  <si>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</si>
  <si>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</si>
  <si>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</si>
  <si>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</si>
  <si>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</si>
  <si>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</si>
  <si>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</si>
  <si>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</si>
  <si>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</si>
  <si>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</si>
  <si>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</si>
  <si>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</si>
  <si>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</si>
  <si>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</si>
  <si>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</si>
  <si>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</si>
  <si>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</si>
  <si>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</si>
  <si>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</si>
  <si>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</si>
  <si>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</si>
  <si>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</si>
  <si>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</si>
  <si>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</si>
  <si>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</si>
  <si>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</si>
  <si>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</si>
  <si>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</si>
  <si>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</si>
  <si>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</si>
  <si>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</si>
  <si>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</si>
  <si>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</si>
  <si>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</si>
  <si>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</si>
  <si>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</si>
  <si>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</si>
  <si>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</si>
  <si>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</si>
  <si>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</si>
  <si>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</si>
  <si>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</si>
  <si>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</si>
  <si>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</si>
  <si>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</si>
  <si>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</si>
  <si>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</si>
  <si>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</si>
  <si>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</si>
  <si>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</si>
  <si>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</si>
  <si>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</si>
  <si>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</si>
  <si>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</si>
  <si>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</si>
  <si>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</si>
  <si>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</si>
  <si>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</si>
  <si>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</si>
  <si>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</si>
  <si>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</si>
  <si>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</si>
  <si>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</si>
  <si>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</si>
  <si>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</si>
  <si>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</si>
  <si>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</si>
  <si>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</si>
  <si>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</si>
  <si>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</si>
  <si>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</si>
  <si>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</si>
  <si>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</si>
  <si>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</si>
  <si>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</si>
  <si>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</si>
  <si>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</si>
  <si>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</si>
  <si>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</si>
  <si>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</si>
  <si>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</si>
  <si>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</si>
  <si>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</si>
  <si>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</si>
  <si>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</si>
  <si>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</si>
  <si>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</si>
  <si>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</si>
  <si>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</si>
  <si>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</si>
  <si>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</si>
  <si>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</si>
  <si>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</si>
  <si>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</si>
  <si>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</si>
  <si>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</si>
  <si>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</si>
  <si>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</si>
  <si>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</si>
  <si>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</si>
  <si>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</si>
  <si>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</si>
  <si>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</si>
  <si>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</si>
  <si>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</si>
  <si>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</si>
  <si>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</si>
  <si>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</si>
  <si>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</si>
  <si>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</si>
  <si>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</si>
  <si>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</si>
  <si>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</si>
  <si>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</si>
  <si>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</si>
  <si>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</si>
  <si>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</si>
  <si>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</si>
  <si>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</si>
  <si>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</si>
  <si>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</si>
  <si>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</si>
  <si>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</si>
  <si>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</si>
  <si>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</si>
  <si>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</si>
  <si>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</si>
  <si>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</si>
  <si>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</si>
  <si>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</si>
  <si>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</si>
  <si>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</si>
  <si>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</si>
  <si>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</si>
  <si>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</si>
  <si>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</si>
  <si>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</si>
  <si>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</si>
  <si>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</si>
  <si>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</si>
  <si>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</si>
  <si>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</si>
  <si>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</si>
  <si>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</si>
  <si>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</si>
  <si>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</si>
  <si>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</si>
  <si>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</si>
  <si>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</si>
  <si>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</si>
  <si>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</si>
  <si>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</si>
  <si>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</si>
  <si>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</si>
  <si>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</si>
  <si>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</si>
  <si>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</si>
  <si>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</si>
  <si>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</si>
  <si>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</si>
  <si>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</si>
  <si>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</si>
  <si>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</si>
  <si>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</si>
  <si>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</si>
  <si>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</si>
  <si>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</si>
  <si>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</si>
  <si>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</si>
  <si>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</si>
  <si>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</si>
  <si>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</si>
  <si>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</si>
  <si>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</si>
  <si>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</si>
  <si>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</si>
  <si>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</si>
  <si>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</si>
  <si>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</si>
  <si>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</si>
  <si>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</si>
  <si>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</si>
  <si>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</si>
  <si>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</si>
  <si>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</si>
  <si>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</si>
  <si>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</si>
  <si>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</si>
  <si>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</si>
  <si>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</si>
  <si>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</si>
  <si>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</si>
  <si>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</si>
  <si>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</si>
  <si>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</si>
  <si>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</si>
  <si>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</si>
  <si>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</si>
  <si>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</si>
  <si>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</si>
  <si>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</si>
  <si>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</si>
  <si>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</si>
  <si>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</si>
  <si>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</si>
  <si>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</si>
  <si>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</si>
  <si>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</si>
  <si>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</si>
  <si>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</si>
  <si>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</si>
  <si>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</si>
  <si>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</si>
  <si>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</si>
  <si>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</si>
  <si>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</si>
  <si>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</si>
  <si>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</si>
  <si>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</si>
  <si>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</si>
  <si>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</si>
  <si>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</si>
  <si>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</si>
  <si>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</si>
  <si>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</si>
  <si>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</si>
  <si>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</si>
  <si>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</si>
  <si>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</si>
  <si>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</si>
  <si>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</si>
  <si>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</si>
  <si>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</si>
  <si>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</si>
  <si>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</si>
  <si>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</si>
  <si>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</si>
  <si>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</si>
  <si>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</si>
  <si>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</si>
  <si>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</si>
  <si>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</si>
  <si>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</si>
  <si>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</si>
  <si>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</si>
  <si>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</si>
  <si>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</si>
  <si>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</si>
  <si>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</si>
  <si>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</si>
  <si>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</si>
  <si>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</si>
  <si>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</si>
  <si>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</si>
  <si>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</si>
  <si>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</si>
  <si>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</si>
  <si>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</si>
  <si>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</si>
  <si>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</si>
  <si>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</si>
  <si>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</si>
  <si>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</si>
  <si>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</si>
  <si>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</si>
  <si>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</si>
  <si>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</si>
  <si>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</si>
  <si>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</si>
  <si>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</si>
  <si>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</si>
  <si>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</si>
  <si>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</si>
  <si>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</si>
  <si>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</si>
  <si>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</si>
  <si>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</si>
  <si>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</si>
  <si>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</si>
  <si>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</si>
  <si>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</si>
  <si>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</si>
  <si>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</si>
  <si>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</si>
  <si>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</si>
  <si>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</si>
  <si>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</si>
  <si>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</si>
  <si>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</si>
  <si>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</si>
  <si>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</si>
  <si>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</si>
  <si>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</si>
  <si>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</si>
  <si>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</si>
  <si>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</si>
  <si>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</si>
  <si>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</si>
  <si>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</si>
  <si>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</si>
  <si>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</si>
  <si>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</si>
  <si>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</si>
  <si>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</si>
  <si>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</si>
  <si>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</si>
  <si>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</si>
  <si>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</si>
  <si>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</si>
  <si>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</si>
  <si>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</si>
  <si>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</si>
  <si>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</si>
  <si>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</si>
  <si>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</si>
  <si>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</si>
  <si>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</si>
  <si>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</si>
  <si>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</si>
  <si>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</si>
  <si>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</si>
  <si>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</si>
  <si>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</si>
  <si>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</si>
  <si>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</si>
  <si>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</si>
  <si>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</si>
  <si>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</si>
  <si>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</si>
  <si>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</si>
  <si>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</si>
  <si>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</si>
  <si>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</si>
  <si>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</si>
  <si>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</si>
  <si>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</si>
  <si>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</si>
  <si>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</si>
  <si>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</si>
  <si>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</si>
  <si>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</si>
  <si>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</si>
  <si>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</si>
  <si>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</si>
  <si>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</si>
  <si>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</si>
  <si>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</si>
  <si>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</si>
  <si>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</si>
  <si>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</si>
  <si>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</si>
  <si>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</si>
  <si>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</si>
  <si>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</si>
  <si>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</si>
  <si>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</si>
  <si>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</si>
  <si>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</si>
  <si>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</si>
  <si>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</si>
  <si>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</si>
  <si>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</si>
  <si>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</si>
  <si>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</si>
  <si>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</si>
  <si>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</si>
  <si>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</si>
  <si>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</si>
  <si>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</si>
  <si>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</si>
  <si>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</si>
  <si>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</si>
  <si>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</si>
  <si>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</si>
  <si>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</si>
  <si>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</si>
  <si>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</si>
  <si>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</si>
  <si>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</si>
  <si>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</si>
  <si>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</si>
  <si>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</si>
  <si>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</si>
  <si>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</si>
  <si>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</si>
  <si>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</si>
  <si>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</si>
  <si>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</si>
  <si>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</si>
  <si>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</si>
  <si>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</si>
  <si>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</si>
  <si>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</si>
  <si>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</si>
  <si>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</si>
  <si>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</si>
  <si>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</si>
  <si>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</si>
  <si>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</si>
  <si>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</si>
  <si>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</si>
  <si>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</si>
  <si>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</si>
  <si>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</si>
  <si>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</si>
  <si>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</si>
  <si>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</si>
  <si>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</si>
  <si>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</si>
  <si>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</si>
  <si>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</si>
  <si>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</si>
  <si>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</si>
  <si>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</si>
  <si>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</si>
  <si>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</si>
  <si>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</si>
  <si>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</si>
  <si>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</si>
  <si>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</si>
  <si>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</si>
  <si>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</si>
  <si>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</si>
  <si>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</si>
  <si>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</si>
  <si>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</si>
  <si>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</si>
  <si>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</si>
  <si>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</si>
  <si>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</si>
  <si>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</si>
  <si>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</si>
  <si>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</si>
  <si>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</si>
  <si>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</si>
  <si>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</si>
  <si>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</si>
  <si>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</si>
  <si>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</si>
  <si>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</si>
  <si>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</si>
  <si>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</si>
  <si>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</si>
  <si>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</si>
  <si>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</si>
  <si>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</si>
  <si>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</si>
  <si>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</si>
  <si>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</si>
  <si>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</si>
  <si>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</si>
  <si>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</si>
  <si>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</si>
  <si>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</si>
  <si>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</si>
  <si>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</si>
  <si>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</si>
  <si>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</si>
  <si>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</si>
  <si>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</si>
  <si>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</si>
  <si>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</si>
  <si>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</si>
  <si>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</si>
  <si>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</si>
  <si>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</si>
  <si>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</si>
  <si>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</si>
  <si>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</si>
  <si>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</si>
  <si>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</si>
  <si>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</si>
  <si>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</si>
  <si>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</si>
  <si>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</si>
  <si>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</si>
  <si>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</si>
  <si>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</si>
  <si>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</si>
  <si>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</si>
  <si>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</si>
  <si>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</si>
  <si>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</si>
  <si>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</si>
  <si>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</si>
  <si>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</si>
  <si>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</si>
  <si>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</si>
  <si>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</si>
  <si>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</si>
  <si>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</si>
  <si>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</si>
  <si>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</si>
  <si>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</si>
  <si>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</si>
  <si>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</si>
  <si>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</si>
  <si>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</si>
  <si>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</si>
  <si>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</si>
  <si>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</si>
  <si>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</si>
  <si>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</si>
  <si>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</si>
  <si>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</si>
  <si>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</si>
  <si>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</si>
  <si>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</si>
  <si>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</si>
  <si>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</si>
  <si>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</si>
  <si>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</si>
  <si>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</si>
  <si>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</si>
  <si>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</si>
  <si>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</si>
  <si>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</si>
  <si>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</si>
  <si>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</si>
  <si>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</si>
  <si>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</si>
  <si>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</si>
  <si>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</si>
  <si>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</si>
  <si>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</si>
  <si>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</si>
  <si>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</si>
  <si>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</si>
  <si>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</si>
  <si>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</si>
  <si>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</si>
  <si>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</si>
  <si>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</si>
  <si>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</si>
  <si>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</si>
  <si>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</si>
  <si>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</si>
  <si>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</si>
  <si>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</si>
  <si>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</si>
  <si>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</si>
  <si>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</si>
  <si>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</si>
  <si>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</si>
  <si>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</si>
  <si>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</si>
  <si>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</si>
  <si>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</si>
  <si>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</si>
  <si>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</si>
  <si>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</si>
  <si>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</si>
  <si>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</si>
  <si>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</si>
  <si>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</si>
  <si>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</si>
  <si>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</si>
  <si>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</si>
  <si>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</si>
  <si>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</si>
  <si>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</si>
  <si>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</si>
  <si>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</si>
  <si>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</si>
  <si>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</si>
  <si>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</si>
  <si>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</si>
  <si>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</si>
  <si>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</si>
  <si>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</si>
  <si>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</si>
  <si>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</si>
  <si>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</si>
  <si>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</si>
  <si>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</si>
  <si>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</si>
  <si>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</si>
  <si>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</si>
  <si>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</si>
  <si>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</si>
  <si>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</si>
  <si>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</si>
  <si>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</si>
  <si>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</si>
  <si>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</si>
  <si>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</si>
  <si>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</si>
  <si>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</si>
  <si>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</si>
  <si>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</si>
  <si>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</si>
  <si>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</si>
  <si>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</si>
  <si>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</si>
  <si>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</si>
  <si>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</si>
  <si>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</si>
  <si>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</si>
  <si>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</si>
  <si>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</si>
  <si>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</si>
  <si>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</si>
  <si>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</si>
  <si>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</si>
  <si>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</si>
  <si>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</si>
  <si>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</si>
  <si>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</si>
  <si>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</si>
  <si>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</si>
  <si>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</si>
  <si>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</si>
  <si>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</si>
  <si>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</si>
  <si>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</si>
  <si>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</si>
  <si>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</si>
  <si>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</si>
  <si>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</si>
  <si>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</si>
  <si>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</si>
  <si>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</si>
  <si>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</si>
  <si>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</si>
  <si>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</si>
  <si>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</si>
  <si>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</si>
  <si>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</si>
  <si>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</si>
  <si>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</si>
  <si>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</si>
  <si>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</si>
  <si>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</si>
  <si>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</si>
  <si>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</si>
  <si>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</si>
  <si>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</si>
  <si>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</si>
  <si>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</si>
  <si>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</si>
  <si>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</si>
  <si>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</si>
  <si>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</si>
  <si>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</si>
  <si>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</si>
  <si>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</si>
  <si>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</si>
  <si>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</si>
  <si>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</si>
  <si>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</si>
  <si>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</si>
  <si>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</si>
  <si>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</si>
  <si>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</si>
  <si>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</si>
  <si>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</si>
  <si>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</si>
  <si>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</si>
  <si>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</si>
  <si>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</si>
  <si>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</si>
  <si>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</si>
  <si>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</si>
  <si>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</si>
  <si>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</si>
  <si>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</si>
  <si>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</si>
  <si>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</si>
  <si>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</si>
  <si>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</si>
  <si>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</si>
  <si>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</si>
  <si>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</si>
  <si>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</si>
  <si>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</si>
  <si>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</si>
  <si>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</si>
  <si>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</si>
  <si>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</si>
  <si>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</si>
  <si>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</si>
  <si>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</si>
  <si>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</si>
  <si>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</si>
  <si>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</si>
  <si>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</si>
  <si>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</si>
  <si>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</si>
  <si>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</si>
  <si>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</si>
  <si>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</si>
  <si>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</si>
  <si>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</si>
  <si>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</si>
  <si>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</si>
  <si>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</si>
  <si>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</si>
  <si>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</si>
  <si>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</si>
  <si>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</si>
  <si>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</si>
  <si>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</si>
  <si>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</si>
  <si>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</si>
  <si>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</si>
  <si>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</si>
  <si>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</si>
  <si>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</si>
  <si>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</si>
  <si>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</si>
  <si>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</si>
  <si>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</si>
  <si>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</si>
  <si>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</si>
  <si>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</si>
  <si>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</si>
  <si>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</si>
  <si>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</si>
  <si>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</si>
  <si>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</si>
  <si>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</si>
  <si>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</si>
  <si>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</si>
  <si>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</si>
  <si>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</si>
  <si>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</si>
  <si>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</si>
  <si>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</si>
  <si>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</si>
  <si>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</si>
  <si>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</si>
  <si>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</si>
  <si>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</si>
  <si>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</si>
  <si>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</si>
  <si>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</si>
  <si>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</si>
  <si>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</si>
  <si>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</si>
  <si>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</si>
  <si>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</si>
  <si>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</si>
  <si>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</si>
  <si>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</si>
  <si>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</si>
  <si>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</si>
  <si>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</si>
  <si>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</si>
  <si>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</si>
  <si>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</si>
  <si>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</si>
  <si>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</si>
  <si>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</si>
  <si>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</si>
  <si>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</si>
  <si>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</si>
  <si>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</si>
  <si>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</si>
  <si>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</si>
  <si>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</si>
  <si>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</si>
  <si>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</si>
  <si>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</si>
  <si>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</si>
  <si>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</si>
  <si>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</si>
  <si>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</si>
  <si>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</si>
  <si>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</si>
  <si>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</si>
  <si>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</si>
  <si>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</si>
  <si>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</si>
  <si>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</si>
  <si>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</si>
  <si>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</si>
  <si>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</si>
  <si>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</si>
  <si>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</si>
  <si>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</si>
  <si>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</si>
  <si>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</si>
  <si>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</si>
  <si>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</si>
  <si>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</si>
  <si>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</si>
  <si>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</si>
  <si>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</si>
  <si>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</si>
  <si>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</si>
  <si>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</si>
  <si>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</si>
  <si>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</si>
  <si>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</si>
  <si>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</si>
  <si>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</si>
  <si>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</si>
  <si>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</si>
  <si>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</si>
  <si>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</si>
  <si>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</si>
  <si>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</si>
  <si>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</si>
  <si>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</si>
  <si>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</si>
  <si>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</si>
  <si>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</si>
  <si>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</si>
  <si>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</si>
  <si>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</si>
  <si>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</si>
  <si>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</si>
  <si>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</si>
  <si>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</si>
  <si>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</si>
  <si>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</si>
  <si>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</si>
  <si>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</si>
  <si>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</si>
  <si>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</si>
  <si>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</si>
  <si>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</si>
  <si>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</si>
  <si>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</si>
  <si>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</si>
  <si>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</si>
  <si>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</si>
  <si>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</si>
  <si>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</si>
  <si>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</si>
  <si>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</si>
  <si>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</si>
  <si>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</si>
  <si>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</si>
  <si>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</si>
  <si>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</si>
  <si>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</si>
  <si>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</si>
  <si>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</si>
  <si>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</si>
  <si>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</si>
  <si>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</si>
  <si>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</si>
  <si>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</si>
  <si>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</si>
  <si>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</si>
  <si>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</si>
  <si>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</si>
  <si>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</si>
  <si>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</si>
  <si>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</si>
  <si>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</si>
  <si>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</si>
  <si>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</si>
  <si>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</si>
  <si>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</si>
  <si>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</si>
  <si>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</si>
  <si>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</si>
  <si>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</si>
  <si>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</si>
  <si>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</si>
  <si>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</si>
  <si>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</si>
  <si>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</si>
  <si>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</si>
  <si>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</si>
  <si>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</si>
  <si>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</si>
  <si>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</si>
  <si>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</si>
  <si>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</si>
  <si>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</si>
  <si>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</si>
  <si>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</si>
  <si>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</si>
  <si>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</si>
  <si>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</si>
  <si>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</si>
  <si>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</si>
  <si>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</si>
  <si>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</si>
  <si>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</si>
  <si>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</si>
  <si>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</si>
  <si>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</si>
  <si>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</si>
  <si>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</si>
  <si>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</si>
  <si>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</si>
  <si>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</si>
  <si>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</si>
  <si>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</si>
  <si>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</si>
  <si>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</si>
  <si>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</si>
  <si>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</si>
  <si>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</si>
  <si>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</si>
  <si>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</si>
  <si>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</si>
  <si>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</si>
  <si>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</si>
  <si>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</si>
  <si>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</si>
  <si>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</si>
  <si>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</si>
  <si>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</si>
  <si>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</si>
  <si>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</si>
  <si>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</si>
  <si>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</si>
  <si>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</si>
  <si>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</si>
  <si>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</si>
  <si>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</si>
  <si>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</si>
  <si>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</si>
  <si>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</si>
  <si>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</si>
  <si>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</si>
  <si>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</si>
  <si>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</si>
  <si>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</si>
  <si>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</si>
  <si>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</si>
  <si>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</si>
  <si>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</si>
  <si>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</si>
  <si>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</si>
  <si>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</si>
  <si>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</si>
  <si>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</si>
  <si>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</si>
  <si>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</si>
  <si>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</si>
  <si>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</si>
  <si>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</si>
  <si>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</si>
  <si>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</si>
  <si>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</si>
  <si>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</si>
  <si>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</si>
  <si>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</si>
  <si>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</si>
  <si>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</si>
  <si>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</si>
  <si>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</si>
  <si>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</si>
  <si>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</si>
  <si>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</si>
  <si>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</si>
  <si>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</si>
  <si>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</si>
  <si>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</si>
  <si>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</si>
  <si>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</si>
  <si>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</si>
  <si>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</si>
  <si>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</si>
  <si>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</si>
  <si>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</si>
  <si>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</si>
  <si>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</si>
  <si>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</si>
  <si>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</si>
  <si>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</si>
  <si>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</si>
  <si>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</si>
  <si>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</si>
  <si>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</si>
  <si>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</si>
  <si>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</si>
  <si>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</si>
  <si>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</si>
  <si>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</si>
  <si>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</si>
  <si>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</si>
  <si>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</si>
  <si>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</si>
  <si>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</si>
  <si>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</si>
  <si>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</si>
  <si>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</si>
  <si>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</si>
  <si>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</si>
  <si>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</si>
  <si>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</si>
  <si>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</si>
  <si>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</si>
  <si>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</si>
  <si>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</si>
  <si>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</si>
  <si>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</si>
  <si>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</si>
  <si>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</si>
  <si>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</si>
  <si>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</si>
  <si>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</si>
  <si>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</si>
  <si>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</si>
  <si>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</si>
  <si>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</si>
  <si>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</si>
  <si>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</si>
  <si>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</si>
  <si>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</si>
  <si>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</si>
  <si>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</si>
  <si>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</si>
  <si>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</si>
  <si>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</si>
  <si>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</si>
  <si>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</si>
  <si>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</si>
  <si>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</si>
  <si>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</si>
  <si>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</si>
  <si>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</si>
  <si>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</si>
  <si>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</si>
  <si>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</si>
  <si>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</si>
  <si>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</si>
  <si>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</si>
  <si>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</si>
  <si>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</si>
  <si>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</si>
  <si>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</si>
  <si>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</si>
  <si>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</si>
  <si>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</si>
  <si>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</si>
  <si>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</si>
  <si>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</si>
  <si>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</si>
  <si>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</si>
  <si>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</si>
  <si>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</si>
  <si>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</si>
  <si>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</si>
  <si>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</si>
  <si>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</si>
  <si>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</si>
  <si>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</si>
  <si>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</si>
  <si>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</si>
  <si>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</si>
  <si>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</si>
  <si>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</si>
  <si>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</si>
  <si>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</si>
  <si>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</si>
  <si>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</si>
  <si>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</si>
  <si>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</si>
  <si>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</si>
  <si>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</si>
  <si>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</si>
  <si>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</si>
  <si>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</si>
  <si>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</si>
  <si>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</si>
  <si>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</si>
  <si>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</si>
  <si>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</si>
  <si>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</si>
  <si>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</si>
  <si>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</si>
  <si>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</si>
  <si>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</si>
  <si>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</si>
  <si>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</si>
  <si>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</si>
  <si>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</si>
  <si>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</si>
  <si>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</si>
  <si>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</si>
  <si>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</si>
  <si>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</si>
  <si>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</si>
  <si>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</si>
  <si>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</si>
  <si>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</si>
  <si>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</si>
  <si>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</si>
  <si>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</si>
  <si>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</si>
  <si>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</si>
  <si>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</si>
  <si>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</si>
  <si>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</si>
  <si>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</si>
  <si>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</si>
  <si>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</si>
  <si>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</si>
  <si>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</si>
  <si>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</si>
  <si>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</si>
  <si>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</si>
  <si>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</si>
  <si>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</si>
  <si>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</si>
  <si>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</si>
  <si>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</si>
  <si>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</si>
  <si>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</si>
  <si>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</si>
  <si>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</si>
  <si>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</si>
  <si>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</si>
  <si>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</si>
  <si>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</si>
  <si>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</si>
  <si>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</si>
  <si>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</si>
  <si>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</si>
  <si>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</si>
  <si>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</si>
  <si>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</si>
  <si>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</si>
  <si>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</si>
  <si>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</si>
  <si>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</si>
  <si>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</si>
  <si>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</si>
  <si>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</si>
  <si>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</si>
  <si>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</si>
  <si>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</si>
  <si>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</si>
  <si>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</si>
  <si>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</si>
  <si>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</si>
  <si>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</si>
  <si>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</si>
  <si>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</si>
  <si>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</si>
  <si>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</si>
  <si>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</si>
  <si>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</si>
  <si>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</si>
  <si>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</si>
  <si>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</si>
  <si>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</si>
  <si>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</si>
  <si>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</si>
  <si>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</si>
  <si>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</si>
  <si>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</si>
  <si>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</si>
  <si>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</si>
  <si>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</si>
  <si>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</si>
  <si>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</si>
  <si>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</si>
  <si>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</si>
  <si>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</si>
  <si>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</si>
  <si>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</si>
  <si>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</si>
  <si>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</si>
  <si>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</si>
  <si>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</si>
  <si>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</si>
  <si>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</si>
  <si>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</si>
  <si>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</si>
  <si>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</si>
  <si>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</si>
  <si>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</si>
  <si>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</si>
  <si>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</si>
  <si>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</si>
  <si>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</si>
  <si>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</si>
  <si>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</si>
  <si>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</si>
  <si>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</si>
  <si>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</si>
  <si>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</si>
  <si>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</si>
  <si>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</si>
  <si>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</si>
  <si>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</si>
  <si>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</si>
  <si>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</si>
  <si>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</si>
  <si>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</si>
  <si>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</si>
  <si>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</si>
  <si>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</si>
  <si>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</si>
  <si>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</si>
  <si>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</si>
  <si>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</si>
  <si>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</si>
  <si>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</si>
  <si>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</si>
  <si>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</si>
  <si>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</si>
  <si>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</si>
  <si>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</si>
  <si>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</si>
  <si>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</si>
  <si>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</si>
  <si>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</si>
  <si>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</si>
  <si>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</si>
  <si>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</si>
  <si>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</si>
  <si>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</si>
  <si>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</si>
  <si>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</si>
  <si>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</si>
  <si>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</si>
  <si>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</si>
  <si>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</si>
  <si>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</si>
  <si>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</si>
  <si>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</si>
  <si>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</si>
  <si>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</si>
  <si>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</si>
  <si>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</si>
  <si>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</si>
  <si>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</si>
  <si>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</si>
  <si>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</si>
  <si>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</si>
  <si>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</si>
  <si>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</si>
  <si>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</si>
  <si>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</si>
  <si>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</si>
  <si>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</si>
  <si>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</si>
  <si>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</si>
  <si>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</si>
  <si>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</si>
  <si>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</si>
  <si>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</si>
  <si>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</si>
  <si>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</si>
  <si>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</si>
  <si>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</si>
  <si>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</si>
  <si>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</si>
  <si>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</si>
  <si>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</si>
  <si>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</si>
  <si>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</si>
  <si>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</si>
  <si>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</si>
  <si>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</si>
  <si>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</si>
  <si>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</si>
  <si>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</si>
  <si>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</si>
  <si>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</si>
  <si>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</si>
  <si>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</si>
  <si>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</si>
  <si>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</si>
  <si>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</si>
  <si>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</si>
  <si>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</si>
  <si>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</si>
  <si>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</si>
  <si>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</si>
  <si>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</si>
  <si>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</si>
  <si>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</si>
  <si>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</si>
  <si>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</si>
  <si>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</si>
  <si>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</si>
  <si>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</si>
  <si>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</si>
  <si>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</si>
  <si>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</si>
  <si>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</si>
  <si>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</si>
  <si>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</si>
  <si>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</si>
  <si>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</si>
  <si>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</si>
  <si>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</si>
  <si>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</si>
  <si>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</si>
  <si>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</si>
  <si>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</si>
  <si>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</si>
  <si>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</si>
  <si>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</si>
  <si>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</si>
  <si>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</si>
  <si>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</si>
  <si>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</si>
  <si>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</si>
  <si>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</si>
  <si>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</si>
  <si>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</si>
  <si>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</si>
  <si>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</si>
  <si>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</si>
  <si>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</si>
  <si>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</si>
  <si>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</si>
  <si>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</si>
  <si>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</si>
  <si>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</si>
  <si>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</si>
  <si>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</si>
  <si>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</si>
  <si>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</si>
  <si>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</si>
  <si>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</si>
  <si>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</si>
  <si>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</si>
  <si>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</si>
  <si>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</si>
  <si>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</si>
  <si>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</si>
  <si>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</si>
  <si>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</si>
  <si>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</si>
  <si>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</si>
  <si>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</si>
  <si>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</si>
  <si>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</si>
  <si>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</si>
  <si>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</si>
  <si>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</si>
  <si>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</si>
  <si>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</si>
  <si>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</si>
  <si>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</si>
  <si>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</si>
  <si>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</si>
  <si>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</si>
  <si>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</si>
  <si>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</si>
  <si>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</si>
  <si>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</si>
  <si>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</si>
  <si>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</si>
  <si>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</si>
  <si>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</si>
  <si>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</si>
  <si>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</si>
  <si>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</si>
  <si>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</si>
  <si>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</si>
  <si>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</si>
  <si>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</si>
  <si>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</si>
  <si>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</si>
  <si>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</si>
  <si>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</si>
  <si>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</si>
  <si>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</si>
  <si>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</si>
  <si>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</si>
  <si>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</si>
  <si>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</si>
  <si>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</si>
  <si>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</si>
  <si>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</si>
  <si>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</si>
  <si>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</si>
  <si>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</si>
  <si>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</si>
  <si>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</si>
  <si>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</si>
  <si>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</si>
  <si>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</si>
  <si>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</si>
  <si>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</si>
  <si>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</si>
  <si>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</si>
  <si>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</si>
  <si>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</si>
  <si>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</si>
  <si>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</si>
  <si>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</si>
  <si>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</si>
  <si>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</si>
  <si>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</si>
  <si>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</si>
  <si>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</si>
  <si>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</si>
  <si>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</si>
  <si>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</si>
  <si>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</si>
  <si>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</si>
  <si>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</si>
  <si>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</si>
  <si>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</si>
  <si>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</si>
  <si>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</si>
  <si>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</si>
  <si>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</si>
  <si>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</si>
  <si>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</si>
  <si>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</si>
  <si>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</si>
  <si>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</si>
  <si>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</si>
  <si>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</si>
  <si>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</si>
  <si>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</si>
  <si>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</si>
  <si>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</si>
  <si>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</si>
  <si>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</si>
  <si>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</si>
  <si>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</si>
  <si>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</si>
  <si>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</si>
  <si>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</si>
  <si>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</si>
  <si>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</si>
  <si>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</si>
  <si>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</si>
  <si>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</si>
  <si>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</si>
  <si>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</si>
  <si>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</si>
  <si>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</si>
  <si>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</si>
  <si>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</si>
  <si>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</si>
  <si>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</si>
  <si>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</si>
  <si>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</si>
  <si>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</si>
  <si>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</si>
  <si>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</si>
  <si>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</si>
  <si>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</si>
  <si>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</si>
  <si>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</si>
  <si>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</si>
  <si>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</si>
  <si>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</si>
  <si>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</si>
  <si>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</si>
  <si>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</si>
  <si>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</si>
  <si>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</si>
  <si>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</si>
  <si>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</si>
  <si>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</si>
  <si>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</si>
  <si>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</si>
  <si>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</si>
  <si>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</si>
  <si>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</si>
  <si>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</si>
  <si>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</si>
  <si>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</si>
  <si>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</si>
  <si>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</si>
  <si>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</si>
  <si>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</si>
  <si>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</si>
  <si>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</si>
  <si>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</si>
  <si>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</si>
  <si>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</si>
  <si>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</si>
  <si>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</si>
  <si>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</si>
  <si>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</si>
  <si>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</si>
  <si>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</si>
  <si>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</si>
  <si>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</si>
  <si>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</si>
  <si>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</si>
  <si>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</si>
  <si>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</si>
  <si>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</si>
  <si>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</si>
  <si>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</si>
  <si>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</si>
  <si>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</si>
  <si>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</si>
  <si>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</si>
  <si>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</si>
  <si>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</si>
  <si>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</si>
  <si>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</si>
  <si>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</si>
  <si>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</si>
  <si>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</si>
  <si>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</si>
  <si>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</si>
  <si>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</si>
  <si>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</si>
  <si>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</si>
  <si>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</si>
  <si>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</si>
  <si>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</si>
  <si>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</si>
  <si>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</si>
  <si>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</si>
  <si>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</si>
  <si>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</si>
  <si>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</si>
  <si>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</si>
  <si>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</si>
  <si>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</si>
  <si>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</si>
  <si>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</si>
  <si>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</si>
  <si>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</si>
  <si>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</si>
  <si>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</si>
  <si>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</si>
  <si>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</si>
  <si>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</si>
  <si>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</si>
  <si>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</si>
  <si>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</si>
  <si>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</si>
  <si>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</si>
  <si>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</si>
  <si>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</si>
  <si>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</si>
  <si>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</si>
  <si>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</si>
  <si>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</si>
  <si>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</si>
  <si>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</si>
  <si>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</si>
  <si>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</si>
  <si>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</si>
  <si>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</si>
  <si>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</si>
  <si>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</si>
  <si>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</si>
  <si>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</si>
  <si>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</si>
  <si>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</si>
  <si>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</si>
  <si>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</si>
  <si>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</si>
  <si>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</si>
  <si>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</si>
  <si>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</si>
  <si>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</si>
  <si>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</si>
  <si>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</si>
  <si>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</si>
  <si>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</si>
  <si>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</si>
  <si>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</si>
  <si>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</si>
  <si>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</si>
  <si>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</si>
  <si>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</si>
  <si>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</si>
  <si>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</si>
  <si>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</si>
  <si>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</si>
  <si>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</si>
  <si>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</si>
  <si>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</si>
  <si>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</si>
  <si>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</si>
  <si>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</si>
  <si>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</si>
  <si>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</si>
  <si>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</si>
  <si>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</si>
  <si>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</si>
  <si>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</si>
  <si>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</si>
  <si>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</si>
  <si>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</si>
  <si>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</si>
  <si>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</si>
  <si>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</si>
  <si>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</si>
  <si>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</si>
  <si>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</si>
  <si>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</si>
  <si>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</si>
  <si>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</si>
  <si>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</si>
  <si>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</si>
  <si>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</si>
  <si>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</si>
  <si>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</si>
  <si>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</si>
  <si>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</si>
  <si>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</si>
  <si>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</si>
  <si>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</si>
  <si>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</si>
  <si>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</si>
  <si>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</si>
  <si>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</si>
  <si>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</si>
  <si>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</si>
  <si>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</si>
  <si>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</si>
  <si>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</si>
  <si>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</si>
  <si>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</si>
  <si>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</si>
  <si>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</si>
  <si>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</si>
  <si>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</si>
  <si>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</si>
  <si>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</si>
  <si>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</si>
  <si>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</si>
  <si>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</si>
  <si>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</si>
  <si>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</si>
  <si>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</si>
  <si>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</si>
  <si>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</si>
  <si>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</si>
  <si>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</si>
  <si>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</si>
  <si>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</si>
  <si>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</si>
  <si>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</si>
  <si>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</si>
  <si>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</si>
  <si>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</si>
  <si>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</si>
  <si>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</si>
  <si>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</si>
  <si>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</si>
  <si>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</si>
  <si>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</si>
  <si>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</si>
  <si>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</si>
  <si>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</si>
  <si>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</si>
  <si>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</si>
  <si>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</si>
  <si>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</si>
  <si>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</si>
  <si>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</si>
  <si>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</si>
  <si>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</si>
  <si>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</si>
  <si>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</si>
  <si>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</si>
  <si>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</si>
  <si>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</si>
  <si>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</si>
  <si>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</si>
  <si>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</si>
  <si>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</si>
  <si>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</si>
  <si>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</si>
  <si>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</si>
  <si>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</si>
  <si>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</si>
  <si>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</si>
  <si>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</si>
  <si>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</si>
  <si>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</si>
  <si>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</si>
  <si>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</si>
  <si>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</si>
  <si>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</si>
  <si>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</si>
  <si>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</si>
  <si>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</si>
  <si>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</si>
  <si>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</si>
  <si>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</si>
  <si>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</si>
  <si>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</si>
  <si>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</si>
  <si>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</si>
  <si>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</si>
  <si>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</si>
  <si>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</si>
  <si>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</si>
  <si>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</si>
  <si>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</si>
  <si>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</si>
  <si>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</si>
  <si>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</si>
  <si>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</si>
  <si>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</si>
  <si>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</si>
  <si>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</si>
  <si>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</si>
  <si>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</si>
  <si>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</si>
  <si>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</si>
  <si>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</si>
  <si>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</si>
  <si>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</si>
  <si>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</si>
  <si>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</si>
  <si>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</si>
  <si>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</si>
  <si>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</si>
  <si>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</si>
  <si>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</si>
  <si>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</si>
  <si>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</si>
  <si>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</si>
  <si>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</si>
  <si>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</si>
  <si>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</si>
  <si>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</si>
  <si>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</si>
  <si>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</si>
  <si>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</si>
  <si>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</si>
  <si>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</si>
  <si>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</si>
  <si>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</si>
  <si>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</si>
  <si>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</si>
  <si>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</si>
  <si>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</si>
  <si>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</si>
  <si>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</si>
  <si>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</si>
  <si>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</si>
  <si>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</si>
  <si>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</si>
  <si>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</si>
  <si>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</si>
  <si>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</si>
  <si>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</si>
  <si>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</si>
  <si>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</si>
  <si>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</si>
  <si>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</si>
  <si>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</si>
  <si>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</si>
  <si>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</si>
  <si>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</si>
  <si>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</si>
  <si>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</si>
  <si>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</si>
  <si>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</si>
  <si>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</si>
  <si>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</si>
  <si>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</si>
  <si>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</si>
  <si>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</si>
  <si>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</si>
  <si>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</si>
  <si>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</si>
  <si>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</si>
  <si>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</si>
  <si>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</si>
  <si>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</si>
  <si>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</si>
  <si>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</si>
  <si>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</si>
  <si>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</si>
  <si>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</si>
  <si>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</si>
  <si>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</si>
  <si>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</si>
  <si>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</si>
  <si>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</si>
  <si>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</si>
  <si>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</si>
  <si>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</si>
  <si>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</si>
  <si>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</si>
  <si>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</si>
  <si>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</si>
  <si>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</si>
  <si>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</si>
  <si>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</si>
  <si>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</si>
  <si>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</si>
  <si>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</si>
  <si>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</si>
  <si>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</si>
  <si>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</si>
  <si>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</si>
  <si>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</si>
  <si>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</si>
  <si>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</si>
  <si>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</si>
  <si>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</si>
  <si>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</si>
  <si>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</si>
  <si>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</si>
  <si>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</si>
  <si>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</si>
  <si>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</si>
  <si>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</si>
  <si>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</si>
  <si>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</si>
  <si>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</si>
  <si>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</si>
  <si>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</si>
  <si>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</si>
  <si>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</si>
  <si>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</si>
  <si>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</si>
  <si>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</si>
  <si>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</si>
  <si>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</si>
  <si>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</si>
  <si>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</si>
  <si>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</si>
  <si>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</si>
  <si>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</si>
  <si>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</si>
  <si>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</si>
  <si>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</si>
  <si>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</si>
  <si>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</si>
  <si>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</si>
  <si>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</si>
  <si>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</si>
  <si>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</si>
  <si>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</si>
  <si>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</si>
  <si>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</si>
  <si>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</si>
  <si>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</si>
  <si>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</si>
  <si>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</si>
  <si>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</si>
  <si>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</si>
  <si>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</si>
  <si>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</si>
  <si>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</si>
  <si>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</si>
  <si>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</si>
  <si>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</si>
  <si>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</si>
  <si>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</si>
  <si>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</si>
  <si>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</si>
  <si>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</si>
  <si>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</si>
  <si>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</si>
  <si>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</si>
  <si>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</si>
  <si>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</si>
  <si>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</si>
  <si>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</si>
  <si>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</si>
  <si>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</si>
  <si>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</si>
  <si>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</si>
  <si>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</si>
  <si>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</si>
  <si>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</si>
  <si>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</si>
  <si>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</si>
  <si>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</si>
  <si>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</si>
  <si>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</si>
  <si>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</si>
  <si>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</si>
  <si>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</si>
  <si>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</si>
  <si>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</si>
  <si>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</si>
  <si>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</si>
  <si>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</si>
  <si>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</si>
  <si>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</si>
  <si>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</si>
  <si>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</si>
  <si>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</si>
  <si>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</si>
  <si>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</si>
  <si>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</si>
  <si>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</si>
  <si>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</si>
  <si>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</si>
  <si>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</si>
  <si>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</si>
  <si>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</si>
  <si>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</si>
  <si>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</si>
  <si>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</si>
  <si>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</si>
  <si>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</si>
  <si>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</si>
  <si>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</si>
  <si>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</si>
  <si>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</si>
  <si>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</si>
  <si>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</si>
  <si>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</si>
  <si>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</si>
  <si>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</si>
  <si>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</si>
  <si>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</si>
  <si>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</si>
  <si>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</si>
  <si>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</si>
  <si>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</si>
  <si>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</si>
  <si>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</si>
  <si>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</si>
  <si>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</si>
  <si>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</si>
  <si>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</si>
  <si>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</si>
  <si>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</si>
  <si>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</si>
  <si>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</si>
  <si>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</si>
  <si>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</si>
  <si>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</si>
  <si>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</si>
  <si>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</si>
  <si>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</si>
  <si>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</si>
  <si>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</si>
  <si>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</si>
  <si>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</si>
  <si>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</si>
  <si>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</si>
  <si>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</si>
  <si>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</si>
  <si>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</si>
  <si>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</si>
  <si>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</si>
  <si>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</si>
  <si>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</si>
  <si>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</si>
  <si>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</si>
  <si>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</si>
  <si>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</si>
  <si>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</si>
  <si>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</si>
  <si>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</si>
  <si>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</si>
  <si>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</si>
  <si>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</si>
  <si>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</si>
  <si>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</si>
  <si>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</si>
  <si>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</si>
  <si>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</si>
  <si>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</si>
  <si>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</si>
  <si>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</si>
  <si>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</si>
  <si>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</si>
  <si>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</si>
  <si>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</si>
  <si>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</si>
  <si>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</si>
  <si>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</si>
  <si>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</si>
  <si>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</si>
  <si>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</si>
  <si>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</si>
  <si>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</si>
  <si>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</si>
  <si>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</si>
  <si>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</si>
  <si>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</si>
  <si>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</si>
  <si>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</si>
  <si>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</si>
  <si>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</si>
  <si>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</si>
  <si>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</si>
  <si>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</si>
  <si>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</si>
  <si>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</si>
  <si>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</si>
  <si>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</si>
  <si>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</si>
  <si>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</si>
  <si>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</si>
  <si>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</si>
  <si>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</si>
  <si>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</si>
  <si>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</si>
  <si>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</si>
  <si>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</si>
  <si>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</si>
  <si>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</si>
  <si>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</si>
  <si>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</si>
  <si>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</si>
  <si>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</si>
  <si>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</si>
  <si>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</si>
  <si>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</si>
  <si>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</si>
  <si>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</si>
  <si>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</si>
  <si>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</si>
  <si>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</si>
  <si>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估价对象所在区域公共配套设施齐备好</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</si>
  <si>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</si>
  <si>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</si>
  <si>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</si>
  <si>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</si>
  <si>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</si>
  <si>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</si>
  <si>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</si>
  <si>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</si>
  <si>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</si>
  <si>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</si>
  <si>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</si>
  <si>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</si>
  <si>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</si>
  <si>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</si>
  <si>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</si>
  <si>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</si>
  <si>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</si>
  <si>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</si>
  <si>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</si>
  <si>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</si>
  <si>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</si>
  <si>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</si>
  <si>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</si>
  <si>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多面临街</t>
  </si>
  <si>
    <t>主</t>
  </si>
  <si>
    <t>较规则</t>
  </si>
  <si>
    <t>加权平均</t>
  </si>
  <si>
    <t>次</t>
  </si>
  <si>
    <t>双面临街</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</si>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</sst>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218"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271407</v>
      </c>
    </row>
    <row r="21" spans="1:2">
      <c r="A21" s="1219" t="s">
        <v>962</v>
      </c>
      <c r="B21" s="1220">
        <f ca="1">'预评函-2'!D7</f>
        <v>50611</v>
      </c>
    </row>
    <row r="22" spans="1:2">
      <c r="A22" s="1219" t="s">
        <v>963</v>
      </c>
      <c r="B22" s="1220" t="str">
        <f ca="1">'预评函-2'!D6</f>
        <v>贰拾柒亿壹仟肆佰零柒万元整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271407</v>
      </c>
    </row>
    <row r="31" spans="1:2">
      <c r="A31" s="1219" t="s">
        <v>1001</v>
      </c>
      <c r="B31" s="1220">
        <f ca="1">'预评函-2'!D15</f>
        <v>50611</v>
      </c>
    </row>
    <row r="32" spans="1:2">
      <c r="A32" s="1219" t="s">
        <v>968</v>
      </c>
      <c r="B32" s="1220" t="str">
        <f ca="1">'预评函-2'!D14</f>
        <v>贰拾柒亿壹仟肆佰零柒万元整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233681</v>
      </c>
    </row>
    <row r="48" spans="1:2">
      <c r="A48" s="1219" t="s">
        <v>974</v>
      </c>
      <c r="B48" s="1220">
        <f ca="1">'预评函-3'!E4</f>
        <v>43576</v>
      </c>
    </row>
    <row r="49" spans="1:2">
      <c r="A49" s="1219" t="s">
        <v>975</v>
      </c>
      <c r="B49" s="1220" t="str">
        <f ca="1">'预评函-3'!D5</f>
        <v>贰拾叁亿叁仟陆佰捌拾壹万元整</v>
      </c>
    </row>
    <row r="50" spans="1:2">
      <c r="A50" s="1219" t="s">
        <v>999</v>
      </c>
      <c r="B50" s="1220" t="str">
        <f>'预评函-3'!F2</f>
        <v>在建建筑物价值</v>
      </c>
    </row>
    <row r="51" spans="1:2">
      <c r="A51" s="1219" t="s">
        <v>976</v>
      </c>
      <c r="B51" s="1220">
        <f ca="1">'预评函-3'!F4</f>
        <v>37726</v>
      </c>
    </row>
    <row r="52" spans="1:2">
      <c r="A52" s="1219" t="s">
        <v>977</v>
      </c>
      <c r="B52" s="1220">
        <f ca="1">'预评函-3'!G4</f>
        <v>7035</v>
      </c>
    </row>
    <row r="53" spans="1:2">
      <c r="A53" s="1219" t="s">
        <v>1005</v>
      </c>
      <c r="B53" s="1220" t="str">
        <f ca="1">'预评函-3'!F5</f>
        <v>叁亿柒仟柒佰贰拾陆万元整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5"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7" t="s">
        <v>651</v>
      </c>
      <c r="C54" s="1565" t="s">
        <v>1008</v>
      </c>
    </row>
    <row r="55" spans="1:4">
      <c r="A55" s="3105"/>
      <c r="B55" s="1567" t="s">
        <v>652</v>
      </c>
      <c r="C55" s="1565" t="s">
        <v>1009</v>
      </c>
    </row>
    <row r="56" spans="1:4">
      <c r="A56" s="3105"/>
      <c r="B56" s="1567" t="s">
        <v>653</v>
      </c>
      <c r="C56" s="1565" t="s">
        <v>1013</v>
      </c>
    </row>
    <row r="57" spans="1:4">
      <c r="A57" s="3105"/>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13" t="str">
        <f>IF(B10="北京市","北京市",C10)&amp;F10&amp;IF(结果表!G1="在建","出让国有建设用地使用权及在建建筑物",IF(结果表!G1="土地","出让国有建设用地使用权",))&amp;B9&amp;"预评估"</f>
        <v>浙江省杭州市延安路292号1-9层房地产抵押价值预评估</v>
      </c>
      <c r="C1" s="3114"/>
      <c r="D1" s="3114"/>
      <c r="E1" s="3114"/>
      <c r="F1" s="3114"/>
      <c r="G1" s="3114"/>
      <c r="H1" s="3114"/>
      <c r="I1" s="3115"/>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16"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17"/>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23"/>
      <c r="C16" s="3124"/>
      <c r="D16" s="3125"/>
      <c r="E16" s="2374" t="s">
        <v>2690</v>
      </c>
      <c r="F16" s="3126"/>
      <c r="G16" s="3127"/>
      <c r="H16" s="3127"/>
      <c r="I16" s="3128"/>
      <c r="J16" s="2397"/>
      <c r="K16" s="2555"/>
      <c r="L16" s="1790"/>
      <c r="M16" s="1790"/>
      <c r="N16" s="2397"/>
      <c r="O16" s="1790"/>
      <c r="P16" s="2397"/>
      <c r="Q16" s="2397"/>
      <c r="R16" s="2397"/>
    </row>
    <row r="17" spans="1:28">
      <c r="A17" s="303" t="s">
        <v>2691</v>
      </c>
      <c r="B17" s="292" t="s">
        <v>2692</v>
      </c>
      <c r="C17" s="11">
        <f>'数据-汇总表'!E3</f>
        <v>53626.59</v>
      </c>
      <c r="D17" s="1375" t="s">
        <v>2693</v>
      </c>
      <c r="E17" s="3129" t="s">
        <v>2694</v>
      </c>
      <c r="F17" s="3130"/>
      <c r="G17" s="3130"/>
      <c r="H17" s="3130"/>
      <c r="I17" s="3131"/>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32" t="s">
        <v>2698</v>
      </c>
      <c r="F18" s="3133"/>
      <c r="G18" s="3133"/>
      <c r="H18" s="3133"/>
      <c r="I18" s="3134"/>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19" t="s">
        <v>2702</v>
      </c>
      <c r="C20" s="3120"/>
      <c r="D20" s="3121" t="s">
        <v>2703</v>
      </c>
      <c r="E20" s="3122"/>
      <c r="F20" s="2582" t="s">
        <v>1501</v>
      </c>
      <c r="G20" s="2594"/>
      <c r="H20" s="2594"/>
      <c r="I20" s="2594"/>
      <c r="J20" s="2397"/>
      <c r="K20" s="3118"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18"/>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18"/>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07"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07"/>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07"/>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08"/>
      <c r="B30" s="292" t="s">
        <v>2714</v>
      </c>
      <c r="C30" s="3109"/>
      <c r="D30" s="3110"/>
      <c r="E30" s="2594"/>
      <c r="F30" s="2594"/>
      <c r="G30" s="2594"/>
      <c r="H30" s="2594"/>
      <c r="I30" s="2594"/>
      <c r="J30" s="2397"/>
      <c r="K30" s="2553"/>
      <c r="L30" s="2550"/>
      <c r="M30" s="2550"/>
      <c r="N30" s="2397"/>
      <c r="O30" s="1790"/>
      <c r="P30" s="2397"/>
      <c r="Q30" s="2397"/>
      <c r="R30" s="2397"/>
      <c r="S30" s="2397"/>
      <c r="T30" s="2397"/>
      <c r="U30" s="2397"/>
      <c r="V30" s="2397"/>
    </row>
    <row r="31" spans="1:28">
      <c r="A31" s="3111"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12"/>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12"/>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06" t="s">
        <v>2724</v>
      </c>
      <c r="T34" s="2387" t="str">
        <f>NUMBERSTRING(7-K34,1)&amp;"通"</f>
        <v>七通</v>
      </c>
      <c r="U34" s="2397"/>
      <c r="V34" s="2397"/>
    </row>
    <row r="35" spans="1:30">
      <c r="A35" s="2388"/>
      <c r="B35" s="3106" t="s">
        <v>2725</v>
      </c>
      <c r="C35" s="3106"/>
      <c r="D35" s="3106"/>
      <c r="E35" s="3106"/>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06"/>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37" t="s">
        <v>3181</v>
      </c>
      <c r="B1" s="3137"/>
      <c r="C1" s="3137"/>
      <c r="D1" s="3137"/>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115" zoomScaleNormal="115" workbookViewId="0">
      <selection activeCell="K27" sqref="K27"/>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16">
      <c r="A1" s="2996" t="s">
        <v>3881</v>
      </c>
    </row>
    <row r="2" spans="1:16" ht="15">
      <c r="A2" s="3000" t="s">
        <v>3874</v>
      </c>
      <c r="B2" s="3000" t="s">
        <v>3882</v>
      </c>
      <c r="C2" s="3000" t="s">
        <v>3875</v>
      </c>
      <c r="D2" s="3000" t="s">
        <v>3876</v>
      </c>
      <c r="E2" s="3001" t="s">
        <v>3879</v>
      </c>
      <c r="F2" s="3000" t="s">
        <v>4131</v>
      </c>
      <c r="G2" s="3000"/>
      <c r="H2" s="3002"/>
      <c r="J2" s="2999">
        <v>1</v>
      </c>
      <c r="K2" s="2999">
        <f>E11/6</f>
        <v>6570.73</v>
      </c>
      <c r="L2" s="2999">
        <v>1</v>
      </c>
      <c r="M2" s="2999">
        <v>15</v>
      </c>
      <c r="N2" s="2999">
        <f>K2*M2*365/10000</f>
        <v>3597.4746749999999</v>
      </c>
      <c r="O2" s="2999">
        <f ca="1">结果表!G20/面积表!L10</f>
        <v>80882.507257054895</v>
      </c>
      <c r="P2" s="2999">
        <f ca="1">O2/0.83</f>
        <v>97448.803924162523</v>
      </c>
    </row>
    <row r="3" spans="1:16" ht="15">
      <c r="A3" s="3000">
        <v>1</v>
      </c>
      <c r="B3" s="3000" t="s">
        <v>3890</v>
      </c>
      <c r="C3" s="3000" t="s">
        <v>3877</v>
      </c>
      <c r="D3" s="3000" t="s">
        <v>3878</v>
      </c>
      <c r="E3" s="3001">
        <v>5083.3999999999996</v>
      </c>
      <c r="F3" s="3000" t="s">
        <v>4130</v>
      </c>
      <c r="G3" s="3000"/>
      <c r="H3" s="3002"/>
      <c r="J3" s="2999">
        <v>2</v>
      </c>
      <c r="K3" s="2999">
        <f>K2</f>
        <v>6570.73</v>
      </c>
      <c r="L3" s="2999">
        <v>0.8</v>
      </c>
      <c r="M3" s="2999">
        <v>15</v>
      </c>
      <c r="N3" s="2999">
        <f t="shared" ref="N3:N9" si="0">K3*M3*365/10000</f>
        <v>3597.4746749999999</v>
      </c>
    </row>
    <row r="4" spans="1:16" ht="15">
      <c r="A4" s="3000">
        <v>2</v>
      </c>
      <c r="B4" s="3000" t="s">
        <v>3891</v>
      </c>
      <c r="C4" s="3000" t="s">
        <v>3885</v>
      </c>
      <c r="D4" s="3000">
        <v>7</v>
      </c>
      <c r="E4" s="3001">
        <v>620.20000000000005</v>
      </c>
      <c r="F4" s="3000" t="s">
        <v>4130</v>
      </c>
      <c r="G4" s="3000"/>
      <c r="H4" s="3002"/>
      <c r="J4" s="2999">
        <v>3</v>
      </c>
      <c r="K4" s="2999">
        <f>K3</f>
        <v>6570.73</v>
      </c>
      <c r="L4" s="2999">
        <v>0.7</v>
      </c>
      <c r="M4" s="2999">
        <v>10</v>
      </c>
      <c r="N4" s="2999">
        <f t="shared" si="0"/>
        <v>2398.3164499999998</v>
      </c>
    </row>
    <row r="5" spans="1:16" ht="15">
      <c r="A5" s="3000">
        <v>3</v>
      </c>
      <c r="B5" s="3000" t="s">
        <v>3892</v>
      </c>
      <c r="C5" s="3000" t="s">
        <v>3888</v>
      </c>
      <c r="D5" s="3000">
        <v>8</v>
      </c>
      <c r="E5" s="3001">
        <v>626.6</v>
      </c>
      <c r="F5" s="3000" t="s">
        <v>4130</v>
      </c>
      <c r="G5" s="3000"/>
      <c r="H5" s="3002"/>
      <c r="J5" s="2999">
        <v>4</v>
      </c>
      <c r="K5" s="2999">
        <f>K3</f>
        <v>6570.73</v>
      </c>
      <c r="L5" s="2999">
        <v>0.6</v>
      </c>
      <c r="M5" s="2999">
        <v>8</v>
      </c>
      <c r="N5" s="2999">
        <f t="shared" si="0"/>
        <v>1918.6531599999998</v>
      </c>
    </row>
    <row r="6" spans="1:16" ht="15">
      <c r="A6" s="3000">
        <v>4</v>
      </c>
      <c r="B6" s="3000" t="s">
        <v>3893</v>
      </c>
      <c r="C6" s="3000" t="s">
        <v>3889</v>
      </c>
      <c r="D6" s="3000">
        <v>9</v>
      </c>
      <c r="E6" s="3001">
        <v>584.4</v>
      </c>
      <c r="F6" s="3000" t="s">
        <v>4130</v>
      </c>
      <c r="G6" s="3000"/>
      <c r="H6" s="3002"/>
      <c r="J6" s="2999">
        <v>5</v>
      </c>
      <c r="K6" s="2999">
        <f>K3</f>
        <v>6570.73</v>
      </c>
      <c r="L6" s="2999">
        <v>0.5</v>
      </c>
      <c r="M6" s="2999">
        <v>5</v>
      </c>
      <c r="N6" s="2999">
        <f t="shared" si="0"/>
        <v>1199.1582249999999</v>
      </c>
    </row>
    <row r="7" spans="1:16" ht="15">
      <c r="A7" s="3000"/>
      <c r="B7" s="3000" t="s">
        <v>3894</v>
      </c>
      <c r="C7" s="3000" t="s">
        <v>4132</v>
      </c>
      <c r="D7" s="3000" t="s">
        <v>4132</v>
      </c>
      <c r="E7" s="3001">
        <f>SUM(E3:E6)</f>
        <v>6914.5999999999995</v>
      </c>
      <c r="F7" s="3000" t="s">
        <v>4133</v>
      </c>
      <c r="G7" s="3000"/>
      <c r="H7" s="3002"/>
      <c r="J7" s="2999">
        <v>6</v>
      </c>
      <c r="K7" s="2999">
        <f>K3</f>
        <v>6570.73</v>
      </c>
      <c r="L7" s="2999">
        <v>0.45</v>
      </c>
      <c r="M7" s="2999">
        <v>5</v>
      </c>
      <c r="N7" s="2999">
        <f t="shared" si="0"/>
        <v>1199.1582249999999</v>
      </c>
    </row>
    <row r="8" spans="1:16">
      <c r="D8" s="2996" t="s">
        <v>3921</v>
      </c>
      <c r="E8" s="2997">
        <f>5664.6+3792.6</f>
        <v>9457.2000000000007</v>
      </c>
      <c r="J8" s="2999">
        <v>7</v>
      </c>
      <c r="K8" s="3025">
        <f>E12</f>
        <v>4809.95</v>
      </c>
      <c r="L8" s="2999">
        <v>0.45</v>
      </c>
      <c r="M8" s="2999">
        <v>4.3</v>
      </c>
      <c r="N8" s="2999">
        <f t="shared" si="0"/>
        <v>754.92165250000005</v>
      </c>
    </row>
    <row r="9" spans="1:16">
      <c r="A9" s="2996" t="s">
        <v>3880</v>
      </c>
      <c r="D9" s="2996" t="s">
        <v>4125</v>
      </c>
      <c r="E9" s="2997">
        <v>9000</v>
      </c>
      <c r="J9" s="2999">
        <v>8</v>
      </c>
      <c r="K9" s="3025">
        <f>E13</f>
        <v>4859.57</v>
      </c>
      <c r="L9" s="2999">
        <v>0.4</v>
      </c>
      <c r="M9" s="2999">
        <v>4.3</v>
      </c>
      <c r="N9" s="2999">
        <f t="shared" si="0"/>
        <v>762.70951149999996</v>
      </c>
    </row>
    <row r="10" spans="1:16" ht="15">
      <c r="A10" s="3000" t="s">
        <v>3874</v>
      </c>
      <c r="B10" s="3000" t="s">
        <v>3882</v>
      </c>
      <c r="C10" s="3000" t="s">
        <v>3875</v>
      </c>
      <c r="D10" s="3000" t="s">
        <v>3876</v>
      </c>
      <c r="E10" s="3001" t="s">
        <v>3879</v>
      </c>
      <c r="F10" s="3000" t="s">
        <v>4131</v>
      </c>
      <c r="G10" s="3000"/>
      <c r="H10" s="3002"/>
      <c r="K10" s="2999">
        <f>SUM(K2:K9)</f>
        <v>49093.899999999987</v>
      </c>
      <c r="L10" s="3025">
        <f>SUMPRODUCT(L2:L9,K2:K9)/K10</f>
        <v>0.62573480615718058</v>
      </c>
      <c r="M10" s="3025"/>
      <c r="N10" s="3025">
        <f>SUM(N2:N9)</f>
        <v>15427.866573999996</v>
      </c>
      <c r="O10" s="2999">
        <f>N10*0.83</f>
        <v>12805.129256419996</v>
      </c>
    </row>
    <row r="11" spans="1:16" ht="15">
      <c r="A11" s="3000">
        <v>1</v>
      </c>
      <c r="B11" s="3000" t="s">
        <v>3883</v>
      </c>
      <c r="C11" s="3000" t="s">
        <v>3897</v>
      </c>
      <c r="D11" s="3000" t="s">
        <v>3878</v>
      </c>
      <c r="E11" s="3001">
        <v>39424.379999999997</v>
      </c>
      <c r="F11" s="3000" t="s">
        <v>4130</v>
      </c>
      <c r="G11" s="3000"/>
      <c r="H11" s="3002"/>
      <c r="M11" s="2999" t="s">
        <v>3928</v>
      </c>
      <c r="N11" s="2999">
        <v>3500</v>
      </c>
    </row>
    <row r="12" spans="1:16" ht="15">
      <c r="A12" s="3000">
        <v>2</v>
      </c>
      <c r="B12" s="3000" t="s">
        <v>3884</v>
      </c>
      <c r="C12" s="3000" t="s">
        <v>3885</v>
      </c>
      <c r="D12" s="3000">
        <v>7</v>
      </c>
      <c r="E12" s="3001">
        <v>4809.95</v>
      </c>
      <c r="F12" s="3000" t="s">
        <v>4130</v>
      </c>
      <c r="G12" s="3000"/>
      <c r="H12" s="3002"/>
      <c r="M12" s="2999" t="s">
        <v>3929</v>
      </c>
      <c r="N12" s="2999">
        <f>K10*1/10000*365</f>
        <v>1791.9273499999995</v>
      </c>
    </row>
    <row r="13" spans="1:16" ht="15">
      <c r="A13" s="3000">
        <v>3</v>
      </c>
      <c r="B13" s="3000" t="s">
        <v>3886</v>
      </c>
      <c r="C13" s="3000" t="s">
        <v>3888</v>
      </c>
      <c r="D13" s="3000">
        <v>8</v>
      </c>
      <c r="E13" s="3001">
        <v>4859.57</v>
      </c>
      <c r="F13" s="3000" t="s">
        <v>4130</v>
      </c>
      <c r="G13" s="3000"/>
      <c r="H13" s="3002"/>
      <c r="M13" s="2999" t="s">
        <v>4089</v>
      </c>
      <c r="N13" s="3026">
        <f>SUM(N10:N12)</f>
        <v>20719.793923999994</v>
      </c>
    </row>
    <row r="14" spans="1:16" ht="15">
      <c r="A14" s="3000">
        <v>4</v>
      </c>
      <c r="B14" s="3000" t="s">
        <v>3887</v>
      </c>
      <c r="C14" s="3000" t="s">
        <v>3889</v>
      </c>
      <c r="D14" s="3000">
        <v>9</v>
      </c>
      <c r="E14" s="3001">
        <v>4532.6899999999996</v>
      </c>
      <c r="F14" s="3000" t="s">
        <v>4130</v>
      </c>
      <c r="G14" s="3000"/>
      <c r="H14" s="3002"/>
      <c r="N14" s="2999">
        <f>N13/K10/365*10000</f>
        <v>11.562853775293959</v>
      </c>
    </row>
    <row r="15" spans="1:16" ht="15">
      <c r="A15" s="3000"/>
      <c r="B15" s="3000" t="s">
        <v>3894</v>
      </c>
      <c r="C15" s="3000"/>
      <c r="D15" s="3000"/>
      <c r="E15" s="3001">
        <f>SUM(E11:E14)</f>
        <v>53626.59</v>
      </c>
      <c r="F15" s="3000"/>
      <c r="G15" s="3000"/>
      <c r="H15" s="3002"/>
    </row>
    <row r="17" spans="1:10">
      <c r="D17" s="2996" t="s">
        <v>3921</v>
      </c>
      <c r="E17" s="2997">
        <v>9457.1200000000008</v>
      </c>
    </row>
    <row r="18" spans="1:10">
      <c r="D18" s="2996" t="s">
        <v>4125</v>
      </c>
      <c r="E18" s="2997">
        <v>9000</v>
      </c>
    </row>
    <row r="22" spans="1:10">
      <c r="A22" s="2996" t="s">
        <v>3920</v>
      </c>
    </row>
    <row r="24" spans="1:10" ht="15">
      <c r="B24" s="3001"/>
      <c r="C24" s="3010">
        <v>2016</v>
      </c>
      <c r="D24" s="3010">
        <v>2017</v>
      </c>
      <c r="E24" s="3010">
        <v>2018</v>
      </c>
      <c r="F24" s="3010">
        <v>2019</v>
      </c>
      <c r="G24" s="3010">
        <v>2020</v>
      </c>
      <c r="H24" s="3010">
        <v>2021</v>
      </c>
    </row>
    <row r="25" spans="1:10" ht="15">
      <c r="B25" s="3013" t="s">
        <v>3910</v>
      </c>
      <c r="C25" s="3014">
        <f t="shared" ref="C25:H25" si="1">SUM(C26,C27)</f>
        <v>236796214.56</v>
      </c>
      <c r="D25" s="3014">
        <f t="shared" si="1"/>
        <v>215787042</v>
      </c>
      <c r="E25" s="3014">
        <f t="shared" si="1"/>
        <v>294885679.98999995</v>
      </c>
      <c r="F25" s="3014">
        <f t="shared" si="1"/>
        <v>369904964.15999997</v>
      </c>
      <c r="G25" s="3014">
        <f t="shared" si="1"/>
        <v>382575541.32999992</v>
      </c>
      <c r="H25" s="3014">
        <f t="shared" si="1"/>
        <v>392033123.80000001</v>
      </c>
    </row>
    <row r="26" spans="1:10"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3914</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3918</v>
      </c>
      <c r="C30" s="3017"/>
      <c r="D30" s="3017"/>
      <c r="E30" s="3017">
        <v>15012532.08</v>
      </c>
      <c r="F30" s="3017">
        <v>10942.46</v>
      </c>
      <c r="G30" s="3017">
        <v>10942.46</v>
      </c>
      <c r="H30" s="3017">
        <v>8123.23</v>
      </c>
    </row>
    <row r="31" spans="1:10" s="3018" customFormat="1" ht="15">
      <c r="A31" s="3015"/>
      <c r="B31" s="3016" t="s">
        <v>3922</v>
      </c>
      <c r="C31" s="3017"/>
      <c r="D31" s="3017"/>
      <c r="E31" s="3017"/>
      <c r="F31" s="3017">
        <v>26342.53</v>
      </c>
      <c r="G31" s="3017">
        <v>26342.53</v>
      </c>
      <c r="H31" s="3017"/>
    </row>
    <row r="32" spans="1:10"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2">SUM(D34:D35)</f>
        <v>10867776.82</v>
      </c>
      <c r="E33" s="3012">
        <f t="shared" ref="E33" si="3">SUM(E34:E35)</f>
        <v>0</v>
      </c>
      <c r="F33" s="3012">
        <f t="shared" ref="F33" si="4">SUM(F34:F35)</f>
        <v>0</v>
      </c>
      <c r="G33" s="3012">
        <f t="shared" ref="G33" si="5">SUM(G34:G35)</f>
        <v>14756628.08</v>
      </c>
      <c r="H33" s="3012">
        <f t="shared" ref="H33" si="6">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47" t="s">
        <v>1574</v>
      </c>
      <c r="B2" s="3147"/>
      <c r="C2" s="3147"/>
      <c r="D2" s="821" t="s">
        <v>1550</v>
      </c>
      <c r="E2" s="1643" t="s">
        <v>1551</v>
      </c>
      <c r="F2" s="2591"/>
      <c r="G2" s="2584"/>
      <c r="H2" s="2585"/>
      <c r="I2" s="2298" t="s">
        <v>1575</v>
      </c>
      <c r="J2" s="2591"/>
      <c r="K2" s="2591"/>
      <c r="L2" s="2591"/>
      <c r="M2" s="2591"/>
      <c r="N2" s="2592"/>
      <c r="O2" s="2591"/>
      <c r="P2" s="2591"/>
    </row>
    <row r="3" spans="1:16" ht="15.75" thickBot="1">
      <c r="A3" s="3148" t="s">
        <v>1548</v>
      </c>
      <c r="B3" s="3148"/>
      <c r="C3" s="3148"/>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49"/>
      <c r="B4" s="3150"/>
      <c r="C4" s="3151"/>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52" t="s">
        <v>1553</v>
      </c>
      <c r="C5" s="3152"/>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2" t="s">
        <v>1554</v>
      </c>
      <c r="C6" s="3152"/>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44"/>
      <c r="B7" s="3145"/>
      <c r="C7" s="3146"/>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41" t="s">
        <v>1578</v>
      </c>
      <c r="L16" s="3142"/>
      <c r="M16" s="3142"/>
      <c r="N16" s="3142"/>
      <c r="O16" s="3142"/>
      <c r="P16" s="3143"/>
    </row>
    <row r="17" spans="1:19" ht="15">
      <c r="A17" s="1653" t="s">
        <v>1579</v>
      </c>
      <c r="B17" s="1654" t="s">
        <v>1580</v>
      </c>
      <c r="C17" s="1655" t="s">
        <v>1581</v>
      </c>
      <c r="D17" s="1656" t="s">
        <v>1569</v>
      </c>
      <c r="E17" s="1657" t="s">
        <v>1570</v>
      </c>
      <c r="F17" s="1658"/>
      <c r="G17" s="1659"/>
      <c r="H17" s="1660" t="s">
        <v>1582</v>
      </c>
      <c r="I17" s="1661" t="s">
        <v>1567</v>
      </c>
      <c r="J17" s="1171"/>
      <c r="K17" s="3138" t="s">
        <v>1583</v>
      </c>
      <c r="L17" s="3139"/>
      <c r="M17" s="3140"/>
      <c r="N17" s="3138" t="s">
        <v>1584</v>
      </c>
      <c r="O17" s="3139"/>
      <c r="P17" s="3140"/>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Y60" sqref="Y60"/>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5500</v>
      </c>
      <c r="M6" s="67">
        <f t="shared" ref="M6:M14" si="0">ROUND(K6*L6/10000,0)</f>
        <v>27002</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0.03</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0.03</v>
      </c>
      <c r="AN6" s="1709" t="s">
        <v>3906</v>
      </c>
      <c r="AO6" s="52">
        <f ca="1">SUMIF(INDIRECT("'"&amp;AN6&amp;"'"&amp;"!A:A"),"总价",INDIRECT("'"&amp;AN6&amp;"'"&amp;"!B:B"))</f>
        <v>272121</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5500</v>
      </c>
      <c r="M7" s="67">
        <f t="shared" si="0"/>
        <v>2493</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5</v>
      </c>
      <c r="V7" s="2971">
        <v>0.03</v>
      </c>
      <c r="W7" s="2971">
        <v>0.1</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v>1.4999999999999999E-2</v>
      </c>
      <c r="AL7" s="80">
        <v>1.5E-3</v>
      </c>
      <c r="AM7" s="81">
        <v>0.03</v>
      </c>
      <c r="AN7" s="1709" t="s">
        <v>3925</v>
      </c>
      <c r="AO7" s="52">
        <f t="shared" ref="AO7:AO13" ca="1" si="8">SUMIF(INDIRECT("'"&amp;AN7&amp;"'"&amp;"!A:A"),"总价",INDIRECT("'"&amp;AN7&amp;"'"&amp;"!B:B"))</f>
        <v>10457</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5500</v>
      </c>
      <c r="M16" s="91">
        <f>SUM(M6:M14)</f>
        <v>29495</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v>180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53" t="s">
        <v>2778</v>
      </c>
      <c r="B1" s="3154"/>
      <c r="C1" s="3154"/>
      <c r="D1" s="3154"/>
      <c r="E1" s="3154"/>
      <c r="F1" s="3154"/>
      <c r="G1" s="3154"/>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4093</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4094</v>
      </c>
      <c r="D9" s="2418"/>
      <c r="E9" s="2397"/>
      <c r="F9" s="118"/>
      <c r="G9" s="118"/>
      <c r="H9" s="824"/>
      <c r="I9" s="824"/>
      <c r="J9" s="824"/>
      <c r="K9" s="824"/>
      <c r="L9" s="824"/>
      <c r="M9" s="824"/>
      <c r="N9" s="824"/>
      <c r="O9" s="824"/>
      <c r="P9" s="824"/>
      <c r="Q9" s="824"/>
    </row>
    <row r="10" spans="1:29" ht="15" thickBot="1">
      <c r="A10" s="2401"/>
      <c r="B10" s="2426" t="s">
        <v>2762</v>
      </c>
      <c r="C10" s="2427" t="s">
        <v>4095</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271407</v>
      </c>
      <c r="C5" s="2451">
        <f ca="1">ROUND(B5*10000/$B$1,0)</f>
        <v>50611</v>
      </c>
      <c r="D5" s="2451">
        <f ca="1">ROUND(B5*10000/$B$2,0)</f>
        <v>392513</v>
      </c>
      <c r="E5" s="2615"/>
      <c r="F5" s="2616"/>
      <c r="G5" s="2616"/>
      <c r="H5" s="2616"/>
      <c r="I5" s="2616"/>
      <c r="J5" s="2616"/>
      <c r="K5" s="2616"/>
    </row>
    <row r="6" spans="1:11" ht="16.5">
      <c r="A6" s="2451" t="s">
        <v>1081</v>
      </c>
      <c r="B6" s="2451">
        <f ca="1">SUM(G14:G23)</f>
        <v>271407</v>
      </c>
      <c r="C6" s="2451">
        <f ca="1">ROUND(B6*10000/$B$1,0)</f>
        <v>50611</v>
      </c>
      <c r="D6" s="2451">
        <f ca="1">ROUND(B6*10000/$B$2,0)</f>
        <v>392513</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271407</v>
      </c>
      <c r="E14" s="2457">
        <f ca="1">ROUND(D14*10000/B14,0)</f>
        <v>50611</v>
      </c>
      <c r="F14" s="2457">
        <f ca="1">ROUND(D14*10000/C14,0)</f>
        <v>392513</v>
      </c>
      <c r="G14" s="2457">
        <f ca="1">D14</f>
        <v>271407</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3" t="str">
        <f>项目基本情况!B1</f>
        <v>浙江省杭州市延安路292号1-9层房地产抵押价值预评估</v>
      </c>
      <c r="C37" s="3063"/>
      <c r="D37" s="3063"/>
      <c r="E37" s="3063"/>
      <c r="F37" s="3063"/>
      <c r="G37" s="3063"/>
      <c r="H37" s="3063"/>
      <c r="I37" s="3063"/>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J110" sqref="J11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189" t="str">
        <f>项目基本情况!S2</f>
        <v>浙江省杭州市延安路292号1-9层房地产</v>
      </c>
      <c r="B2" s="3190"/>
      <c r="C2" s="3190"/>
      <c r="D2" s="3190"/>
      <c r="E2" s="3190"/>
      <c r="F2" s="3190"/>
      <c r="G2" s="3190"/>
      <c r="H2" s="3190"/>
      <c r="I2" s="3191"/>
    </row>
    <row r="3" spans="1:12" ht="12.75">
      <c r="A3" s="3193" t="s">
        <v>1707</v>
      </c>
      <c r="B3" s="3194"/>
      <c r="C3" s="3194"/>
      <c r="D3" s="3194"/>
      <c r="E3" s="3194"/>
      <c r="F3" s="3194"/>
      <c r="G3" s="3194"/>
      <c r="H3" s="3194"/>
      <c r="I3" s="3194"/>
    </row>
    <row r="4" spans="1:12" ht="14.25">
      <c r="A4" s="1744" t="s">
        <v>1708</v>
      </c>
      <c r="B4" s="1745" t="s">
        <v>1709</v>
      </c>
      <c r="C4" s="1746" t="s">
        <v>3909</v>
      </c>
      <c r="D4" s="1746" t="s">
        <v>4090</v>
      </c>
      <c r="E4" s="3195" t="s">
        <v>1710</v>
      </c>
      <c r="F4" s="3196"/>
      <c r="G4" s="3196"/>
      <c r="H4" s="3196"/>
      <c r="I4" s="3197"/>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69" t="s">
        <v>1711</v>
      </c>
      <c r="B5" s="3156">
        <v>25</v>
      </c>
      <c r="C5" s="3172"/>
      <c r="D5" s="3192"/>
      <c r="E5" s="120" t="s">
        <v>1712</v>
      </c>
      <c r="F5" s="1747"/>
      <c r="G5" s="1747"/>
      <c r="H5" s="1747"/>
      <c r="I5" s="1400"/>
    </row>
    <row r="6" spans="1:12" ht="12.75">
      <c r="A6" s="3169"/>
      <c r="B6" s="3156"/>
      <c r="C6" s="3173"/>
      <c r="D6" s="3192"/>
      <c r="E6" s="120" t="s">
        <v>1713</v>
      </c>
      <c r="F6" s="1747"/>
      <c r="G6" s="1747"/>
      <c r="H6" s="1747"/>
      <c r="I6" s="1400"/>
    </row>
    <row r="7" spans="1:12" ht="12.75">
      <c r="A7" s="3169"/>
      <c r="B7" s="3156"/>
      <c r="C7" s="3174"/>
      <c r="D7" s="3192"/>
      <c r="E7" s="120" t="s">
        <v>1714</v>
      </c>
      <c r="F7" s="1747"/>
      <c r="G7" s="1747"/>
      <c r="H7" s="1747"/>
      <c r="I7" s="1400"/>
    </row>
    <row r="8" spans="1:12" ht="12.75">
      <c r="A8" s="3169" t="s">
        <v>1715</v>
      </c>
      <c r="B8" s="3156">
        <v>15</v>
      </c>
      <c r="C8" s="3172"/>
      <c r="D8" s="3192"/>
      <c r="E8" s="120" t="s">
        <v>1716</v>
      </c>
      <c r="F8" s="1747"/>
      <c r="G8" s="1747"/>
      <c r="H8" s="1747"/>
      <c r="I8" s="1400"/>
    </row>
    <row r="9" spans="1:12" ht="12.75">
      <c r="A9" s="3169"/>
      <c r="B9" s="3156"/>
      <c r="C9" s="3174"/>
      <c r="D9" s="3192"/>
      <c r="E9" s="120" t="s">
        <v>1717</v>
      </c>
      <c r="F9" s="1747"/>
      <c r="G9" s="1747"/>
      <c r="H9" s="1747"/>
      <c r="I9" s="1400"/>
    </row>
    <row r="10" spans="1:12" ht="12.75">
      <c r="A10" s="3169" t="s">
        <v>1718</v>
      </c>
      <c r="B10" s="3156">
        <v>15</v>
      </c>
      <c r="C10" s="3172"/>
      <c r="D10" s="3192"/>
      <c r="E10" s="120" t="s">
        <v>1719</v>
      </c>
      <c r="F10" s="1747"/>
      <c r="G10" s="1747"/>
      <c r="H10" s="1747"/>
      <c r="I10" s="1400"/>
    </row>
    <row r="11" spans="1:12" ht="12.75">
      <c r="A11" s="3169"/>
      <c r="B11" s="3156"/>
      <c r="C11" s="3174"/>
      <c r="D11" s="3192"/>
      <c r="E11" s="120" t="s">
        <v>1720</v>
      </c>
      <c r="F11" s="1747"/>
      <c r="G11" s="1747"/>
      <c r="H11" s="1747"/>
      <c r="I11" s="1400"/>
    </row>
    <row r="12" spans="1:12" ht="12.75">
      <c r="A12" s="3169" t="s">
        <v>1721</v>
      </c>
      <c r="B12" s="3156">
        <v>15</v>
      </c>
      <c r="C12" s="3172"/>
      <c r="D12" s="3192"/>
      <c r="E12" s="120" t="s">
        <v>1722</v>
      </c>
      <c r="F12" s="1747"/>
      <c r="G12" s="1747"/>
      <c r="H12" s="1747"/>
      <c r="I12" s="1400"/>
    </row>
    <row r="13" spans="1:12" ht="12.75">
      <c r="A13" s="3169"/>
      <c r="B13" s="3156"/>
      <c r="C13" s="3174"/>
      <c r="D13" s="3192"/>
      <c r="E13" s="120" t="s">
        <v>1723</v>
      </c>
      <c r="F13" s="1747"/>
      <c r="G13" s="1747"/>
      <c r="H13" s="1747"/>
      <c r="I13" s="1400"/>
    </row>
    <row r="14" spans="1:12" ht="12.75">
      <c r="A14" s="3169" t="s">
        <v>1724</v>
      </c>
      <c r="B14" s="3156">
        <v>30</v>
      </c>
      <c r="C14" s="3172">
        <v>5</v>
      </c>
      <c r="D14" s="3192">
        <v>5</v>
      </c>
      <c r="E14" s="120" t="s">
        <v>1725</v>
      </c>
      <c r="F14" s="1747"/>
      <c r="G14" s="1747"/>
      <c r="H14" s="1747"/>
      <c r="I14" s="1400"/>
    </row>
    <row r="15" spans="1:12" ht="12.75">
      <c r="A15" s="3169"/>
      <c r="B15" s="3156"/>
      <c r="C15" s="3173"/>
      <c r="D15" s="3192"/>
      <c r="E15" s="120" t="s">
        <v>1726</v>
      </c>
      <c r="F15" s="1747"/>
      <c r="G15" s="1747"/>
      <c r="H15" s="1747"/>
      <c r="I15" s="1400"/>
    </row>
    <row r="16" spans="1:12" ht="12.75">
      <c r="A16" s="3169"/>
      <c r="B16" s="3156"/>
      <c r="C16" s="3174"/>
      <c r="D16" s="3192"/>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179" t="s">
        <v>2627</v>
      </c>
      <c r="F18" s="3180"/>
      <c r="G18" s="3180"/>
      <c r="H18" s="3180"/>
      <c r="I18" s="3180"/>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260235</v>
      </c>
      <c r="D19" s="124">
        <f ca="1">SUMIF(INDIRECT("'"&amp;D4&amp;"'"&amp;"!A:A"),结果表!B19,INDIRECT("'"&amp;D4&amp;"'"&amp;"!B:B"))</f>
        <v>282578</v>
      </c>
      <c r="E19" s="1750" t="s">
        <v>1735</v>
      </c>
      <c r="F19" s="1751" t="s">
        <v>1734</v>
      </c>
      <c r="G19" s="125">
        <f ca="1">ROUND(C19*$C$18+D19*$D$18,0)</f>
        <v>271407</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48527</v>
      </c>
      <c r="D20" s="127">
        <f ca="1">SUMIF(INDIRECT("'"&amp;D4&amp;"'"&amp;"!A:A"),结果表!B20,INDIRECT("'"&amp;D4&amp;"'"&amp;"!B:B"))</f>
        <v>52694</v>
      </c>
      <c r="E20" s="1753"/>
      <c r="F20" s="45" t="s">
        <v>1738</v>
      </c>
      <c r="G20" s="128">
        <f ca="1">ROUND(C20*$C$18+D20*$D$18,0)</f>
        <v>50611</v>
      </c>
      <c r="H20" s="834" t="s">
        <v>1739</v>
      </c>
      <c r="I20" s="118"/>
    </row>
    <row r="21" spans="1:36" ht="15" customHeight="1" thickBot="1">
      <c r="A21" s="449"/>
      <c r="B21" s="97" t="s">
        <v>1740</v>
      </c>
      <c r="C21" s="675">
        <f ca="1">ROUND(C19*10000/L19,0)</f>
        <v>376356</v>
      </c>
      <c r="D21" s="676">
        <f ca="1">ROUND(D19*10000/L19,0)</f>
        <v>408669</v>
      </c>
      <c r="E21" s="449"/>
      <c r="F21" s="97" t="s">
        <v>1740</v>
      </c>
      <c r="G21" s="129">
        <f ca="1">ROUND(G19*10000/L19,0)</f>
        <v>392513</v>
      </c>
      <c r="H21" s="1754" t="s">
        <v>1739</v>
      </c>
      <c r="I21" s="118"/>
    </row>
    <row r="22" spans="1:36" ht="15" thickBot="1">
      <c r="A22" s="1684" t="s">
        <v>1741</v>
      </c>
      <c r="B22" s="1755"/>
      <c r="C22" s="1756"/>
      <c r="D22" s="677">
        <f ca="1">IF(C19&lt;D19,D19/C19-1,C19/D19-1)</f>
        <v>8.5857013852863817E-2</v>
      </c>
      <c r="E22" s="118"/>
      <c r="F22" s="118"/>
      <c r="G22" s="118"/>
      <c r="H22" s="118"/>
      <c r="I22" s="118"/>
    </row>
    <row r="23" spans="1:36" ht="13.5" thickBot="1">
      <c r="A23" s="643"/>
      <c r="B23" s="643"/>
      <c r="C23" s="643"/>
      <c r="D23" s="643"/>
      <c r="E23" s="118"/>
      <c r="F23" s="118"/>
      <c r="G23" s="118"/>
      <c r="H23" s="118"/>
      <c r="I23" s="118"/>
    </row>
    <row r="24" spans="1:36" ht="14.25">
      <c r="A24" s="3163" t="s">
        <v>1742</v>
      </c>
      <c r="B24" s="1751" t="s">
        <v>1734</v>
      </c>
      <c r="C24" s="125">
        <f>IF(B30=0,0,D30)</f>
        <v>0</v>
      </c>
      <c r="D24" s="1757"/>
      <c r="E24" s="118"/>
      <c r="F24" s="118"/>
      <c r="G24" s="118"/>
      <c r="H24" s="118"/>
      <c r="I24" s="118"/>
    </row>
    <row r="25" spans="1:36" ht="14.25">
      <c r="A25" s="316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271407</v>
      </c>
      <c r="D32" s="1761" t="s">
        <v>3565</v>
      </c>
      <c r="E32" s="118"/>
      <c r="F32" s="118"/>
      <c r="G32" s="118"/>
      <c r="H32" s="118"/>
      <c r="I32" s="118"/>
    </row>
    <row r="33" spans="1:15" ht="15">
      <c r="A33" s="813" t="s">
        <v>1749</v>
      </c>
      <c r="B33" s="120"/>
      <c r="C33" s="1762" t="s">
        <v>4129</v>
      </c>
      <c r="D33" s="1763" t="s">
        <v>3909</v>
      </c>
      <c r="E33" s="1764" t="s">
        <v>1750</v>
      </c>
      <c r="F33" s="1765" t="str">
        <f>IF(D32="楼面单价","取值（单价）","取值（总价）")</f>
        <v>取值（总价）</v>
      </c>
      <c r="G33" s="118"/>
      <c r="H33" s="118"/>
      <c r="I33" s="118"/>
    </row>
    <row r="34" spans="1:15" ht="15">
      <c r="A34" s="1766"/>
      <c r="B34" s="1767" t="s">
        <v>1751</v>
      </c>
      <c r="C34" s="137">
        <f ca="1">IF(C33="自定义",F34,C32-C35)</f>
        <v>233681</v>
      </c>
      <c r="D34" s="882">
        <f ca="1">IF(C33="自定义",ROUND(C34/C32,3),IF(C33="收益比率",SUMIF(INDIRECT("'"&amp;D33&amp;"'"&amp;"!b:b"),"土地收益比率",INDIRECT("'"&amp;D33&amp;"'"&amp;"!c:c")),SUMIF(INDIRECT("'"&amp;D33&amp;"'"&amp;"!b:b"),"土地成本比率",INDIRECT("'"&amp;D33&amp;"'"&amp;"!c:c"))))</f>
        <v>0.86099999999999999</v>
      </c>
      <c r="E34" s="1768" t="s">
        <v>1752</v>
      </c>
      <c r="F34" s="1348"/>
      <c r="G34" s="118"/>
      <c r="H34" s="118"/>
      <c r="I34" s="118"/>
    </row>
    <row r="35" spans="1:15" ht="15.75" thickBot="1">
      <c r="A35" s="1769"/>
      <c r="B35" s="1770" t="s">
        <v>1753</v>
      </c>
      <c r="C35" s="1190">
        <f ca="1">IF(C33="自定义",F35,ROUND(C32*D35,0))</f>
        <v>37726</v>
      </c>
      <c r="D35" s="1191">
        <f ca="1">IF(C33="自定义",ROUND(C35/C32,3),IF(C33="收益比率",SUMIF(INDIRECT("'"&amp;D33&amp;"'"&amp;"!b:b"),"建筑物收益比率",INDIRECT("'"&amp;D33&amp;"'"&amp;"!c:c")),SUMIF(INDIRECT("'"&amp;D33&amp;"'"&amp;"!b:b"),"建筑物成本比率",INDIRECT("'"&amp;D33&amp;"'"&amp;"!c:c"))))</f>
        <v>0.13900000000000001</v>
      </c>
      <c r="E35" s="1771" t="s">
        <v>1754</v>
      </c>
      <c r="F35" s="143"/>
      <c r="G35" s="118"/>
      <c r="H35" s="118"/>
      <c r="I35" s="118"/>
    </row>
    <row r="36" spans="1:15" ht="15.75" thickBot="1">
      <c r="A36" s="3183" t="s">
        <v>1755</v>
      </c>
      <c r="B36" s="1772" t="s">
        <v>1756</v>
      </c>
      <c r="C36" s="134"/>
      <c r="D36" s="1773"/>
      <c r="E36" s="1687"/>
      <c r="F36" s="1774"/>
      <c r="G36" s="118"/>
      <c r="H36" s="118"/>
      <c r="I36" s="118"/>
    </row>
    <row r="37" spans="1:15" ht="15.75" thickBot="1">
      <c r="A37" s="3184"/>
      <c r="B37" s="1675" t="s">
        <v>1757</v>
      </c>
      <c r="C37" s="136"/>
      <c r="D37" s="1171"/>
      <c r="E37" s="1171"/>
      <c r="F37" s="1774"/>
      <c r="G37" s="118"/>
      <c r="H37" s="118"/>
      <c r="I37" s="118"/>
    </row>
    <row r="38" spans="1:15" ht="15.75" thickBot="1">
      <c r="A38" s="3185"/>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0" t="s">
        <v>1769</v>
      </c>
      <c r="B45" s="3161"/>
      <c r="C45" s="3162"/>
      <c r="D45" s="144">
        <f ca="1">系统读取表!B5</f>
        <v>271407</v>
      </c>
      <c r="E45" s="145" t="s">
        <v>1770</v>
      </c>
      <c r="F45" s="146">
        <v>0.56000000000000005</v>
      </c>
      <c r="G45" s="147" t="s">
        <v>1771</v>
      </c>
      <c r="H45" s="118"/>
      <c r="I45" s="118"/>
      <c r="J45" s="3241" t="s">
        <v>1772</v>
      </c>
      <c r="K45" s="3241"/>
      <c r="L45" s="3241"/>
      <c r="M45" s="3241"/>
      <c r="N45" s="3241"/>
      <c r="O45" s="3241"/>
    </row>
    <row r="46" spans="1:15" ht="14.25" customHeight="1">
      <c r="A46" s="3157" t="s">
        <v>1773</v>
      </c>
      <c r="B46" s="3158"/>
      <c r="C46" s="3158"/>
      <c r="D46" s="3158"/>
      <c r="E46" s="3158"/>
      <c r="F46" s="3158"/>
      <c r="G46" s="3159"/>
      <c r="H46" s="1788"/>
      <c r="I46" s="148"/>
      <c r="J46" s="2461">
        <v>1</v>
      </c>
      <c r="K46" s="3222" t="s">
        <v>1774</v>
      </c>
      <c r="L46" s="3222"/>
      <c r="M46" s="3242"/>
      <c r="N46" s="3242"/>
      <c r="O46" s="3242"/>
    </row>
    <row r="47" spans="1:15" ht="12" customHeight="1">
      <c r="A47" s="149" t="s">
        <v>1775</v>
      </c>
      <c r="B47" s="150"/>
      <c r="C47" s="151"/>
      <c r="D47" s="1122" t="s">
        <v>1776</v>
      </c>
      <c r="E47" s="292" t="s">
        <v>1777</v>
      </c>
      <c r="F47" s="152" t="s">
        <v>1778</v>
      </c>
      <c r="G47" s="2484" t="s">
        <v>1779</v>
      </c>
      <c r="H47" s="2485"/>
      <c r="I47" s="148"/>
      <c r="J47" s="2461">
        <v>2</v>
      </c>
      <c r="K47" s="3222" t="s">
        <v>1780</v>
      </c>
      <c r="L47" s="3222"/>
      <c r="M47" s="3243">
        <f>'数据-取费表'!B2</f>
        <v>44807</v>
      </c>
      <c r="N47" s="3243"/>
      <c r="O47" s="3243"/>
    </row>
    <row r="48" spans="1:15" ht="25.5">
      <c r="A48" s="3188" t="s">
        <v>1781</v>
      </c>
      <c r="B48" s="3171"/>
      <c r="C48" s="3171"/>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222" t="s">
        <v>1783</v>
      </c>
      <c r="L48" s="3222"/>
      <c r="M48" s="3244">
        <f ca="1">系统读取表!B6</f>
        <v>271407</v>
      </c>
      <c r="N48" s="3244"/>
      <c r="O48" s="3244"/>
    </row>
    <row r="49" spans="1:35" ht="25.5" customHeight="1">
      <c r="A49" s="2304" t="s">
        <v>1784</v>
      </c>
      <c r="B49" s="3155" t="s">
        <v>1785</v>
      </c>
      <c r="C49" s="3155"/>
      <c r="D49" s="1598">
        <v>0</v>
      </c>
      <c r="E49" s="314" t="s">
        <v>1786</v>
      </c>
      <c r="F49" s="2384" t="s">
        <v>34</v>
      </c>
      <c r="G49" s="3228"/>
      <c r="H49" s="2281" t="s">
        <v>2630</v>
      </c>
      <c r="I49" s="2282"/>
      <c r="J49" s="2461">
        <v>4</v>
      </c>
      <c r="K49" s="3222" t="str">
        <f>IF(项目基本情况!E8="房地产抵押价值","房地产抵押价值","抵押担保权已注销时的房地产抵押价值")</f>
        <v>房地产抵押价值</v>
      </c>
      <c r="L49" s="3222"/>
      <c r="M49" s="3244">
        <f ca="1">M48</f>
        <v>271407</v>
      </c>
      <c r="N49" s="3244"/>
      <c r="O49" s="3244"/>
    </row>
    <row r="50" spans="1:35" ht="25.5" customHeight="1">
      <c r="A50" s="2489"/>
      <c r="B50" s="3155" t="s">
        <v>1787</v>
      </c>
      <c r="C50" s="3155"/>
      <c r="D50" s="2341"/>
      <c r="E50" s="321"/>
      <c r="F50" s="2384"/>
      <c r="G50" s="3229"/>
      <c r="H50" s="2283" t="s">
        <v>2631</v>
      </c>
      <c r="I50" s="2282"/>
      <c r="J50" s="3241" t="s">
        <v>1788</v>
      </c>
      <c r="K50" s="3241"/>
      <c r="L50" s="3241"/>
      <c r="M50" s="3241"/>
      <c r="N50" s="3241"/>
      <c r="O50" s="3241"/>
    </row>
    <row r="51" spans="1:35" ht="20.45" customHeight="1">
      <c r="A51" s="2490"/>
      <c r="B51" s="3155" t="s">
        <v>1789</v>
      </c>
      <c r="C51" s="3155"/>
      <c r="D51" s="1122"/>
      <c r="E51" s="317"/>
      <c r="F51" s="2384"/>
      <c r="G51" s="3230"/>
      <c r="H51" s="2283" t="s">
        <v>2632</v>
      </c>
      <c r="I51" s="2282"/>
      <c r="J51" s="2462" t="s">
        <v>1790</v>
      </c>
      <c r="K51" s="3222" t="s">
        <v>1791</v>
      </c>
      <c r="L51" s="3222"/>
      <c r="M51" s="2462" t="s">
        <v>1792</v>
      </c>
      <c r="N51" s="2462" t="s">
        <v>1793</v>
      </c>
      <c r="O51" s="2462" t="s">
        <v>1794</v>
      </c>
    </row>
    <row r="52" spans="1:35" ht="24" customHeight="1">
      <c r="A52" s="2305" t="s">
        <v>1795</v>
      </c>
      <c r="B52" s="3155" t="s">
        <v>1796</v>
      </c>
      <c r="C52" s="3155"/>
      <c r="D52" s="1122">
        <f ca="1">ROUND(D45*'数据-取费表'!B41/(1+'数据-取费表'!C42),0)</f>
        <v>14475</v>
      </c>
      <c r="E52" s="1375" t="s">
        <v>1797</v>
      </c>
      <c r="F52" s="2491">
        <f>'数据-取费表'!B41</f>
        <v>5.6000000000000001E-2</v>
      </c>
      <c r="G52" s="2492"/>
      <c r="H52" s="2482"/>
      <c r="I52" s="1789"/>
      <c r="J52" s="2461">
        <v>1</v>
      </c>
      <c r="K52" s="3223" t="s">
        <v>1798</v>
      </c>
      <c r="L52" s="3223"/>
      <c r="M52" s="2463" t="e">
        <f ca="1">D48</f>
        <v>#REF!</v>
      </c>
      <c r="N52" s="2461" t="str">
        <f>E48</f>
        <v>(销售额-原购置价)×税（费）率</v>
      </c>
      <c r="O52" s="2464">
        <f>F48</f>
        <v>5.6000000000000001E-2</v>
      </c>
    </row>
    <row r="53" spans="1:35" ht="12" customHeight="1">
      <c r="A53" s="2305" t="s">
        <v>1799</v>
      </c>
      <c r="B53" s="3181" t="s">
        <v>2783</v>
      </c>
      <c r="C53" s="3182"/>
      <c r="D53" s="1122">
        <f ca="1">ROUND(D45*'数据-取费表'!B41/(1+'数据-取费表'!C42),0)</f>
        <v>14475</v>
      </c>
      <c r="E53" s="1375" t="s">
        <v>1797</v>
      </c>
      <c r="F53" s="2491">
        <f>'数据-取费表'!B41</f>
        <v>5.6000000000000001E-2</v>
      </c>
      <c r="G53" s="2492"/>
      <c r="H53" s="2482"/>
      <c r="I53" s="1789"/>
      <c r="J53" s="2461">
        <v>2</v>
      </c>
      <c r="K53" s="3223" t="s">
        <v>1800</v>
      </c>
      <c r="L53" s="3223"/>
      <c r="M53" s="2463">
        <f ca="1">D55</f>
        <v>136</v>
      </c>
      <c r="N53" s="2461" t="str">
        <f t="shared" ref="N53:O54" si="0">E55</f>
        <v>销售额×税（费）率</v>
      </c>
      <c r="O53" s="2464">
        <f t="shared" si="0"/>
        <v>5.0000000000000001E-4</v>
      </c>
    </row>
    <row r="54" spans="1:35" ht="12" customHeight="1">
      <c r="A54" s="2305" t="s">
        <v>1801</v>
      </c>
      <c r="B54" s="3181" t="s">
        <v>2784</v>
      </c>
      <c r="C54" s="3182"/>
      <c r="D54" s="1122" t="e">
        <f ca="1">C68</f>
        <v>#REF!</v>
      </c>
      <c r="E54" s="317" t="s">
        <v>1802</v>
      </c>
      <c r="F54" s="2491">
        <f>'数据-取费表'!B41</f>
        <v>5.6000000000000001E-2</v>
      </c>
      <c r="G54" s="2492"/>
      <c r="H54" s="2493"/>
      <c r="I54" s="1789"/>
      <c r="J54" s="2461">
        <v>3</v>
      </c>
      <c r="K54" s="3223" t="s">
        <v>1803</v>
      </c>
      <c r="L54" s="3223"/>
      <c r="M54" s="2463" t="e">
        <f ca="1">D56</f>
        <v>#REF!</v>
      </c>
      <c r="N54" s="2461" t="str">
        <f t="shared" si="0"/>
        <v>增值额×税（费）率</v>
      </c>
      <c r="O54" s="2465" t="str">
        <f t="shared" si="0"/>
        <v>——</v>
      </c>
    </row>
    <row r="55" spans="1:35" ht="24" customHeight="1">
      <c r="A55" s="3170" t="s">
        <v>1804</v>
      </c>
      <c r="B55" s="3171"/>
      <c r="C55" s="3171"/>
      <c r="D55" s="14">
        <f ca="1">IF(H55="个人住宅",0,ROUND(D45*I55,0))</f>
        <v>136</v>
      </c>
      <c r="E55" s="1375" t="s">
        <v>1805</v>
      </c>
      <c r="F55" s="2491">
        <f>IF(H55="正常",I55,"免征")</f>
        <v>5.0000000000000001E-4</v>
      </c>
      <c r="G55" s="2492"/>
      <c r="H55" s="2488" t="s">
        <v>3568</v>
      </c>
      <c r="I55" s="154">
        <f>'数据-取费表'!B49</f>
        <v>5.0000000000000001E-4</v>
      </c>
      <c r="J55" s="2461" t="str">
        <f>IF(H59="非个人房产","",4)</f>
        <v/>
      </c>
      <c r="K55" s="3223" t="str">
        <f>IF(H59="非个人房产","——","个人所得税")</f>
        <v>——</v>
      </c>
      <c r="L55" s="3223"/>
      <c r="M55" s="2466" t="str">
        <f>D59</f>
        <v>——</v>
      </c>
      <c r="N55" s="2004" t="str">
        <f>E59</f>
        <v>——</v>
      </c>
      <c r="O55" s="2467" t="str">
        <f>F59</f>
        <v>——</v>
      </c>
    </row>
    <row r="56" spans="1:35" ht="24.75">
      <c r="A56" s="3170" t="s">
        <v>1806</v>
      </c>
      <c r="B56" s="3171"/>
      <c r="C56" s="3171"/>
      <c r="D56" s="14" t="e">
        <f ca="1">IF(H56="个人住宅",D57,D58)</f>
        <v>#REF!</v>
      </c>
      <c r="E56" s="1375" t="s">
        <v>1807</v>
      </c>
      <c r="F56" s="2491" t="str">
        <f>IF(H56="正常",F58,"免征")</f>
        <v>——</v>
      </c>
      <c r="G56" s="2494" t="s">
        <v>1808</v>
      </c>
      <c r="H56" s="2495" t="s">
        <v>3568</v>
      </c>
      <c r="I56" s="1790"/>
      <c r="J56" s="2461" t="str">
        <f>IF(项目基本情况!K6="上海银行",IF(J55="",4,J55+1),"")</f>
        <v/>
      </c>
      <c r="K56" s="3246" t="str">
        <f>IF(项目基本情况!K6="上海银行","其他处置费用","")</f>
        <v/>
      </c>
      <c r="L56" s="3247"/>
      <c r="M56" s="2463" t="str">
        <f>IF(项目基本情况!K6="上海银行",M69,"")</f>
        <v/>
      </c>
      <c r="N56" s="3246" t="str">
        <f>IF(项目基本情况!K6="上海银行","包含处置中涉及的律师、诉讼、拍卖、评估等费用","")</f>
        <v/>
      </c>
      <c r="O56" s="3249"/>
    </row>
    <row r="57" spans="1:35" ht="12.75">
      <c r="A57" s="2305" t="s">
        <v>1784</v>
      </c>
      <c r="B57" s="3181" t="s">
        <v>1809</v>
      </c>
      <c r="C57" s="3182"/>
      <c r="D57" s="1598">
        <v>0</v>
      </c>
      <c r="E57" s="314" t="s">
        <v>1786</v>
      </c>
      <c r="F57" s="292"/>
      <c r="G57" s="2492"/>
      <c r="H57" s="2496"/>
      <c r="I57" s="1790"/>
      <c r="J57" s="3223">
        <f>IF(AND(J55="",J56=""),4,IF(项目基本情况!K6="上海银行",结果表!J56+1,结果表!J55+1))</f>
        <v>4</v>
      </c>
      <c r="K57" s="3223" t="s">
        <v>1810</v>
      </c>
      <c r="L57" s="2468" t="s">
        <v>1811</v>
      </c>
      <c r="M57" s="2469"/>
      <c r="N57" s="2470">
        <f ca="1">SUMIF(M52:M56,"&lt;9e307")</f>
        <v>136</v>
      </c>
      <c r="O57" s="2471"/>
      <c r="P57" s="2618">
        <f ca="1">N57/M49</f>
        <v>5.0109245524249558E-4</v>
      </c>
    </row>
    <row r="58" spans="1:35" ht="24.75">
      <c r="A58" s="2305" t="s">
        <v>1795</v>
      </c>
      <c r="B58" s="3181" t="s">
        <v>1812</v>
      </c>
      <c r="C58" s="3155"/>
      <c r="D58" s="14" t="e">
        <f ca="1">IF(H58="转让取得",C81,C97)</f>
        <v>#REF!</v>
      </c>
      <c r="E58" s="1375" t="s">
        <v>1807</v>
      </c>
      <c r="F58" s="292" t="s">
        <v>34</v>
      </c>
      <c r="G58" s="2492"/>
      <c r="H58" s="2495" t="s">
        <v>3569</v>
      </c>
      <c r="I58" s="1790"/>
      <c r="J58" s="3223"/>
      <c r="K58" s="3223"/>
      <c r="L58" s="2468" t="s">
        <v>1813</v>
      </c>
      <c r="M58" s="2472"/>
      <c r="N58" s="2473" t="str">
        <f ca="1">NUMBERSTRING(INT(N57*10000),2)&amp;"元整"</f>
        <v>壹佰叁拾陆万元整</v>
      </c>
      <c r="O58" s="2474"/>
    </row>
    <row r="59" spans="1:35" ht="24.75" thickBot="1">
      <c r="A59" s="3226" t="s">
        <v>1814</v>
      </c>
      <c r="B59" s="3227"/>
      <c r="C59" s="3227"/>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224">
        <f>J57+1</f>
        <v>5</v>
      </c>
      <c r="K59" s="3223" t="s">
        <v>1815</v>
      </c>
      <c r="L59" s="2461" t="s">
        <v>1811</v>
      </c>
      <c r="M59" s="2475"/>
      <c r="N59" s="2476">
        <f ca="1">M49-N57</f>
        <v>271271</v>
      </c>
      <c r="O59" s="2477"/>
    </row>
    <row r="60" spans="1:35" ht="12" customHeight="1">
      <c r="A60" s="1791"/>
      <c r="B60" s="643"/>
      <c r="C60" s="643"/>
      <c r="D60" s="643"/>
      <c r="E60" s="1586"/>
      <c r="F60" s="1790"/>
      <c r="G60" s="1790"/>
      <c r="H60" s="148"/>
      <c r="I60" s="118"/>
      <c r="J60" s="3225"/>
      <c r="K60" s="3223"/>
      <c r="L60" s="2468" t="s">
        <v>1813</v>
      </c>
      <c r="M60" s="2472"/>
      <c r="N60" s="2473" t="str">
        <f ca="1">NUMBERSTRING(INT(N59*10000),2)&amp;"元整"</f>
        <v>贰拾柒亿壹仟贰佰柒拾壹万元整</v>
      </c>
      <c r="O60" s="2474"/>
    </row>
    <row r="61" spans="1:35" ht="13.5" thickBot="1">
      <c r="A61" s="3168" t="s">
        <v>1816</v>
      </c>
      <c r="B61" s="3168"/>
      <c r="C61" s="3168"/>
      <c r="D61" s="3168"/>
      <c r="E61" s="3168"/>
      <c r="F61" s="1790"/>
      <c r="G61" s="1790"/>
      <c r="H61" s="148"/>
      <c r="I61" s="118"/>
      <c r="J61" s="2461">
        <f>J59+1</f>
        <v>6</v>
      </c>
      <c r="K61" s="3223" t="s">
        <v>1817</v>
      </c>
      <c r="L61" s="3223"/>
      <c r="M61" s="2478"/>
      <c r="N61" s="2479">
        <f ca="1">ROUND(N59*10000/'数据-汇总表'!E3,0)</f>
        <v>50585</v>
      </c>
      <c r="O61" s="2480"/>
    </row>
    <row r="62" spans="1:35" ht="12.75">
      <c r="A62" s="3186" t="s">
        <v>1818</v>
      </c>
      <c r="B62" s="3187"/>
      <c r="C62" s="1987"/>
      <c r="D62" s="1987" t="s">
        <v>1819</v>
      </c>
      <c r="E62" s="155" t="s">
        <v>1820</v>
      </c>
      <c r="F62" s="1790"/>
      <c r="G62" s="1790"/>
      <c r="H62" s="148"/>
      <c r="I62" s="118"/>
    </row>
    <row r="63" spans="1:35" ht="12.75">
      <c r="A63" s="162" t="s">
        <v>594</v>
      </c>
      <c r="B63" s="156" t="s">
        <v>1821</v>
      </c>
      <c r="C63" s="2501">
        <f ca="1">ROUND((C64+C65)/(1+'数据-取费表'!C42),0)</f>
        <v>258483</v>
      </c>
      <c r="D63" s="156"/>
      <c r="E63" s="157"/>
      <c r="F63" s="1790"/>
      <c r="G63" s="1790"/>
      <c r="H63" s="148"/>
      <c r="I63" s="118"/>
      <c r="J63" s="3248" t="s">
        <v>1822</v>
      </c>
      <c r="K63" s="1350" t="s">
        <v>1823</v>
      </c>
      <c r="L63" s="1350">
        <f ca="1">IF(M49&gt;10000,M49*0.5%,IF(AND(M49&gt;1000,M49&lt;=10000),M49*1%,IF(AND(M49&gt;100,M49&lt;=1000),M49*3%,IF(AND(M49&gt;10,M49&lt;=100),M49*5%,M49*8%))))</f>
        <v>1357.0350000000001</v>
      </c>
      <c r="M63" s="292">
        <f ca="1">ROUND(L63,1)</f>
        <v>1357</v>
      </c>
      <c r="N63" s="2481"/>
      <c r="Z63" s="1743"/>
      <c r="AI63" s="1681"/>
    </row>
    <row r="64" spans="1:35" ht="14.25" customHeight="1">
      <c r="A64" s="158" t="s">
        <v>589</v>
      </c>
      <c r="B64" s="159" t="s">
        <v>1824</v>
      </c>
      <c r="C64" s="2502">
        <f ca="1">D45</f>
        <v>271407</v>
      </c>
      <c r="D64" s="159" t="s">
        <v>32</v>
      </c>
      <c r="E64" s="161"/>
      <c r="F64" s="1790"/>
      <c r="G64" s="1790"/>
      <c r="H64" s="148"/>
      <c r="I64" s="118"/>
      <c r="J64" s="3248"/>
      <c r="K64" s="1350" t="s">
        <v>1825</v>
      </c>
      <c r="L64" s="1350">
        <f ca="1">IF(M49&gt;2000,M49*0.5%,IF(AND(M49&gt;1000,M49&lt;=2000),M49*0.6%,IF(AND(M49&gt;500,M49&lt;=1000),M49*0.7%,IF(AND(M49&gt;200,M49&lt;=500),M49*0.8%,IF(AND(M49&gt;100,M49&lt;=200),M49*0.9%,IF(AND(M49&gt;50,M49&lt;=100),M49*1%,IF(AND(M49&gt;20,M49&lt;=50),M49*1.5%,IF(AND(M49&gt;10,M49&lt;=20),M49*2%,IF(AND(M49&gt;1,M49&lt;=10),M49*2.5%)))))))))</f>
        <v>1357.0350000000001</v>
      </c>
      <c r="M64" s="292">
        <f t="shared" ref="M64:M65" ca="1" si="1">ROUND(L64,1)</f>
        <v>1357</v>
      </c>
      <c r="N64" s="2482" t="s">
        <v>1826</v>
      </c>
      <c r="Z64" s="1743"/>
      <c r="AI64" s="1681"/>
    </row>
    <row r="65" spans="1:35" ht="14.25" customHeight="1">
      <c r="A65" s="158" t="s">
        <v>590</v>
      </c>
      <c r="B65" s="159" t="s">
        <v>1827</v>
      </c>
      <c r="C65" s="2503"/>
      <c r="D65" s="159"/>
      <c r="E65" s="161"/>
      <c r="F65" s="1790"/>
      <c r="G65" s="1790"/>
      <c r="H65" s="148"/>
      <c r="I65" s="118"/>
      <c r="J65" s="3248"/>
      <c r="K65" s="1350" t="s">
        <v>1828</v>
      </c>
      <c r="L65" s="1350">
        <f ca="1">IF(M49&gt;1000,M49*0.1%,IF(AND(M49&gt;500,M49&lt;=1000),M49*0.5%,IF(AND(M49&gt;50,M49&lt;=500),M49*1%,IF(AND(M49&gt;1,M49&lt;=50),M49*1.5%))))</f>
        <v>271.40699999999998</v>
      </c>
      <c r="M65" s="292">
        <f t="shared" ca="1" si="1"/>
        <v>271.39999999999998</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248"/>
      <c r="K66" s="1350" t="s">
        <v>1830</v>
      </c>
      <c r="L66" s="1350">
        <f ca="1">M49*0.5%</f>
        <v>1357.0350000000001</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248"/>
      <c r="K67" s="1350" t="s">
        <v>1833</v>
      </c>
      <c r="L67" s="1350">
        <f ca="1">IF(M49&gt;=10000,(8.25+(M49-10000)*0.01%),IF(AND(M49&gt;=8000,M49&lt;10000),(7.85+(M49-8000)*0.02%),IF(AND(M49&gt;=5000,M49&lt;8000),(6.65+(M49-5000)*0.04%),IF(AND(M49&gt;=2000,M49&lt;5000),(4.25+(PM49-2000)*0.08%),IF(AND(M49&gt;=1000,M49&lt;2000),(2.75+(M49-1000)*0.15%),IF(AND(M49&gt;=100,M49&lt;1000),(0.5+(M49-100)*0.25%),IF(AND(M49&gt;0,M49&lt;100),M49*0.5%)))))))</f>
        <v>34.390700000000002</v>
      </c>
      <c r="M67" s="292">
        <f ca="1">ROUND(L67*0.9,1)</f>
        <v>31</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248"/>
      <c r="K68" s="1350" t="s">
        <v>1835</v>
      </c>
      <c r="L68" s="1350">
        <f ca="1">IF(M49&gt;10000,M49*0.5%,IF(AND(M49&gt;5000,M49&lt;=10000),M49*1%,IF(AND(M49&gt;1000,M49&lt;=5000),M49*2%,IF(AND(M49&gt;200,M49&lt;=1000),M49*3%,M49*5%))))</f>
        <v>1357.0350000000001</v>
      </c>
      <c r="M68" s="292">
        <f ca="1">ROUND(L68,1)</f>
        <v>1357</v>
      </c>
      <c r="N68" s="2481"/>
      <c r="Z68" s="1743"/>
      <c r="AI68" s="1681"/>
    </row>
    <row r="69" spans="1:35" ht="16.5" customHeight="1">
      <c r="A69" s="1792"/>
      <c r="B69" s="1793"/>
      <c r="C69" s="1794"/>
      <c r="D69" s="1795"/>
      <c r="E69" s="1796"/>
      <c r="F69" s="1586"/>
      <c r="G69" s="1586"/>
      <c r="H69" s="1587"/>
      <c r="I69" s="643"/>
      <c r="J69" s="3248"/>
      <c r="K69" s="1350" t="s">
        <v>1836</v>
      </c>
      <c r="L69" s="1350"/>
      <c r="M69" s="292">
        <f ca="1">ROUND(SUM(M63:M68),0)</f>
        <v>4374</v>
      </c>
      <c r="N69" s="2483">
        <f ca="1">M69/M49</f>
        <v>1.6116017641402029E-2</v>
      </c>
      <c r="Z69" s="1743"/>
      <c r="AI69" s="1681"/>
    </row>
    <row r="70" spans="1:35" s="639" customFormat="1" ht="15" thickBot="1">
      <c r="A70" s="3207" t="s">
        <v>1837</v>
      </c>
      <c r="B70" s="3208"/>
      <c r="C70" s="3208"/>
      <c r="D70" s="3208"/>
      <c r="E70" s="3208"/>
      <c r="F70" s="3208"/>
      <c r="G70" s="3208"/>
      <c r="H70" s="320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6" t="s">
        <v>1818</v>
      </c>
      <c r="B71" s="3187"/>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258483</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181" t="s">
        <v>1845</v>
      </c>
      <c r="F76" s="3155"/>
      <c r="G76" s="3155"/>
      <c r="H76" s="320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1551</v>
      </c>
      <c r="D78" s="2514">
        <f>'数据-取费表'!B43</f>
        <v>6.000000000000001E-3</v>
      </c>
      <c r="E78" s="3165" t="s">
        <v>1849</v>
      </c>
      <c r="F78" s="3166"/>
      <c r="G78" s="3166"/>
      <c r="H78" s="317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7" t="s">
        <v>1853</v>
      </c>
      <c r="B83" s="3208"/>
      <c r="C83" s="3208"/>
      <c r="D83" s="3208"/>
      <c r="E83" s="3208"/>
      <c r="F83" s="3208"/>
      <c r="G83" s="3208"/>
      <c r="H83" s="320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6" t="s">
        <v>1818</v>
      </c>
      <c r="B84" s="3187"/>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258483</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1551</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0" t="s">
        <v>2625</v>
      </c>
      <c r="H90" s="3251"/>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5" t="s">
        <v>1862</v>
      </c>
      <c r="F91" s="3166"/>
      <c r="G91" s="316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5" t="s">
        <v>1865</v>
      </c>
      <c r="F92" s="3166"/>
      <c r="G92" s="3166"/>
      <c r="H92" s="3175"/>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1551</v>
      </c>
      <c r="D93" s="2514">
        <f>'数据-取费表'!B43</f>
        <v>6.000000000000001E-3</v>
      </c>
      <c r="E93" s="3165" t="s">
        <v>1849</v>
      </c>
      <c r="F93" s="3166"/>
      <c r="G93" s="3166"/>
      <c r="H93" s="317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6" t="s">
        <v>1869</v>
      </c>
      <c r="F94" s="3177"/>
      <c r="G94" s="3177"/>
      <c r="H94" s="317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256932</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165.65570599613153</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153616</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67"/>
      <c r="E100" s="3150" t="s">
        <v>1872</v>
      </c>
      <c r="F100" s="3150"/>
      <c r="G100" s="3150"/>
      <c r="H100" s="3167"/>
      <c r="I100" s="118"/>
    </row>
    <row r="101" spans="1:35" ht="18.75" customHeight="1">
      <c r="A101" s="3231" t="s">
        <v>1873</v>
      </c>
      <c r="B101" s="3232"/>
      <c r="C101" s="2522" t="str">
        <f>C4</f>
        <v>成本法</v>
      </c>
      <c r="D101" s="2523" t="str">
        <f>D4</f>
        <v>收益法（汇总）</v>
      </c>
      <c r="E101" s="3245" t="s">
        <v>1874</v>
      </c>
      <c r="F101" s="3199"/>
      <c r="G101" s="1807" t="s">
        <v>1875</v>
      </c>
      <c r="H101" s="2532">
        <f ca="1">H118</f>
        <v>271407</v>
      </c>
      <c r="I101" s="118"/>
    </row>
    <row r="102" spans="1:35" ht="18.75" customHeight="1">
      <c r="A102" s="3201" t="s">
        <v>1876</v>
      </c>
      <c r="B102" s="2521" t="s">
        <v>1875</v>
      </c>
      <c r="C102" s="2522">
        <f ca="1">C19</f>
        <v>260235</v>
      </c>
      <c r="D102" s="2523">
        <f ca="1">D19</f>
        <v>282578</v>
      </c>
      <c r="E102" s="3245"/>
      <c r="F102" s="3199"/>
      <c r="G102" s="1807" t="s">
        <v>1877</v>
      </c>
      <c r="H102" s="2492">
        <f ca="1">I118</f>
        <v>50611</v>
      </c>
      <c r="I102" s="118"/>
    </row>
    <row r="103" spans="1:35" ht="42.75" customHeight="1">
      <c r="A103" s="3201"/>
      <c r="B103" s="2521" t="s">
        <v>1877</v>
      </c>
      <c r="C103" s="2524">
        <f ca="1">C20</f>
        <v>48527</v>
      </c>
      <c r="D103" s="2525">
        <f ca="1">D20</f>
        <v>52694</v>
      </c>
      <c r="E103" s="3239" t="s">
        <v>1878</v>
      </c>
      <c r="F103" s="3240"/>
      <c r="G103" s="1808" t="s">
        <v>1879</v>
      </c>
      <c r="H103" s="2532">
        <f>IF(D36="正常操作",H104+H105+H106,H105+H106)</f>
        <v>0</v>
      </c>
      <c r="I103" s="118"/>
    </row>
    <row r="104" spans="1:35" ht="18.75" customHeight="1">
      <c r="A104" s="3201" t="s">
        <v>1880</v>
      </c>
      <c r="B104" s="2526" t="s">
        <v>1875</v>
      </c>
      <c r="C104" s="2527">
        <f ca="1">H118</f>
        <v>271407</v>
      </c>
      <c r="D104" s="2528"/>
      <c r="E104" s="1675" t="s">
        <v>1881</v>
      </c>
      <c r="F104" s="1668"/>
      <c r="G104" s="1808" t="s">
        <v>1879</v>
      </c>
      <c r="H104" s="2533">
        <f>IF(D36="同一抵押权人同一抵押物续贷",C36&amp;"（续贷，未扣减，详见特别提示）",C36)</f>
        <v>0</v>
      </c>
      <c r="I104" s="118"/>
    </row>
    <row r="105" spans="1:35" ht="18.75" customHeight="1" thickBot="1">
      <c r="A105" s="3202"/>
      <c r="B105" s="2529" t="s">
        <v>1877</v>
      </c>
      <c r="C105" s="2530">
        <f ca="1">I118</f>
        <v>50611</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8" t="str">
        <f>IF(项目基本情况!E8="已注销","——","3.房地产抵押价值")</f>
        <v>3.房地产抵押价值</v>
      </c>
      <c r="F107" s="3199"/>
      <c r="G107" s="1807" t="s">
        <v>1875</v>
      </c>
      <c r="H107" s="2532">
        <f ca="1">IF(E107="——","——",H101-H103)</f>
        <v>271407</v>
      </c>
      <c r="I107" s="118"/>
    </row>
    <row r="108" spans="1:35" ht="18.75" customHeight="1">
      <c r="A108" s="118"/>
      <c r="B108" s="118"/>
      <c r="C108" s="118"/>
      <c r="D108" s="118"/>
      <c r="E108" s="3198"/>
      <c r="F108" s="3199"/>
      <c r="G108" s="1807" t="s">
        <v>1877</v>
      </c>
      <c r="H108" s="2492">
        <f ca="1">ROUND(H107*10000/'数据-汇总表'!E3,0)</f>
        <v>50611</v>
      </c>
      <c r="I108" s="118"/>
    </row>
    <row r="109" spans="1:35" ht="18.75" customHeight="1">
      <c r="A109" s="118"/>
      <c r="B109" s="118"/>
      <c r="C109" s="118"/>
      <c r="D109" s="118"/>
      <c r="E109" s="3198" t="str">
        <f>IF(项目基本情况!E8="已注销及未注销","4.抵押担保权已注销时的房地产抵押价值",IF(项目基本情况!E8="已注销","3.抵押担保权已注销时的房地产抵押价值","——"))</f>
        <v>——</v>
      </c>
      <c r="F109" s="3199"/>
      <c r="G109" s="1807" t="s">
        <v>1875</v>
      </c>
      <c r="H109" s="2535" t="str">
        <f>IF(E109="——","——",H101-H105-H106)</f>
        <v>——</v>
      </c>
      <c r="I109" s="118"/>
    </row>
    <row r="110" spans="1:35" ht="18.75" customHeight="1">
      <c r="A110" s="118"/>
      <c r="B110" s="118"/>
      <c r="C110" s="118"/>
      <c r="D110" s="118"/>
      <c r="E110" s="3198"/>
      <c r="F110" s="3199"/>
      <c r="G110" s="1807" t="s">
        <v>1877</v>
      </c>
      <c r="H110" s="2492" t="str">
        <f>IF(H109="——","——",ROUND(H109*10000/'数据-汇总表'!E3,0))</f>
        <v>——</v>
      </c>
      <c r="I110" s="118"/>
    </row>
    <row r="111" spans="1:35" ht="18.75" customHeight="1">
      <c r="A111" s="118"/>
      <c r="B111" s="118"/>
      <c r="C111" s="118"/>
      <c r="D111" s="118"/>
      <c r="E111" s="3233" t="str">
        <f>IF(项目基本情况!E9="抵押净值",IF(OR(项目基本情况!E8="已注销",项目基本情况!E8="房地产抵押价值"),"4.抵押净值","5.抵押净值"),"——")</f>
        <v>——</v>
      </c>
      <c r="F111" s="3200"/>
      <c r="G111" s="1807" t="s">
        <v>1875</v>
      </c>
      <c r="H111" s="2532" t="str">
        <f>IF(E111="——","——",N59)</f>
        <v>——</v>
      </c>
      <c r="I111" s="118"/>
    </row>
    <row r="112" spans="1:35" ht="18.75" customHeight="1" thickBot="1">
      <c r="A112" s="118"/>
      <c r="B112" s="118"/>
      <c r="C112" s="118"/>
      <c r="D112" s="118"/>
      <c r="E112" s="3234"/>
      <c r="F112" s="3235"/>
      <c r="G112" s="1810" t="s">
        <v>1877</v>
      </c>
      <c r="H112" s="2536" t="str">
        <f>IF(E111="——","——",N61)</f>
        <v>——</v>
      </c>
      <c r="I112" s="118"/>
    </row>
    <row r="113" spans="1:27" ht="18.75" customHeight="1">
      <c r="A113" s="118"/>
      <c r="B113" s="118"/>
      <c r="C113" s="118"/>
      <c r="D113" s="118"/>
      <c r="E113" s="3203" t="s">
        <v>1883</v>
      </c>
      <c r="F113" s="3203"/>
      <c r="G113" s="3203"/>
      <c r="H113" s="3203"/>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69" t="s">
        <v>1886</v>
      </c>
      <c r="B116" s="3204" t="s">
        <v>1887</v>
      </c>
      <c r="C116" s="3204" t="s">
        <v>1888</v>
      </c>
      <c r="D116" s="3220" t="s">
        <v>1889</v>
      </c>
      <c r="E116" s="3221"/>
      <c r="F116" s="3212" t="s">
        <v>1890</v>
      </c>
      <c r="G116" s="3212"/>
      <c r="H116" s="3169" t="s">
        <v>1891</v>
      </c>
      <c r="I116" s="3169"/>
    </row>
    <row r="117" spans="1:27" ht="18.75" customHeight="1">
      <c r="A117" s="3169"/>
      <c r="B117" s="3205"/>
      <c r="C117" s="320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233681</v>
      </c>
      <c r="E118" s="2302">
        <f ca="1">ROUND(IF(C33="自定义",IF(D32="楼面单价",C34,D118*10000/B118),I118-G118),0)</f>
        <v>43576</v>
      </c>
      <c r="F118" s="2302">
        <f ca="1">ROUND(IF(D32="总价",C35,G118*B118/10000),0)</f>
        <v>37726</v>
      </c>
      <c r="G118" s="2302">
        <f ca="1">ROUND(IF(D32="楼面单价",C35,F118*10000/B118),0)</f>
        <v>7035</v>
      </c>
      <c r="H118" s="2302">
        <f ca="1">ROUND(IF(D32="总价",C32,I118*B118/10000),0)</f>
        <v>271407</v>
      </c>
      <c r="I118" s="2302">
        <f ca="1">ROUND(IF(D32="楼面单价",C32,H118*10000/B118),0)</f>
        <v>50611</v>
      </c>
    </row>
    <row r="119" spans="1:27" ht="18.75" customHeight="1">
      <c r="A119" s="3169" t="s">
        <v>1895</v>
      </c>
      <c r="B119" s="3169"/>
      <c r="C119" s="3169"/>
      <c r="D119" s="3209" t="str">
        <f ca="1">NUMBERSTRING(INT(D118*10000),2)&amp;"元整"</f>
        <v>贰拾叁亿叁仟陆佰捌拾壹万元整</v>
      </c>
      <c r="E119" s="3211"/>
      <c r="F119" s="3209" t="str">
        <f ca="1">NUMBERSTRING(INT(F118*10000),2)&amp;"元整"</f>
        <v>叁亿柒仟柒佰贰拾陆万元整</v>
      </c>
      <c r="G119" s="3211"/>
      <c r="H119" s="3209" t="str">
        <f ca="1">NUMBERSTRING(INT(H118*10000),2)&amp;"元整"</f>
        <v>贰拾柒亿壹仟肆佰零柒万元整</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209" t="str">
        <f>IF(D120=0,"零元整",NUMBERSTRING(INT(D120*10000),2)&amp;"元整")</f>
        <v>零元整</v>
      </c>
      <c r="E121" s="3210"/>
      <c r="F121" s="3210"/>
      <c r="G121" s="3210"/>
      <c r="H121" s="3210"/>
      <c r="I121" s="3211"/>
      <c r="AA121" s="681"/>
    </row>
    <row r="122" spans="1:27" ht="18.75" customHeight="1">
      <c r="A122" s="3200" t="str">
        <f>IF(项目基本情况!B9="房地产市场价值","",MID(E107,3,LEN(E107)-2))</f>
        <v>房地产抵押价值</v>
      </c>
      <c r="B122" s="3200"/>
      <c r="C122" s="3200"/>
      <c r="D122" s="3236">
        <f ca="1">H107</f>
        <v>271407</v>
      </c>
      <c r="E122" s="3237"/>
      <c r="F122" s="3237"/>
      <c r="G122" s="3237"/>
      <c r="H122" s="3237"/>
      <c r="I122" s="3238"/>
      <c r="AA122" s="681"/>
    </row>
    <row r="123" spans="1:27" ht="18.75" customHeight="1">
      <c r="A123" s="3169" t="s">
        <v>1895</v>
      </c>
      <c r="B123" s="3169"/>
      <c r="C123" s="3169"/>
      <c r="D123" s="3209" t="str">
        <f ca="1">NUMBERSTRING(INT(D122*10000),2)&amp;"元整"</f>
        <v>贰拾柒亿壹仟肆佰零柒万元整</v>
      </c>
      <c r="E123" s="3210"/>
      <c r="F123" s="3210"/>
      <c r="G123" s="3210"/>
      <c r="H123" s="3210"/>
      <c r="I123" s="3211"/>
      <c r="AA123" s="681"/>
    </row>
    <row r="124" spans="1:27" ht="18.75" customHeight="1">
      <c r="A124" s="3200" t="str">
        <f>IF(项目基本情况!B9="房地产市场价值","",MID(E109,3,LEN(E109)-2))</f>
        <v/>
      </c>
      <c r="B124" s="3200"/>
      <c r="C124" s="3200"/>
      <c r="D124" s="3236" t="str">
        <f>H109</f>
        <v>——</v>
      </c>
      <c r="E124" s="3237"/>
      <c r="F124" s="3237"/>
      <c r="G124" s="3237"/>
      <c r="H124" s="3237"/>
      <c r="I124" s="3238"/>
      <c r="AA124" s="681"/>
    </row>
    <row r="125" spans="1:27" ht="18.75" customHeight="1">
      <c r="A125" s="3169" t="s">
        <v>1895</v>
      </c>
      <c r="B125" s="3169"/>
      <c r="C125" s="3169"/>
      <c r="D125" s="3209" t="e">
        <f>NUMBERSTRING(INT(D124*10000),2)&amp;"元整"</f>
        <v>#VALUE!</v>
      </c>
      <c r="E125" s="3210"/>
      <c r="F125" s="3210"/>
      <c r="G125" s="3210"/>
      <c r="H125" s="3210"/>
      <c r="I125" s="3211"/>
      <c r="AA125" s="681"/>
    </row>
    <row r="126" spans="1:27" ht="18.75" customHeight="1">
      <c r="A126" s="3200" t="str">
        <f>IF(项目基本情况!B9="房地产市场价值","",MID(E111,3,LEN(E111)-2))</f>
        <v/>
      </c>
      <c r="B126" s="3200"/>
      <c r="C126" s="3200"/>
      <c r="D126" s="3236" t="str">
        <f>H111</f>
        <v>——</v>
      </c>
      <c r="E126" s="3237"/>
      <c r="F126" s="3237"/>
      <c r="G126" s="3237"/>
      <c r="H126" s="3237"/>
      <c r="I126" s="3238"/>
      <c r="AA126" s="681"/>
    </row>
    <row r="127" spans="1:27" ht="18.75" customHeight="1">
      <c r="A127" s="3169" t="s">
        <v>1895</v>
      </c>
      <c r="B127" s="3169"/>
      <c r="C127" s="3169"/>
      <c r="D127" s="3209" t="e">
        <f>NUMBERSTRING(INT(D126*10000),2)&amp;"元整"</f>
        <v>#VALUE!</v>
      </c>
      <c r="E127" s="3210"/>
      <c r="F127" s="3210"/>
      <c r="G127" s="3210"/>
      <c r="H127" s="3210"/>
      <c r="I127" s="3211"/>
      <c r="AA127" s="681"/>
    </row>
    <row r="128" spans="1:27" ht="21.75" customHeight="1">
      <c r="A128" s="3219" t="s">
        <v>1896</v>
      </c>
      <c r="B128" s="3219"/>
      <c r="C128" s="3219"/>
      <c r="D128" s="3219"/>
      <c r="E128" s="3219"/>
      <c r="F128" s="3219"/>
      <c r="G128" s="3219"/>
      <c r="H128" s="3219"/>
      <c r="I128" s="321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Normal="60" zoomScaleSheetLayoutView="100" workbookViewId="0">
      <selection activeCell="F56" sqref="F56"/>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151876</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28321</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47.25" customHeight="1">
      <c r="A5" s="346"/>
      <c r="B5" s="347"/>
      <c r="C5" s="3285" t="s">
        <v>2120</v>
      </c>
      <c r="D5" s="3286"/>
      <c r="E5" s="3292" t="str">
        <f>土地案例!A3</f>
        <v>杭州市劝业里10-2地块危旧房改善项目(湖滨单元B1/R21-02地块)</v>
      </c>
      <c r="F5" s="3293"/>
      <c r="G5" s="3285" t="str">
        <f>土地案例!A4</f>
        <v>景芳三堡单元JG1203-11地块</v>
      </c>
      <c r="H5" s="3286"/>
      <c r="I5" s="3285" t="str">
        <f>土地案例!A6</f>
        <v>东新单元XC0604-B1/B2-11地块</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97</v>
      </c>
      <c r="I7" s="1942">
        <f>土地案例!AB6</f>
        <v>44344.000497685185</v>
      </c>
      <c r="J7" s="353">
        <f>SUMIF(69:69,YEAR(I7)&amp;"-"&amp;INT((MONTH(I7)+2)/3),70:70)</f>
        <v>97.5</v>
      </c>
      <c r="K7" s="40"/>
      <c r="L7" s="2642"/>
      <c r="M7" s="2592"/>
      <c r="N7" s="2592"/>
      <c r="O7" s="2592"/>
      <c r="P7" s="3287" t="s">
        <v>2127</v>
      </c>
      <c r="Q7" s="3289"/>
      <c r="R7" s="661" t="s">
        <v>17</v>
      </c>
      <c r="S7" s="662">
        <f t="shared" ref="S7:S15" si="0">F7</f>
        <v>100</v>
      </c>
      <c r="T7" s="661" t="s">
        <v>17</v>
      </c>
      <c r="U7" s="662">
        <f t="shared" ref="U7:U15" si="1">H7</f>
        <v>97</v>
      </c>
      <c r="V7" s="661" t="s">
        <v>17</v>
      </c>
      <c r="W7" s="662">
        <f t="shared" ref="W7:W15" si="2">J7</f>
        <v>97.5</v>
      </c>
      <c r="X7" s="663"/>
      <c r="Y7" s="3287" t="s">
        <v>2127</v>
      </c>
      <c r="Z7" s="3288"/>
      <c r="AA7" s="52">
        <f>D7/F7</f>
        <v>1</v>
      </c>
      <c r="AB7" s="52">
        <f>D7/H7</f>
        <v>1.0309278350515463</v>
      </c>
      <c r="AC7" s="52">
        <f>D7/J7</f>
        <v>1.0256410256410255</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87" t="s">
        <v>2130</v>
      </c>
      <c r="Q8" s="3288"/>
      <c r="R8" s="661" t="s">
        <v>17</v>
      </c>
      <c r="S8" s="662">
        <f t="shared" si="0"/>
        <v>100</v>
      </c>
      <c r="T8" s="661" t="s">
        <v>17</v>
      </c>
      <c r="U8" s="662">
        <f t="shared" si="1"/>
        <v>100</v>
      </c>
      <c r="V8" s="661" t="s">
        <v>17</v>
      </c>
      <c r="W8" s="662">
        <f t="shared" si="2"/>
        <v>100</v>
      </c>
      <c r="X8" s="663"/>
      <c r="Y8" s="3287" t="s">
        <v>2130</v>
      </c>
      <c r="Z8" s="3288"/>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59"/>
      <c r="Q10" s="530" t="str">
        <f t="shared" si="6"/>
        <v>土地使用年限（年）</v>
      </c>
      <c r="R10" s="661" t="s">
        <v>17</v>
      </c>
      <c r="S10" s="662">
        <f t="shared" si="0"/>
        <v>116</v>
      </c>
      <c r="T10" s="661" t="s">
        <v>17</v>
      </c>
      <c r="U10" s="662">
        <f t="shared" si="1"/>
        <v>116</v>
      </c>
      <c r="V10" s="661" t="s">
        <v>17</v>
      </c>
      <c r="W10" s="662">
        <f t="shared" si="2"/>
        <v>116</v>
      </c>
      <c r="X10" s="663"/>
      <c r="Y10" s="3156"/>
      <c r="Z10" s="52" t="str">
        <f t="shared" si="7"/>
        <v>土地使用年限（年）</v>
      </c>
      <c r="AA10" s="52">
        <f t="shared" si="3"/>
        <v>0.86206896551724133</v>
      </c>
      <c r="AB10" s="52">
        <f t="shared" si="4"/>
        <v>0.86206896551724133</v>
      </c>
      <c r="AC10" s="52">
        <f t="shared" si="5"/>
        <v>0.86206896551724133</v>
      </c>
    </row>
    <row r="11" spans="1:29" ht="15">
      <c r="A11" s="367"/>
      <c r="B11" s="362" t="s">
        <v>2136</v>
      </c>
      <c r="C11" s="368">
        <f>'数据-汇总表'!I6</f>
        <v>7.76</v>
      </c>
      <c r="D11" s="116">
        <v>100</v>
      </c>
      <c r="E11" s="368">
        <f>C11</f>
        <v>7.76</v>
      </c>
      <c r="F11" s="116">
        <f>LOOKUP(E11,79:79,80:80)-LOOKUP(C11,79:79,80:80)+100</f>
        <v>100</v>
      </c>
      <c r="G11" s="369">
        <f>E11</f>
        <v>7.76</v>
      </c>
      <c r="H11" s="116">
        <f>LOOKUP(G11,79:79,80:80)-LOOKUP(C11,79:79,80:80)+100</f>
        <v>100</v>
      </c>
      <c r="I11" s="368">
        <f>G11</f>
        <v>7.76</v>
      </c>
      <c r="J11" s="116">
        <f>LOOKUP(I11,79:79,80:80)-LOOKUP(C11,79:79,80:80)+100</f>
        <v>100</v>
      </c>
      <c r="K11" s="593"/>
      <c r="L11" s="2645"/>
      <c r="M11" s="2641"/>
      <c r="N11" s="2641"/>
      <c r="O11" s="2696"/>
      <c r="P11" s="3259"/>
      <c r="Q11" s="530" t="str">
        <f t="shared" si="6"/>
        <v>容积率</v>
      </c>
      <c r="R11" s="661" t="s">
        <v>17</v>
      </c>
      <c r="S11" s="662">
        <f t="shared" si="0"/>
        <v>100</v>
      </c>
      <c r="T11" s="661" t="s">
        <v>17</v>
      </c>
      <c r="U11" s="662">
        <f t="shared" si="1"/>
        <v>100</v>
      </c>
      <c r="V11" s="661" t="s">
        <v>17</v>
      </c>
      <c r="W11" s="662">
        <f t="shared" si="2"/>
        <v>100</v>
      </c>
      <c r="X11" s="663"/>
      <c r="Y11" s="3156"/>
      <c r="Z11" s="52" t="str">
        <f t="shared" si="7"/>
        <v>容积率</v>
      </c>
      <c r="AA11" s="52">
        <f t="shared" si="3"/>
        <v>1</v>
      </c>
      <c r="AB11" s="52">
        <f t="shared" si="4"/>
        <v>1</v>
      </c>
      <c r="AC11" s="52">
        <f t="shared" si="5"/>
        <v>1</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59"/>
      <c r="Q12" s="530" t="str">
        <f t="shared" si="6"/>
        <v>配建</v>
      </c>
      <c r="R12" s="661" t="s">
        <v>17</v>
      </c>
      <c r="S12" s="662">
        <f t="shared" si="0"/>
        <v>100</v>
      </c>
      <c r="T12" s="661" t="s">
        <v>17</v>
      </c>
      <c r="U12" s="662">
        <f t="shared" si="1"/>
        <v>100</v>
      </c>
      <c r="V12" s="661" t="s">
        <v>17</v>
      </c>
      <c r="W12" s="662">
        <f t="shared" si="2"/>
        <v>100</v>
      </c>
      <c r="X12" s="663"/>
      <c r="Y12" s="3156"/>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60" t="s">
        <v>2138</v>
      </c>
      <c r="Q15" s="1382" t="str">
        <f t="shared" si="6"/>
        <v>居住社区成熟度</v>
      </c>
      <c r="R15" s="664" t="s">
        <v>17</v>
      </c>
      <c r="S15" s="665">
        <f t="shared" si="0"/>
        <v>100</v>
      </c>
      <c r="T15" s="664" t="s">
        <v>17</v>
      </c>
      <c r="U15" s="665">
        <f t="shared" si="1"/>
        <v>100</v>
      </c>
      <c r="V15" s="664" t="s">
        <v>17</v>
      </c>
      <c r="W15" s="665">
        <f t="shared" si="2"/>
        <v>100</v>
      </c>
      <c r="X15" s="1384"/>
      <c r="Y15" s="3260"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61"/>
      <c r="Q16" s="1382"/>
      <c r="R16" s="664"/>
      <c r="S16" s="665"/>
      <c r="T16" s="664"/>
      <c r="U16" s="665"/>
      <c r="V16" s="664"/>
      <c r="W16" s="665"/>
      <c r="X16" s="1384"/>
      <c r="Y16" s="3261"/>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90</v>
      </c>
      <c r="G17" s="391"/>
      <c r="H17" s="394">
        <f>SUMIF(89:89,G18,90:90)-SUMIF(89:89,C18,90:90)+100</f>
        <v>80</v>
      </c>
      <c r="I17" s="393"/>
      <c r="J17" s="394">
        <f>SUMIF(89:89,I18,90:90)-SUMIF(89:89,C18,90:90)+100</f>
        <v>80</v>
      </c>
      <c r="K17" s="593">
        <v>10</v>
      </c>
      <c r="L17" s="2646"/>
      <c r="M17" s="2641"/>
      <c r="N17" s="2641"/>
      <c r="O17" s="2696"/>
      <c r="P17" s="3261"/>
      <c r="Q17" s="1382" t="str">
        <f>B17</f>
        <v>商业繁华度</v>
      </c>
      <c r="R17" s="664" t="s">
        <v>17</v>
      </c>
      <c r="S17" s="665">
        <f>F17</f>
        <v>90</v>
      </c>
      <c r="T17" s="664" t="s">
        <v>17</v>
      </c>
      <c r="U17" s="665">
        <f>H17</f>
        <v>80</v>
      </c>
      <c r="V17" s="664" t="s">
        <v>17</v>
      </c>
      <c r="W17" s="665">
        <f>J17</f>
        <v>80</v>
      </c>
      <c r="X17" s="1384"/>
      <c r="Y17" s="3261"/>
      <c r="Z17" s="1383" t="str">
        <f>Q17</f>
        <v>商业繁华度</v>
      </c>
      <c r="AA17" s="1383">
        <f t="shared" si="3"/>
        <v>1.1111111111111112</v>
      </c>
      <c r="AB17" s="1383">
        <f t="shared" si="4"/>
        <v>1.25</v>
      </c>
      <c r="AC17" s="1383">
        <f t="shared" si="5"/>
        <v>1.25</v>
      </c>
    </row>
    <row r="18" spans="1:29" ht="15">
      <c r="A18" s="367"/>
      <c r="B18" s="395"/>
      <c r="C18" s="1875" t="s">
        <v>4112</v>
      </c>
      <c r="D18" s="389"/>
      <c r="E18" s="1877" t="s">
        <v>3522</v>
      </c>
      <c r="F18" s="389"/>
      <c r="G18" s="1877" t="s">
        <v>3564</v>
      </c>
      <c r="H18" s="387"/>
      <c r="I18" s="1876" t="s">
        <v>3564</v>
      </c>
      <c r="J18" s="387"/>
      <c r="K18" s="592"/>
      <c r="L18" s="2646"/>
      <c r="M18" s="2641"/>
      <c r="N18" s="2641"/>
      <c r="O18" s="2696"/>
      <c r="P18" s="3261"/>
      <c r="Q18" s="1382"/>
      <c r="R18" s="664"/>
      <c r="S18" s="665"/>
      <c r="T18" s="664"/>
      <c r="U18" s="665"/>
      <c r="V18" s="664"/>
      <c r="W18" s="665"/>
      <c r="X18" s="1384"/>
      <c r="Y18" s="3261"/>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61"/>
      <c r="Q19" s="1382" t="str">
        <f>B19</f>
        <v>办公集聚程度</v>
      </c>
      <c r="R19" s="664" t="s">
        <v>17</v>
      </c>
      <c r="S19" s="665">
        <f>F19</f>
        <v>100</v>
      </c>
      <c r="T19" s="664" t="s">
        <v>17</v>
      </c>
      <c r="U19" s="665">
        <f>H19</f>
        <v>100</v>
      </c>
      <c r="V19" s="664" t="s">
        <v>17</v>
      </c>
      <c r="W19" s="665">
        <f>J19</f>
        <v>100</v>
      </c>
      <c r="X19" s="1384"/>
      <c r="Y19" s="3261"/>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61"/>
      <c r="Q20" s="1382"/>
      <c r="R20" s="664"/>
      <c r="S20" s="665"/>
      <c r="T20" s="664"/>
      <c r="U20" s="665"/>
      <c r="V20" s="664"/>
      <c r="W20" s="665"/>
      <c r="X20" s="1384"/>
      <c r="Y20" s="3261"/>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95</v>
      </c>
      <c r="I21" s="393"/>
      <c r="J21" s="389">
        <f>SUMIF(93:93,I22,94:94)-SUMIF(93:93,C22,94:94)+100</f>
        <v>90</v>
      </c>
      <c r="K21" s="593">
        <v>5</v>
      </c>
      <c r="L21" s="2646"/>
      <c r="M21" s="2641"/>
      <c r="N21" s="2641"/>
      <c r="O21" s="2696"/>
      <c r="P21" s="3261"/>
      <c r="Q21" s="1382" t="str">
        <f>B21</f>
        <v>交通便捷度</v>
      </c>
      <c r="R21" s="664" t="s">
        <v>17</v>
      </c>
      <c r="S21" s="665">
        <f>F21</f>
        <v>100</v>
      </c>
      <c r="T21" s="664" t="s">
        <v>17</v>
      </c>
      <c r="U21" s="665">
        <f>H21</f>
        <v>95</v>
      </c>
      <c r="V21" s="664" t="s">
        <v>17</v>
      </c>
      <c r="W21" s="665">
        <f>J21</f>
        <v>90</v>
      </c>
      <c r="X21" s="1384"/>
      <c r="Y21" s="3261"/>
      <c r="Z21" s="1383" t="str">
        <f>Q21</f>
        <v>交通便捷度</v>
      </c>
      <c r="AA21" s="1383">
        <f t="shared" si="3"/>
        <v>1</v>
      </c>
      <c r="AB21" s="1383">
        <f t="shared" si="4"/>
        <v>1.0526315789473684</v>
      </c>
      <c r="AC21" s="1383">
        <f t="shared" si="5"/>
        <v>1.1111111111111112</v>
      </c>
    </row>
    <row r="22" spans="1:29" ht="15">
      <c r="A22" s="367"/>
      <c r="B22" s="586"/>
      <c r="C22" s="386" t="s">
        <v>4112</v>
      </c>
      <c r="D22" s="389"/>
      <c r="E22" s="1872" t="s">
        <v>4112</v>
      </c>
      <c r="F22" s="387"/>
      <c r="G22" s="1872" t="s">
        <v>3522</v>
      </c>
      <c r="H22" s="387"/>
      <c r="I22" s="1871" t="s">
        <v>3564</v>
      </c>
      <c r="J22" s="387"/>
      <c r="K22" s="592"/>
      <c r="L22" s="2646"/>
      <c r="M22" s="2641"/>
      <c r="N22" s="2641"/>
      <c r="O22" s="2696"/>
      <c r="P22" s="3261"/>
      <c r="Q22" s="1382"/>
      <c r="R22" s="664"/>
      <c r="S22" s="665"/>
      <c r="T22" s="664"/>
      <c r="U22" s="665"/>
      <c r="V22" s="664"/>
      <c r="W22" s="665"/>
      <c r="X22" s="1384"/>
      <c r="Y22" s="3261"/>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61"/>
      <c r="Q23" s="1382" t="str">
        <f t="shared" ref="Q23:Q37" si="8">B23</f>
        <v>区域土地利用方向</v>
      </c>
      <c r="R23" s="664" t="s">
        <v>17</v>
      </c>
      <c r="S23" s="665">
        <f>F23</f>
        <v>100</v>
      </c>
      <c r="T23" s="664" t="s">
        <v>17</v>
      </c>
      <c r="U23" s="665">
        <f>H23</f>
        <v>100</v>
      </c>
      <c r="V23" s="664" t="s">
        <v>17</v>
      </c>
      <c r="W23" s="665">
        <f>J23</f>
        <v>100</v>
      </c>
      <c r="X23" s="1384"/>
      <c r="Y23" s="3261"/>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61"/>
      <c r="Q24" s="1382"/>
      <c r="R24" s="664"/>
      <c r="S24" s="665"/>
      <c r="T24" s="664"/>
      <c r="U24" s="665"/>
      <c r="V24" s="664"/>
      <c r="W24" s="665"/>
      <c r="X24" s="1384"/>
      <c r="Y24" s="3261"/>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90</v>
      </c>
      <c r="I25" s="393"/>
      <c r="J25" s="389">
        <f>SUMIF(97:97,I26,98:98)-SUMIF(97:97,C26,98:98)+100</f>
        <v>90</v>
      </c>
      <c r="K25" s="593">
        <v>5</v>
      </c>
      <c r="L25" s="2646"/>
      <c r="M25" s="2641"/>
      <c r="N25" s="2641"/>
      <c r="O25" s="2696"/>
      <c r="P25" s="3261"/>
      <c r="Q25" s="1382" t="str">
        <f t="shared" si="8"/>
        <v>自然及人文环境状况</v>
      </c>
      <c r="R25" s="664" t="s">
        <v>17</v>
      </c>
      <c r="S25" s="665">
        <f>F25</f>
        <v>100</v>
      </c>
      <c r="T25" s="664" t="s">
        <v>17</v>
      </c>
      <c r="U25" s="665">
        <f>H25</f>
        <v>90</v>
      </c>
      <c r="V25" s="664" t="s">
        <v>17</v>
      </c>
      <c r="W25" s="665">
        <f>J25</f>
        <v>90</v>
      </c>
      <c r="X25" s="1384"/>
      <c r="Y25" s="3261"/>
      <c r="Z25" s="1383" t="str">
        <f>Q25</f>
        <v>自然及人文环境状况</v>
      </c>
      <c r="AA25" s="1383">
        <f t="shared" si="3"/>
        <v>1</v>
      </c>
      <c r="AB25" s="1383">
        <f t="shared" si="4"/>
        <v>1.1111111111111112</v>
      </c>
      <c r="AC25" s="1383">
        <f t="shared" si="5"/>
        <v>1.1111111111111112</v>
      </c>
    </row>
    <row r="26" spans="1:29" ht="15">
      <c r="A26" s="346"/>
      <c r="B26" s="395"/>
      <c r="C26" s="386" t="s">
        <v>4112</v>
      </c>
      <c r="D26" s="387"/>
      <c r="E26" s="386" t="s">
        <v>4112</v>
      </c>
      <c r="F26" s="387"/>
      <c r="G26" s="1878" t="s">
        <v>3564</v>
      </c>
      <c r="H26" s="387"/>
      <c r="I26" s="386" t="s">
        <v>3564</v>
      </c>
      <c r="J26" s="387"/>
      <c r="K26" s="592"/>
      <c r="L26" s="2646"/>
      <c r="M26" s="2641"/>
      <c r="N26" s="2641"/>
      <c r="O26" s="2696"/>
      <c r="P26" s="3261"/>
      <c r="Q26" s="1382"/>
      <c r="R26" s="664"/>
      <c r="S26" s="665"/>
      <c r="T26" s="664"/>
      <c r="U26" s="665"/>
      <c r="V26" s="664"/>
      <c r="W26" s="665"/>
      <c r="X26" s="1384"/>
      <c r="Y26" s="3261"/>
      <c r="Z26" s="1383"/>
      <c r="AA26" s="1383">
        <v>1</v>
      </c>
      <c r="AB26" s="1383">
        <v>1</v>
      </c>
      <c r="AC26" s="1383">
        <v>1</v>
      </c>
    </row>
    <row r="27" spans="1:29" s="104" customFormat="1" ht="42.75">
      <c r="A27" s="443"/>
      <c r="B27" s="586" t="s">
        <v>2232</v>
      </c>
      <c r="C27" s="1874" t="str">
        <f>估价对象房地状况!C21</f>
        <v>估价对象所在区域公共配套设施齐备好</v>
      </c>
      <c r="D27" s="389">
        <v>100</v>
      </c>
      <c r="E27" s="391"/>
      <c r="F27" s="389">
        <f>SUMIF(99:99,E28,100:100)-SUMIF(99:99,C28,100:100)+100</f>
        <v>100</v>
      </c>
      <c r="G27" s="391"/>
      <c r="H27" s="389">
        <f>SUMIF(99:99,G28,100:100)-SUMIF(99:99,C28,100:100)+100</f>
        <v>97</v>
      </c>
      <c r="I27" s="393"/>
      <c r="J27" s="389">
        <f>SUMIF(99:99,I28,100:100)-SUMIF(99:99,C28,100:100)+100</f>
        <v>94</v>
      </c>
      <c r="K27" s="593">
        <v>3</v>
      </c>
      <c r="L27" s="2642"/>
      <c r="M27" s="2592"/>
      <c r="N27" s="2592"/>
      <c r="O27" s="2694"/>
      <c r="P27" s="3261"/>
      <c r="Q27" s="530" t="str">
        <f t="shared" si="8"/>
        <v>公共配套设施</v>
      </c>
      <c r="R27" s="661" t="s">
        <v>17</v>
      </c>
      <c r="S27" s="662">
        <f>F27</f>
        <v>100</v>
      </c>
      <c r="T27" s="661" t="s">
        <v>17</v>
      </c>
      <c r="U27" s="662">
        <f>H27</f>
        <v>97</v>
      </c>
      <c r="V27" s="661" t="s">
        <v>17</v>
      </c>
      <c r="W27" s="662">
        <f>J27</f>
        <v>94</v>
      </c>
      <c r="X27" s="663"/>
      <c r="Y27" s="3261"/>
      <c r="Z27" s="52" t="str">
        <f>Q27</f>
        <v>公共配套设施</v>
      </c>
      <c r="AA27" s="1383">
        <f>D27/F27</f>
        <v>1</v>
      </c>
      <c r="AB27" s="1383">
        <f>D27/H27</f>
        <v>1.0309278350515463</v>
      </c>
      <c r="AC27" s="1383">
        <f>D27/J27</f>
        <v>1.0638297872340425</v>
      </c>
    </row>
    <row r="28" spans="1:29" s="104" customFormat="1" ht="15">
      <c r="A28" s="443"/>
      <c r="B28" s="395"/>
      <c r="C28" s="1946" t="s">
        <v>4112</v>
      </c>
      <c r="D28" s="387"/>
      <c r="E28" s="386" t="s">
        <v>4112</v>
      </c>
      <c r="F28" s="387"/>
      <c r="G28" s="1878" t="s">
        <v>3522</v>
      </c>
      <c r="H28" s="387"/>
      <c r="I28" s="386" t="s">
        <v>3564</v>
      </c>
      <c r="J28" s="387"/>
      <c r="K28" s="592"/>
      <c r="L28" s="2642"/>
      <c r="M28" s="2592"/>
      <c r="N28" s="2592"/>
      <c r="O28" s="2694"/>
      <c r="P28" s="3261"/>
      <c r="Q28" s="530"/>
      <c r="R28" s="661"/>
      <c r="S28" s="662"/>
      <c r="T28" s="661"/>
      <c r="U28" s="662"/>
      <c r="V28" s="661"/>
      <c r="W28" s="662"/>
      <c r="X28" s="663"/>
      <c r="Y28" s="3261"/>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61"/>
      <c r="Q29" s="530" t="str">
        <f t="shared" ref="Q29" si="9">B29</f>
        <v>基础设施水平</v>
      </c>
      <c r="R29" s="661" t="s">
        <v>17</v>
      </c>
      <c r="S29" s="662">
        <f>F29</f>
        <v>100</v>
      </c>
      <c r="T29" s="661" t="s">
        <v>17</v>
      </c>
      <c r="U29" s="662">
        <f>H29</f>
        <v>100</v>
      </c>
      <c r="V29" s="661" t="s">
        <v>17</v>
      </c>
      <c r="W29" s="662">
        <f>J29</f>
        <v>100</v>
      </c>
      <c r="X29" s="663"/>
      <c r="Y29" s="3261"/>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61"/>
      <c r="Q30" s="530"/>
      <c r="R30" s="661"/>
      <c r="S30" s="662"/>
      <c r="T30" s="661"/>
      <c r="U30" s="662"/>
      <c r="V30" s="661"/>
      <c r="W30" s="662"/>
      <c r="X30" s="663"/>
      <c r="Y30" s="3261"/>
      <c r="Z30" s="52"/>
      <c r="AA30" s="1383">
        <v>1</v>
      </c>
      <c r="AB30" s="1383">
        <v>1</v>
      </c>
      <c r="AC30" s="1383">
        <v>1</v>
      </c>
    </row>
    <row r="31" spans="1:29" ht="15">
      <c r="A31" s="367"/>
      <c r="B31" s="395" t="s">
        <v>2234</v>
      </c>
      <c r="C31" s="542" t="s">
        <v>4117</v>
      </c>
      <c r="D31" s="374">
        <v>100</v>
      </c>
      <c r="E31" s="542" t="s">
        <v>4117</v>
      </c>
      <c r="F31" s="374">
        <f>SUMIF(103:103,E31,104:104)-SUMIF(103:103,C31,104:104)+100</f>
        <v>100</v>
      </c>
      <c r="G31" s="558" t="s">
        <v>4122</v>
      </c>
      <c r="H31" s="374">
        <f>SUMIF(103:103,G31,104:104)-SUMIF(103:103,C31,104:104)+100</f>
        <v>97</v>
      </c>
      <c r="I31" s="558" t="s">
        <v>4122</v>
      </c>
      <c r="J31" s="374">
        <f>SUMIF(103:103,I31,104:104)-SUMIF(103:103,C31,104:104)+100</f>
        <v>97</v>
      </c>
      <c r="K31" s="593">
        <v>3</v>
      </c>
      <c r="L31" s="2646"/>
      <c r="M31" s="2641"/>
      <c r="N31" s="2641"/>
      <c r="O31" s="2696"/>
      <c r="P31" s="3261"/>
      <c r="Q31" s="1382" t="str">
        <f t="shared" si="8"/>
        <v>临街状况</v>
      </c>
      <c r="R31" s="664" t="s">
        <v>17</v>
      </c>
      <c r="S31" s="665">
        <f t="shared" ref="S31:S45" si="10">F31</f>
        <v>100</v>
      </c>
      <c r="T31" s="664" t="s">
        <v>17</v>
      </c>
      <c r="U31" s="665">
        <f t="shared" ref="U31:U45" si="11">H31</f>
        <v>97</v>
      </c>
      <c r="V31" s="664" t="s">
        <v>17</v>
      </c>
      <c r="W31" s="665">
        <f t="shared" ref="W31:W45" si="12">J31</f>
        <v>97</v>
      </c>
      <c r="X31" s="1384"/>
      <c r="Y31" s="3261"/>
      <c r="Z31" s="1383" t="str">
        <f t="shared" ref="Z31:Z45" si="13">Q31</f>
        <v>临街状况</v>
      </c>
      <c r="AA31" s="1383">
        <f t="shared" si="3"/>
        <v>1</v>
      </c>
      <c r="AB31" s="1383">
        <f t="shared" si="4"/>
        <v>1.0309278350515463</v>
      </c>
      <c r="AC31" s="1383">
        <f t="shared" si="5"/>
        <v>1.0309278350515463</v>
      </c>
    </row>
    <row r="32" spans="1:29" ht="27">
      <c r="A32" s="367"/>
      <c r="B32" s="586" t="s">
        <v>2269</v>
      </c>
      <c r="C32" s="393"/>
      <c r="D32" s="389">
        <v>100</v>
      </c>
      <c r="E32" s="391"/>
      <c r="F32" s="389">
        <f>SUMIF(105:105,E33,106:106)-SUMIF(105:105,C33,106:106)+100</f>
        <v>98</v>
      </c>
      <c r="G32" s="391"/>
      <c r="H32" s="389">
        <f>SUMIF(105:105,G33,106:106)-SUMIF(105:105,C33,106:106)+100</f>
        <v>98</v>
      </c>
      <c r="I32" s="393"/>
      <c r="J32" s="389">
        <f>SUMIF(105:105,I33,106:106)-SUMIF(105:105,C33,106:106)+100</f>
        <v>98</v>
      </c>
      <c r="K32" s="593">
        <v>2</v>
      </c>
      <c r="L32" s="2646"/>
      <c r="M32" s="2641"/>
      <c r="N32" s="2641"/>
      <c r="O32" s="2696"/>
      <c r="P32" s="3261"/>
      <c r="Q32" s="1382" t="str">
        <f t="shared" si="8"/>
        <v>毗邻道路的类型与等级</v>
      </c>
      <c r="R32" s="664" t="s">
        <v>17</v>
      </c>
      <c r="S32" s="665">
        <f t="shared" si="10"/>
        <v>98</v>
      </c>
      <c r="T32" s="664" t="s">
        <v>17</v>
      </c>
      <c r="U32" s="665">
        <f t="shared" si="11"/>
        <v>98</v>
      </c>
      <c r="V32" s="664" t="s">
        <v>17</v>
      </c>
      <c r="W32" s="665">
        <f t="shared" si="12"/>
        <v>98</v>
      </c>
      <c r="X32" s="1384"/>
      <c r="Y32" s="3261"/>
      <c r="Z32" s="1383" t="str">
        <f t="shared" si="13"/>
        <v>毗邻道路的类型与等级</v>
      </c>
      <c r="AA32" s="1383">
        <f t="shared" si="3"/>
        <v>1.0204081632653061</v>
      </c>
      <c r="AB32" s="1383">
        <f t="shared" si="4"/>
        <v>1.0204081632653061</v>
      </c>
      <c r="AC32" s="1383">
        <f t="shared" si="5"/>
        <v>1.0204081632653061</v>
      </c>
    </row>
    <row r="33" spans="1:29" ht="15">
      <c r="A33" s="367"/>
      <c r="B33" s="395"/>
      <c r="C33" s="386" t="s">
        <v>4118</v>
      </c>
      <c r="D33" s="387"/>
      <c r="E33" s="1878" t="s">
        <v>4121</v>
      </c>
      <c r="F33" s="387"/>
      <c r="G33" s="1878" t="s">
        <v>4121</v>
      </c>
      <c r="H33" s="387"/>
      <c r="I33" s="1878" t="s">
        <v>4121</v>
      </c>
      <c r="J33" s="387"/>
      <c r="K33" s="539"/>
      <c r="L33" s="2646"/>
      <c r="M33" s="2641"/>
      <c r="N33" s="2641"/>
      <c r="O33" s="2696"/>
      <c r="P33" s="3261"/>
      <c r="Q33" s="1382"/>
      <c r="R33" s="664"/>
      <c r="S33" s="665"/>
      <c r="T33" s="664"/>
      <c r="U33" s="665"/>
      <c r="V33" s="664"/>
      <c r="W33" s="665"/>
      <c r="X33" s="1384"/>
      <c r="Y33" s="3261"/>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61"/>
      <c r="Q34" s="1382" t="str">
        <f t="shared" si="8"/>
        <v>土地级别</v>
      </c>
      <c r="R34" s="664" t="s">
        <v>17</v>
      </c>
      <c r="S34" s="665">
        <f t="shared" si="10"/>
        <v>100</v>
      </c>
      <c r="T34" s="664" t="s">
        <v>17</v>
      </c>
      <c r="U34" s="665">
        <f t="shared" si="11"/>
        <v>100</v>
      </c>
      <c r="V34" s="664" t="s">
        <v>17</v>
      </c>
      <c r="W34" s="665">
        <f t="shared" si="12"/>
        <v>100</v>
      </c>
      <c r="X34" s="1384"/>
      <c r="Y34" s="3261"/>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61"/>
      <c r="Q35" s="1382">
        <f t="shared" si="8"/>
        <v>111</v>
      </c>
      <c r="R35" s="664" t="s">
        <v>17</v>
      </c>
      <c r="S35" s="665">
        <f t="shared" si="10"/>
        <v>100</v>
      </c>
      <c r="T35" s="664" t="s">
        <v>17</v>
      </c>
      <c r="U35" s="665">
        <f t="shared" si="11"/>
        <v>100</v>
      </c>
      <c r="V35" s="664" t="s">
        <v>17</v>
      </c>
      <c r="W35" s="665">
        <f t="shared" si="12"/>
        <v>100</v>
      </c>
      <c r="X35" s="1384"/>
      <c r="Y35" s="3261"/>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62" t="s">
        <v>2143</v>
      </c>
      <c r="Q36" s="1382">
        <f t="shared" si="8"/>
        <v>111</v>
      </c>
      <c r="R36" s="664" t="s">
        <v>17</v>
      </c>
      <c r="S36" s="665">
        <f t="shared" si="10"/>
        <v>100</v>
      </c>
      <c r="T36" s="664" t="s">
        <v>17</v>
      </c>
      <c r="U36" s="665">
        <f t="shared" si="11"/>
        <v>100</v>
      </c>
      <c r="V36" s="664" t="s">
        <v>17</v>
      </c>
      <c r="W36" s="665">
        <f t="shared" si="12"/>
        <v>100</v>
      </c>
      <c r="X36" s="1384"/>
      <c r="Y36" s="3263"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63"/>
      <c r="Q37" s="1382">
        <f t="shared" si="8"/>
        <v>111</v>
      </c>
      <c r="R37" s="666" t="s">
        <v>17</v>
      </c>
      <c r="S37" s="667">
        <f t="shared" si="10"/>
        <v>100</v>
      </c>
      <c r="T37" s="666" t="s">
        <v>17</v>
      </c>
      <c r="U37" s="667">
        <f t="shared" si="11"/>
        <v>100</v>
      </c>
      <c r="V37" s="666" t="s">
        <v>17</v>
      </c>
      <c r="W37" s="667">
        <f t="shared" si="12"/>
        <v>100</v>
      </c>
      <c r="X37" s="668"/>
      <c r="Y37" s="3263"/>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100</v>
      </c>
      <c r="I38" s="462">
        <f>土地案例!I6</f>
        <v>14580</v>
      </c>
      <c r="J38" s="405">
        <f>LOOKUP(I38,116:116,117:117)-LOOKUP(C38,116:116,117:117)+100</f>
        <v>100</v>
      </c>
      <c r="K38" s="539"/>
      <c r="L38" s="2646"/>
      <c r="M38" s="2641"/>
      <c r="N38" s="2641"/>
      <c r="O38" s="2696"/>
      <c r="P38" s="3263"/>
      <c r="Q38" s="1382" t="str">
        <f>B38</f>
        <v>宗地面积</v>
      </c>
      <c r="R38" s="664" t="s">
        <v>17</v>
      </c>
      <c r="S38" s="665">
        <f t="shared" si="10"/>
        <v>100</v>
      </c>
      <c r="T38" s="664" t="s">
        <v>17</v>
      </c>
      <c r="U38" s="665">
        <f t="shared" si="11"/>
        <v>100</v>
      </c>
      <c r="V38" s="664" t="s">
        <v>17</v>
      </c>
      <c r="W38" s="665">
        <f t="shared" si="12"/>
        <v>100</v>
      </c>
      <c r="X38" s="1384"/>
      <c r="Y38" s="3263"/>
      <c r="Z38" s="1383" t="str">
        <f t="shared" si="13"/>
        <v>宗地面积</v>
      </c>
      <c r="AA38" s="1383">
        <f t="shared" si="3"/>
        <v>1</v>
      </c>
      <c r="AB38" s="1383">
        <f t="shared" si="4"/>
        <v>1</v>
      </c>
      <c r="AC38" s="1383">
        <f t="shared" si="5"/>
        <v>1</v>
      </c>
    </row>
    <row r="39" spans="1:29" ht="15">
      <c r="A39" s="409"/>
      <c r="B39" s="362" t="s">
        <v>2329</v>
      </c>
      <c r="C39" s="1880" t="s">
        <v>4119</v>
      </c>
      <c r="D39" s="374">
        <v>100</v>
      </c>
      <c r="E39" s="1880" t="s">
        <v>4119</v>
      </c>
      <c r="F39" s="374">
        <f>SUMIF(118:118,E39,119:119)-SUMIF(118:118,C39,119:119)+100</f>
        <v>100</v>
      </c>
      <c r="G39" s="1880" t="s">
        <v>4119</v>
      </c>
      <c r="H39" s="374">
        <f>SUMIF(118:118,G39,119:119)-SUMIF(118:118,C39,119:119)+100</f>
        <v>100</v>
      </c>
      <c r="I39" s="1880" t="s">
        <v>4119</v>
      </c>
      <c r="J39" s="374">
        <f>SUMIF(118:118,I39,119:119)-SUMIF(118:118,C39,119:119)+100</f>
        <v>100</v>
      </c>
      <c r="K39" s="538"/>
      <c r="L39" s="2646"/>
      <c r="M39" s="2641"/>
      <c r="N39" s="2641"/>
      <c r="O39" s="2696"/>
      <c r="P39" s="3263"/>
      <c r="Q39" s="1382" t="str">
        <f t="shared" ref="Q39:Q45" si="14">B39</f>
        <v>宗地形状</v>
      </c>
      <c r="R39" s="664" t="s">
        <v>17</v>
      </c>
      <c r="S39" s="665">
        <f t="shared" si="10"/>
        <v>100</v>
      </c>
      <c r="T39" s="664" t="s">
        <v>17</v>
      </c>
      <c r="U39" s="665">
        <f t="shared" si="11"/>
        <v>100</v>
      </c>
      <c r="V39" s="664" t="s">
        <v>17</v>
      </c>
      <c r="W39" s="665">
        <f t="shared" si="12"/>
        <v>100</v>
      </c>
      <c r="X39" s="1384"/>
      <c r="Y39" s="3263"/>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c r="L40" s="2646"/>
      <c r="M40" s="2641"/>
      <c r="N40" s="2641"/>
      <c r="O40" s="2696"/>
      <c r="P40" s="3263"/>
      <c r="Q40" s="1382" t="str">
        <f t="shared" si="14"/>
        <v>临街宽度及深度</v>
      </c>
      <c r="R40" s="664" t="s">
        <v>17</v>
      </c>
      <c r="S40" s="665">
        <f t="shared" si="10"/>
        <v>100</v>
      </c>
      <c r="T40" s="664" t="s">
        <v>17</v>
      </c>
      <c r="U40" s="665">
        <f t="shared" si="11"/>
        <v>100</v>
      </c>
      <c r="V40" s="664" t="s">
        <v>17</v>
      </c>
      <c r="W40" s="665">
        <f t="shared" si="12"/>
        <v>100</v>
      </c>
      <c r="X40" s="1384"/>
      <c r="Y40" s="3263"/>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c r="L41" s="2642"/>
      <c r="M41" s="2592"/>
      <c r="N41" s="2592"/>
      <c r="O41" s="2694"/>
      <c r="P41" s="3263"/>
      <c r="Q41" s="1382" t="str">
        <f t="shared" si="14"/>
        <v>宗地开发程度</v>
      </c>
      <c r="R41" s="661" t="s">
        <v>17</v>
      </c>
      <c r="S41" s="662">
        <f t="shared" si="10"/>
        <v>100</v>
      </c>
      <c r="T41" s="661" t="s">
        <v>17</v>
      </c>
      <c r="U41" s="662">
        <f t="shared" si="11"/>
        <v>100</v>
      </c>
      <c r="V41" s="661" t="s">
        <v>17</v>
      </c>
      <c r="W41" s="662">
        <f t="shared" si="12"/>
        <v>100</v>
      </c>
      <c r="X41" s="663"/>
      <c r="Y41" s="3263"/>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c r="L42" s="2646"/>
      <c r="M42" s="2641"/>
      <c r="N42" s="2641"/>
      <c r="O42" s="2696"/>
      <c r="P42" s="3263" t="s">
        <v>2143</v>
      </c>
      <c r="Q42" s="1382" t="str">
        <f t="shared" si="14"/>
        <v>工程地质条件</v>
      </c>
      <c r="R42" s="664" t="s">
        <v>17</v>
      </c>
      <c r="S42" s="665">
        <f t="shared" si="10"/>
        <v>100</v>
      </c>
      <c r="T42" s="664" t="s">
        <v>17</v>
      </c>
      <c r="U42" s="665">
        <f t="shared" si="11"/>
        <v>100</v>
      </c>
      <c r="V42" s="664" t="s">
        <v>17</v>
      </c>
      <c r="W42" s="665">
        <f t="shared" si="12"/>
        <v>100</v>
      </c>
      <c r="X42" s="1384"/>
      <c r="Y42" s="3263"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63"/>
      <c r="Q43" s="1382">
        <f t="shared" si="14"/>
        <v>111</v>
      </c>
      <c r="R43" s="664" t="s">
        <v>17</v>
      </c>
      <c r="S43" s="665">
        <f t="shared" si="10"/>
        <v>100</v>
      </c>
      <c r="T43" s="664" t="s">
        <v>17</v>
      </c>
      <c r="U43" s="665">
        <f t="shared" si="11"/>
        <v>100</v>
      </c>
      <c r="V43" s="664" t="s">
        <v>17</v>
      </c>
      <c r="W43" s="665">
        <f t="shared" si="12"/>
        <v>100</v>
      </c>
      <c r="X43" s="1384"/>
      <c r="Y43" s="3263"/>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63"/>
      <c r="Q44" s="1382">
        <f t="shared" si="14"/>
        <v>111</v>
      </c>
      <c r="R44" s="664" t="s">
        <v>17</v>
      </c>
      <c r="S44" s="665">
        <f t="shared" si="10"/>
        <v>100</v>
      </c>
      <c r="T44" s="664" t="s">
        <v>17</v>
      </c>
      <c r="U44" s="665">
        <f t="shared" si="11"/>
        <v>100</v>
      </c>
      <c r="V44" s="664" t="s">
        <v>17</v>
      </c>
      <c r="W44" s="665">
        <f t="shared" si="12"/>
        <v>100</v>
      </c>
      <c r="X44" s="1384"/>
      <c r="Y44" s="3263"/>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63"/>
      <c r="Q45" s="1382">
        <f t="shared" si="14"/>
        <v>111</v>
      </c>
      <c r="R45" s="666" t="s">
        <v>17</v>
      </c>
      <c r="S45" s="667">
        <f t="shared" si="10"/>
        <v>100</v>
      </c>
      <c r="T45" s="666" t="s">
        <v>17</v>
      </c>
      <c r="U45" s="667">
        <f t="shared" si="11"/>
        <v>100</v>
      </c>
      <c r="V45" s="666" t="s">
        <v>17</v>
      </c>
      <c r="W45" s="667">
        <f t="shared" si="12"/>
        <v>100</v>
      </c>
      <c r="X45" s="668"/>
      <c r="Y45" s="3263"/>
      <c r="Z45" s="669">
        <f t="shared" si="13"/>
        <v>111</v>
      </c>
      <c r="AA45" s="1383">
        <f t="shared" si="3"/>
        <v>1</v>
      </c>
      <c r="AB45" s="1383">
        <f t="shared" si="4"/>
        <v>1</v>
      </c>
      <c r="AC45" s="1383">
        <f t="shared" si="5"/>
        <v>1</v>
      </c>
    </row>
    <row r="46" spans="1:29" ht="15">
      <c r="A46" s="416" t="s">
        <v>2298</v>
      </c>
      <c r="B46" s="1950" t="s">
        <v>2333</v>
      </c>
      <c r="C46" s="602" t="s">
        <v>1</v>
      </c>
      <c r="D46" s="418"/>
      <c r="E46" s="3049">
        <f>土地案例!L21</f>
        <v>29034.368999999995</v>
      </c>
      <c r="F46" s="420"/>
      <c r="G46" s="3050">
        <f>土地案例!M21</f>
        <v>21319.308000000001</v>
      </c>
      <c r="H46" s="422"/>
      <c r="I46" s="3049">
        <f>土地案例!AB21</f>
        <v>13853.721600000001</v>
      </c>
      <c r="J46" s="422"/>
      <c r="K46" s="671"/>
      <c r="L46" s="2648"/>
      <c r="M46" s="2641"/>
      <c r="N46" s="2641"/>
      <c r="O46" s="2641"/>
      <c r="P46" s="3259" t="str">
        <f>A46</f>
        <v>成交单价</v>
      </c>
      <c r="Q46" s="3259"/>
      <c r="R46" s="3264">
        <f>E46</f>
        <v>29034.368999999995</v>
      </c>
      <c r="S46" s="3264"/>
      <c r="T46" s="3264">
        <f>G46</f>
        <v>21319.308000000001</v>
      </c>
      <c r="U46" s="3264"/>
      <c r="V46" s="3264">
        <f>I46</f>
        <v>13853.721600000001</v>
      </c>
      <c r="W46" s="3264"/>
      <c r="X46" s="385"/>
      <c r="Y46" s="670"/>
      <c r="Z46" s="385"/>
      <c r="AA46" s="385"/>
      <c r="AB46" s="385"/>
      <c r="AC46" s="385"/>
    </row>
    <row r="47" spans="1:29" ht="15.75" thickBot="1">
      <c r="A47" s="423" t="s">
        <v>2247</v>
      </c>
      <c r="B47" s="603"/>
      <c r="C47" s="426">
        <f>R48</f>
        <v>28321</v>
      </c>
      <c r="D47" s="2291" t="s">
        <v>4120</v>
      </c>
      <c r="E47" s="426">
        <f>R47</f>
        <v>28378</v>
      </c>
      <c r="F47" s="2292">
        <v>0.5</v>
      </c>
      <c r="G47" s="425">
        <f>T47</f>
        <v>30041</v>
      </c>
      <c r="H47" s="2292">
        <v>0.4</v>
      </c>
      <c r="I47" s="426">
        <f>V47</f>
        <v>21155</v>
      </c>
      <c r="J47" s="2292">
        <v>0.1</v>
      </c>
      <c r="K47" s="2294">
        <f>F47+H47+J47</f>
        <v>1</v>
      </c>
      <c r="L47" s="2648"/>
      <c r="M47" s="2641"/>
      <c r="N47" s="2641"/>
      <c r="O47" s="2641"/>
      <c r="P47" s="3259" t="str">
        <f>A47</f>
        <v>比较价值（元/平方米）</v>
      </c>
      <c r="Q47" s="3259"/>
      <c r="R47" s="3252">
        <f>ROUND(PRODUCT(R46,AA7:AA45),0)</f>
        <v>28378</v>
      </c>
      <c r="S47" s="3252"/>
      <c r="T47" s="3252">
        <f>ROUND(PRODUCT(T46,AB7:AB45),0)</f>
        <v>30041</v>
      </c>
      <c r="U47" s="3252"/>
      <c r="V47" s="3252">
        <f>ROUND(PRODUCT(V46,AC7:AC45),0)</f>
        <v>21155</v>
      </c>
      <c r="W47" s="3252"/>
      <c r="X47" s="385"/>
      <c r="Y47" s="385"/>
      <c r="Z47" s="385"/>
      <c r="AA47" s="385"/>
      <c r="AB47" s="385"/>
      <c r="AC47" s="385"/>
    </row>
    <row r="48" spans="1:29" ht="15.75" thickBot="1">
      <c r="A48" s="427" t="s">
        <v>2334</v>
      </c>
      <c r="B48" s="428"/>
      <c r="C48" s="429">
        <f>R48</f>
        <v>28321</v>
      </c>
      <c r="D48" s="429"/>
      <c r="E48" s="429"/>
      <c r="F48" s="429"/>
      <c r="G48" s="429"/>
      <c r="H48" s="429"/>
      <c r="I48" s="429"/>
      <c r="J48" s="429"/>
      <c r="K48" s="672"/>
      <c r="L48" s="2648"/>
      <c r="M48" s="2641"/>
      <c r="N48" s="2641"/>
      <c r="O48" s="2641"/>
      <c r="P48" s="3253" t="str">
        <f>A48</f>
        <v>估价对象XX用房的比较价值（楼面单价，元/平方米）</v>
      </c>
      <c r="Q48" s="3254"/>
      <c r="R48" s="3255">
        <f>ROUND(IF(D47="简单平均",AVERAGE(R47:W47),R47*F47+T47*H47+V47*J47),0)</f>
        <v>28321</v>
      </c>
      <c r="S48" s="3255"/>
      <c r="T48" s="3255"/>
      <c r="U48" s="3255"/>
      <c r="V48" s="3255"/>
      <c r="W48" s="3255"/>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2.3129501726689483E-2</v>
      </c>
      <c r="F51" s="435" t="str">
        <f>IF(OR(E51&gt;=0.3,E51&lt;=-0.3),"超过30%","")</f>
        <v/>
      </c>
      <c r="G51" s="434">
        <f>IF(G46&lt;G47,G47/G46-1,G46/G47-1)</f>
        <v>0.40909826904325408</v>
      </c>
      <c r="H51" s="435" t="str">
        <f>IF(OR(G51&gt;=0.3,G51&lt;=-0.3),"超过30%","")</f>
        <v>超过30%</v>
      </c>
      <c r="I51" s="434">
        <f>IF(I46&lt;I47,I47/I46-1,I46/I47-1)</f>
        <v>0.52702649950754021</v>
      </c>
      <c r="J51" s="435" t="str">
        <f>IF(OR(I51&gt;=0.3,I51&lt;=-0.3),"超过30%","")</f>
        <v>超过30%</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5.8601733737402295E-2</v>
      </c>
      <c r="F52" s="435" t="str">
        <f>IF(OR(E52&gt;=0.2,E52&lt;=-0.2),"超过20%","")</f>
        <v/>
      </c>
      <c r="G52" s="434">
        <f>IF(G47&lt;I47,I47/G47-1,G47/I47-1)</f>
        <v>0.4200425431340109</v>
      </c>
      <c r="H52" s="435" t="str">
        <f>IF(OR(G52&gt;=0.2,G52&lt;=-0.2),"超过20%","")</f>
        <v>超过20%</v>
      </c>
      <c r="I52" s="434">
        <f>IF(I47&lt;E47,E47/I47-1,I47/E47-1)</f>
        <v>0.34143228551169935</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0.36188139877710834</v>
      </c>
      <c r="F53" s="435" t="str">
        <f>IF(OR(E53&gt;=0.3,E53&lt;=-0.3),"超过30%","")</f>
        <v>超过30%</v>
      </c>
      <c r="G53" s="434">
        <f>IF(G46&lt;I46,I46/G46-1,G46/I46-1)</f>
        <v>0.53888670608192379</v>
      </c>
      <c r="H53" s="435" t="str">
        <f>IF(OR(G53&gt;=0.3,G53&lt;=-0.3),"超过30%","")</f>
        <v>超过30%</v>
      </c>
      <c r="I53" s="434">
        <f>IF(I46&lt;E46,E46/I46-1,I46/E46-1)</f>
        <v>1.095781179838347</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56" t="s">
        <v>2341</v>
      </c>
      <c r="H55" s="3257"/>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28321</v>
      </c>
      <c r="C56" s="610">
        <v>1</v>
      </c>
      <c r="D56" s="986">
        <v>1</v>
      </c>
      <c r="E56" s="610">
        <f>'数据-汇总表'!E8+'数据-汇总表'!E9</f>
        <v>53626.59</v>
      </c>
      <c r="F56" s="929">
        <f t="shared" ref="F56:F64" si="15">ROUND(B56*E56/10000,0)</f>
        <v>151876</v>
      </c>
      <c r="G56" s="3258"/>
      <c r="H56" s="3259"/>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151876</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C70-0.5</f>
        <v>99.5</v>
      </c>
      <c r="E70" s="9">
        <f t="shared" ref="E70:M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4096</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90</v>
      </c>
      <c r="E90" s="475">
        <f>D90-$K17</f>
        <v>80</v>
      </c>
      <c r="F90" s="475">
        <f>E90-$K17</f>
        <v>70</v>
      </c>
      <c r="G90" s="475">
        <f>F90-$K17</f>
        <v>60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95</v>
      </c>
      <c r="E94" s="475">
        <f>D94-$K21</f>
        <v>90</v>
      </c>
      <c r="F94" s="475">
        <f>E94-$K21</f>
        <v>85</v>
      </c>
      <c r="G94" s="475">
        <f>F94-$K21</f>
        <v>80</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95</v>
      </c>
      <c r="E98" s="475">
        <f>D98-$K25</f>
        <v>90</v>
      </c>
      <c r="F98" s="475">
        <f>E98-$K25</f>
        <v>85</v>
      </c>
      <c r="G98" s="475">
        <f>F98-$K25</f>
        <v>80</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4097</v>
      </c>
      <c r="D105" s="3045" t="s">
        <v>4098</v>
      </c>
      <c r="E105" s="3045" t="s">
        <v>4099</v>
      </c>
      <c r="F105" s="3045" t="s">
        <v>4100</v>
      </c>
      <c r="G105" s="3045" t="s">
        <v>4101</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4106</v>
      </c>
      <c r="D107" s="3047" t="s">
        <v>4107</v>
      </c>
      <c r="E107" s="3046" t="s">
        <v>4102</v>
      </c>
      <c r="F107" s="3046" t="s">
        <v>4103</v>
      </c>
      <c r="G107" s="3046" t="s">
        <v>4104</v>
      </c>
      <c r="H107" s="3046" t="s">
        <v>4105</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0(含)-30000</v>
      </c>
      <c r="D115" s="461" t="str">
        <f t="shared" ref="D115:M115" si="26">D116&amp;"(含)"&amp;"-"&amp;E116</f>
        <v>30000(含)-60000</v>
      </c>
      <c r="E115" s="461" t="str">
        <f t="shared" si="26"/>
        <v>60000(含)-90000</v>
      </c>
      <c r="F115" s="461" t="str">
        <f t="shared" si="26"/>
        <v>90000(含)-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30000</v>
      </c>
      <c r="E116" s="9">
        <v>60000</v>
      </c>
      <c r="F116" s="9">
        <v>90000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99</v>
      </c>
      <c r="D117" s="521">
        <v>100</v>
      </c>
      <c r="E117" s="521">
        <v>99</v>
      </c>
      <c r="F117" s="521">
        <v>98</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4108</v>
      </c>
      <c r="D118" s="3048" t="s">
        <v>4109</v>
      </c>
      <c r="E118" s="3048" t="s">
        <v>4110</v>
      </c>
      <c r="F118" s="3048" t="s">
        <v>4111</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4112</v>
      </c>
      <c r="D120" s="485" t="s">
        <v>3522</v>
      </c>
      <c r="E120" s="513" t="s">
        <v>3564</v>
      </c>
      <c r="F120" s="513" t="s">
        <v>4113</v>
      </c>
      <c r="G120" s="513" t="s">
        <v>4114</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4115</v>
      </c>
      <c r="G122" s="485" t="s">
        <v>4116</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4112</v>
      </c>
      <c r="D124" s="485" t="s">
        <v>3522</v>
      </c>
      <c r="E124" s="513" t="s">
        <v>3564</v>
      </c>
      <c r="F124" s="513" t="s">
        <v>4113</v>
      </c>
      <c r="G124" s="513" t="s">
        <v>4114</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topLeftCell="A4" workbookViewId="0">
      <selection activeCell="AB29" sqref="AB29"/>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4123</v>
      </c>
      <c r="L16" s="3061">
        <v>7.0000000000000007E-2</v>
      </c>
      <c r="AB16" s="3054">
        <f>'数据-汇总表'!I6</f>
        <v>7.76</v>
      </c>
    </row>
    <row r="17" spans="5:31">
      <c r="H17" s="3059" t="s">
        <v>4124</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29034.368999999995</v>
      </c>
      <c r="M21" s="3053">
        <f>M19*(1-($AB$16-M18)*$L$16)</f>
        <v>21319.308000000001</v>
      </c>
      <c r="N21" s="3053">
        <f t="shared" ref="N21:AA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260235</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48527</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157688</v>
      </c>
      <c r="D5" s="201" t="s">
        <v>1912</v>
      </c>
      <c r="E5" s="202" t="s">
        <v>1913</v>
      </c>
      <c r="F5" s="202" t="s">
        <v>1914</v>
      </c>
      <c r="G5" s="203"/>
    </row>
    <row r="6" spans="1:9" s="204" customFormat="1" ht="13.5" customHeight="1">
      <c r="A6" s="805" t="s">
        <v>1915</v>
      </c>
      <c r="B6" s="205" t="s">
        <v>1916</v>
      </c>
      <c r="C6" s="206">
        <f>'土地比较法-住宅、综合'!F56</f>
        <v>151876</v>
      </c>
      <c r="D6" s="207"/>
      <c r="E6" s="208"/>
      <c r="F6" s="208"/>
      <c r="G6" s="209"/>
    </row>
    <row r="7" spans="1:9" s="204" customFormat="1" ht="13.5" customHeight="1">
      <c r="A7" s="805" t="s">
        <v>1917</v>
      </c>
      <c r="B7" s="205" t="s">
        <v>1918</v>
      </c>
      <c r="C7" s="210">
        <f>ROUND(C6*F7,0)</f>
        <v>4632</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4128</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4127</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0</v>
      </c>
      <c r="F19" s="221"/>
      <c r="G19" s="1834" t="s">
        <v>4126</v>
      </c>
    </row>
    <row r="20" spans="1:7" s="204" customFormat="1" ht="13.5" customHeight="1">
      <c r="A20" s="245" t="s">
        <v>1936</v>
      </c>
      <c r="B20" s="200" t="s">
        <v>1937</v>
      </c>
      <c r="C20" s="222">
        <f>ROUND((C5+C19)*F20,0)</f>
        <v>3154</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13491</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13360</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131</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32168</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32168</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223995</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31787</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29495</v>
      </c>
      <c r="D34" s="207"/>
      <c r="E34" s="210"/>
      <c r="F34" s="247">
        <f ca="1">IF('数据-取费表'!B24=0,1,IF(B1="",'数据-取费表'!N16,INDIRECT("'数据-取费表'!n"&amp;$G$1)))</f>
        <v>1</v>
      </c>
      <c r="G34" s="209" t="s">
        <v>1969</v>
      </c>
    </row>
    <row r="35" spans="1:7" ht="13.5" customHeight="1">
      <c r="A35" s="807" t="s">
        <v>615</v>
      </c>
      <c r="B35" s="205" t="s">
        <v>1970</v>
      </c>
      <c r="C35" s="210">
        <f ca="1">ROUND(C34*F35,0)</f>
        <v>885</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965</v>
      </c>
      <c r="D37" s="207">
        <f ca="1">D19</f>
        <v>53626.59</v>
      </c>
      <c r="E37" s="239">
        <f>'数据-取费表'!B35</f>
        <v>180</v>
      </c>
      <c r="F37" s="249"/>
      <c r="G37" s="251" t="s">
        <v>1975</v>
      </c>
    </row>
    <row r="38" spans="1:7" ht="13.5" customHeight="1">
      <c r="A38" s="807" t="s">
        <v>618</v>
      </c>
      <c r="B38" s="205" t="s">
        <v>1976</v>
      </c>
      <c r="C38" s="210">
        <f ca="1">ROUND(C34*F38,0)</f>
        <v>442</v>
      </c>
      <c r="D38" s="210"/>
      <c r="E38" s="210"/>
      <c r="F38" s="249">
        <f>'数据-取费表'!B36</f>
        <v>1.4999999999999999E-2</v>
      </c>
      <c r="G38" s="209" t="s">
        <v>1971</v>
      </c>
    </row>
    <row r="39" spans="1:7" s="204" customFormat="1" ht="13.5" customHeight="1">
      <c r="A39" s="245" t="s">
        <v>1977</v>
      </c>
      <c r="B39" s="200" t="s">
        <v>1978</v>
      </c>
      <c r="C39" s="222">
        <f ca="1">ROUND(C33*F20,0)</f>
        <v>636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1319</v>
      </c>
      <c r="D42" s="228"/>
      <c r="E42" s="228"/>
      <c r="F42" s="229"/>
      <c r="G42" s="3294" t="s">
        <v>1987</v>
      </c>
    </row>
    <row r="43" spans="1:7" ht="13.5" customHeight="1">
      <c r="A43" s="807" t="s">
        <v>611</v>
      </c>
      <c r="B43" s="205" t="s">
        <v>1988</v>
      </c>
      <c r="C43" s="228">
        <f ca="1">ROUND(IF('数据-取费表'!B22&lt;=1,C39*F22*'数据-取费表'!B21/2,C39*(POWER((1+F22),'数据-取费表'!B21/2)-1)),0)</f>
        <v>26</v>
      </c>
      <c r="D43" s="228"/>
      <c r="E43" s="228"/>
      <c r="F43" s="229"/>
      <c r="G43" s="3295"/>
    </row>
    <row r="44" spans="1:7" ht="13.5" customHeight="1">
      <c r="A44" s="807" t="s">
        <v>612</v>
      </c>
      <c r="B44" s="205" t="s">
        <v>1989</v>
      </c>
      <c r="C44" s="228">
        <f ca="1">ROUND(IF('数据-取费表'!B22&lt;=1,C40*F22*'数据-取费表'!B21/2,C40*(POWER((1+F22),'数据-取费表'!B21/2)-1)),4)</f>
        <v>8.0000000000000004E-4</v>
      </c>
      <c r="D44" s="228"/>
      <c r="E44" s="228"/>
      <c r="F44" s="229"/>
      <c r="G44" s="3296"/>
    </row>
    <row r="45" spans="1:7" s="204" customFormat="1" ht="13.5" customHeight="1">
      <c r="A45" s="245" t="s">
        <v>1990</v>
      </c>
      <c r="B45" s="234" t="s">
        <v>1956</v>
      </c>
      <c r="C45" s="235">
        <f ca="1">C46</f>
        <v>6485</v>
      </c>
      <c r="D45" s="225">
        <f ca="1">C47</f>
        <v>4.0000000000000001E-3</v>
      </c>
      <c r="E45" s="226" t="s">
        <v>1982</v>
      </c>
      <c r="F45" s="2290">
        <f ca="1">F27</f>
        <v>0.2</v>
      </c>
      <c r="G45" s="237" t="s">
        <v>1991</v>
      </c>
    </row>
    <row r="46" spans="1:7" s="204" customFormat="1" ht="13.5" customHeight="1">
      <c r="A46" s="807" t="s">
        <v>610</v>
      </c>
      <c r="B46" s="238" t="s">
        <v>1992</v>
      </c>
      <c r="C46" s="239">
        <f ca="1">ROUND((C33+C39)*F27,0)</f>
        <v>6485</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43663</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36240</v>
      </c>
      <c r="D51" s="222"/>
      <c r="E51" s="222"/>
      <c r="F51" s="254"/>
      <c r="G51" s="224" t="s">
        <v>2003</v>
      </c>
    </row>
    <row r="52" spans="1:7" s="198" customFormat="1" ht="16.5" thickBot="1">
      <c r="A52" s="255" t="s">
        <v>2004</v>
      </c>
      <c r="B52" s="256"/>
      <c r="C52" s="257">
        <f ca="1">C31+C51</f>
        <v>260235</v>
      </c>
      <c r="D52" s="256"/>
      <c r="E52" s="256"/>
      <c r="F52" s="256"/>
      <c r="G52" s="258"/>
    </row>
    <row r="55" spans="1:7" ht="15">
      <c r="B55" s="260" t="s">
        <v>2005</v>
      </c>
      <c r="C55" s="261"/>
    </row>
    <row r="56" spans="1:7">
      <c r="B56" s="263" t="s">
        <v>1237</v>
      </c>
      <c r="C56" s="265">
        <f ca="1">1-C57</f>
        <v>0.86099999999999999</v>
      </c>
    </row>
    <row r="57" spans="1:7">
      <c r="B57" s="263" t="s">
        <v>1238</v>
      </c>
      <c r="C57" s="264">
        <f ca="1">ROUND(C51/C52,3)</f>
        <v>0.13900000000000001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309" t="s">
        <v>2229</v>
      </c>
      <c r="Q4" s="3310"/>
      <c r="R4" s="3313" t="s">
        <v>2225</v>
      </c>
      <c r="S4" s="3314"/>
      <c r="T4" s="3313" t="s">
        <v>2226</v>
      </c>
      <c r="U4" s="3314"/>
      <c r="V4" s="3315" t="s">
        <v>2227</v>
      </c>
      <c r="W4" s="3315"/>
      <c r="X4" s="1929"/>
      <c r="Y4" s="3313" t="s">
        <v>2229</v>
      </c>
      <c r="Z4" s="3314"/>
      <c r="AA4" s="3318" t="s">
        <v>2225</v>
      </c>
      <c r="AB4" s="3318" t="s">
        <v>2226</v>
      </c>
      <c r="AC4" s="3306" t="s">
        <v>2227</v>
      </c>
    </row>
    <row r="5" spans="1:29" ht="15">
      <c r="A5" s="346"/>
      <c r="B5" s="347"/>
      <c r="C5" s="3285" t="s">
        <v>2120</v>
      </c>
      <c r="D5" s="3286"/>
      <c r="E5" s="3319" t="s">
        <v>3521</v>
      </c>
      <c r="F5" s="3293"/>
      <c r="G5" s="3316" t="s">
        <v>3534</v>
      </c>
      <c r="H5" s="3286"/>
      <c r="I5" s="3316" t="s">
        <v>3537</v>
      </c>
      <c r="J5" s="3286"/>
      <c r="K5" s="537"/>
      <c r="L5" s="2640"/>
      <c r="M5" s="2641"/>
      <c r="N5" s="2641"/>
      <c r="O5" s="2641"/>
      <c r="P5" s="3311"/>
      <c r="Q5" s="3274"/>
      <c r="R5" s="3279"/>
      <c r="S5" s="3280"/>
      <c r="T5" s="3279"/>
      <c r="U5" s="3280"/>
      <c r="V5" s="3264"/>
      <c r="W5" s="3264"/>
      <c r="X5" s="1384"/>
      <c r="Y5" s="3279"/>
      <c r="Z5" s="3280"/>
      <c r="AA5" s="3266"/>
      <c r="AB5" s="3266"/>
      <c r="AC5" s="3307"/>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312"/>
      <c r="Q6" s="3276"/>
      <c r="R6" s="3279"/>
      <c r="S6" s="3280"/>
      <c r="T6" s="3281"/>
      <c r="U6" s="3282"/>
      <c r="V6" s="3264"/>
      <c r="W6" s="3264"/>
      <c r="X6" s="1384"/>
      <c r="Y6" s="3281"/>
      <c r="Z6" s="3282"/>
      <c r="AA6" s="3267"/>
      <c r="AB6" s="3267"/>
      <c r="AC6" s="3308"/>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7" t="s">
        <v>2130</v>
      </c>
      <c r="Q8" s="3288"/>
      <c r="R8" s="661" t="s">
        <v>17</v>
      </c>
      <c r="S8" s="662">
        <f t="shared" si="0"/>
        <v>100</v>
      </c>
      <c r="T8" s="661" t="s">
        <v>17</v>
      </c>
      <c r="U8" s="662">
        <f t="shared" si="1"/>
        <v>100</v>
      </c>
      <c r="V8" s="661" t="s">
        <v>17</v>
      </c>
      <c r="W8" s="662">
        <f t="shared" si="2"/>
        <v>100</v>
      </c>
      <c r="X8" s="663"/>
      <c r="Y8" s="3287" t="s">
        <v>2130</v>
      </c>
      <c r="Z8" s="3288"/>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58"/>
      <c r="Q11" s="530" t="str">
        <f t="shared" si="6"/>
        <v>容积率</v>
      </c>
      <c r="R11" s="661" t="s">
        <v>17</v>
      </c>
      <c r="S11" s="662">
        <f t="shared" si="0"/>
        <v>100</v>
      </c>
      <c r="T11" s="661" t="s">
        <v>17</v>
      </c>
      <c r="U11" s="662">
        <f t="shared" si="1"/>
        <v>100</v>
      </c>
      <c r="V11" s="661" t="s">
        <v>17</v>
      </c>
      <c r="W11" s="662">
        <f t="shared" si="2"/>
        <v>100</v>
      </c>
      <c r="X11" s="663"/>
      <c r="Y11" s="3156"/>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58"/>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58"/>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58"/>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00" t="s">
        <v>2138</v>
      </c>
      <c r="Q15" s="1382" t="str">
        <f t="shared" si="6"/>
        <v>办公集聚程度</v>
      </c>
      <c r="R15" s="664" t="s">
        <v>17</v>
      </c>
      <c r="S15" s="665">
        <f t="shared" si="0"/>
        <v>100</v>
      </c>
      <c r="T15" s="664" t="s">
        <v>17</v>
      </c>
      <c r="U15" s="665">
        <f t="shared" si="1"/>
        <v>100</v>
      </c>
      <c r="V15" s="664" t="s">
        <v>17</v>
      </c>
      <c r="W15" s="665">
        <f t="shared" si="2"/>
        <v>100</v>
      </c>
      <c r="X15" s="1384"/>
      <c r="Y15" s="3260"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01"/>
      <c r="Q16" s="1382"/>
      <c r="R16" s="664"/>
      <c r="S16" s="665"/>
      <c r="T16" s="664"/>
      <c r="U16" s="665"/>
      <c r="V16" s="664"/>
      <c r="W16" s="665"/>
      <c r="X16" s="1384"/>
      <c r="Y16" s="3261"/>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0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01"/>
      <c r="Q18" s="1382"/>
      <c r="R18" s="664"/>
      <c r="S18" s="665"/>
      <c r="T18" s="664"/>
      <c r="U18" s="665"/>
      <c r="V18" s="664"/>
      <c r="W18" s="665"/>
      <c r="X18" s="1384"/>
      <c r="Y18" s="3261"/>
      <c r="Z18" s="1383"/>
      <c r="AA18" s="1383">
        <v>1</v>
      </c>
      <c r="AB18" s="1383">
        <v>1</v>
      </c>
      <c r="AC18" s="1932">
        <v>1</v>
      </c>
    </row>
    <row r="19" spans="1:29" ht="42.75">
      <c r="A19" s="367"/>
      <c r="B19" s="556" t="s">
        <v>2266</v>
      </c>
      <c r="C19" s="1933" t="str">
        <f>估价对象房地状况!C7</f>
        <v>估价对象所在区域公共配套设施齐备好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0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01"/>
      <c r="Q20" s="1382"/>
      <c r="R20" s="664"/>
      <c r="S20" s="665"/>
      <c r="T20" s="664"/>
      <c r="U20" s="665"/>
      <c r="V20" s="664"/>
      <c r="W20" s="665"/>
      <c r="X20" s="1384"/>
      <c r="Y20" s="3261"/>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01"/>
      <c r="Q22" s="1382"/>
      <c r="R22" s="664"/>
      <c r="S22" s="665"/>
      <c r="T22" s="664"/>
      <c r="U22" s="665"/>
      <c r="V22" s="664"/>
      <c r="W22" s="665"/>
      <c r="X22" s="1384"/>
      <c r="Y22" s="3261"/>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01"/>
      <c r="Q23" s="1382" t="str">
        <f>B23</f>
        <v>环境质量</v>
      </c>
      <c r="R23" s="664" t="s">
        <v>17</v>
      </c>
      <c r="S23" s="665">
        <f>F23</f>
        <v>100</v>
      </c>
      <c r="T23" s="664" t="s">
        <v>17</v>
      </c>
      <c r="U23" s="665">
        <f>H23</f>
        <v>100</v>
      </c>
      <c r="V23" s="664" t="s">
        <v>17</v>
      </c>
      <c r="W23" s="665">
        <f>J23</f>
        <v>100</v>
      </c>
      <c r="X23" s="1384"/>
      <c r="Y23" s="3261"/>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01"/>
      <c r="Q24" s="1382"/>
      <c r="R24" s="664"/>
      <c r="S24" s="665"/>
      <c r="T24" s="664"/>
      <c r="U24" s="665"/>
      <c r="V24" s="664"/>
      <c r="W24" s="665"/>
      <c r="X24" s="1384"/>
      <c r="Y24" s="3261"/>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01"/>
      <c r="Q25" s="1382" t="str">
        <f>B25</f>
        <v>毗邻道路的类型与等级</v>
      </c>
      <c r="R25" s="664" t="s">
        <v>17</v>
      </c>
      <c r="S25" s="665">
        <f>F25</f>
        <v>100</v>
      </c>
      <c r="T25" s="664" t="s">
        <v>17</v>
      </c>
      <c r="U25" s="665">
        <f>H25</f>
        <v>99</v>
      </c>
      <c r="V25" s="664" t="s">
        <v>17</v>
      </c>
      <c r="W25" s="665">
        <f>J25</f>
        <v>100</v>
      </c>
      <c r="X25" s="1384"/>
      <c r="Y25" s="3261"/>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01"/>
      <c r="Q26" s="1382"/>
      <c r="R26" s="664"/>
      <c r="S26" s="665"/>
      <c r="T26" s="664"/>
      <c r="U26" s="665"/>
      <c r="V26" s="664"/>
      <c r="W26" s="665"/>
      <c r="X26" s="1384"/>
      <c r="Y26" s="3261"/>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01"/>
      <c r="Q27" s="1382" t="str">
        <f t="shared" ref="Q27:Q47" si="11">B27</f>
        <v>楼层</v>
      </c>
      <c r="R27" s="664" t="s">
        <v>17</v>
      </c>
      <c r="S27" s="665">
        <f>F27</f>
        <v>100</v>
      </c>
      <c r="T27" s="664" t="s">
        <v>17</v>
      </c>
      <c r="U27" s="665">
        <f>H27</f>
        <v>106</v>
      </c>
      <c r="V27" s="664" t="s">
        <v>17</v>
      </c>
      <c r="W27" s="665">
        <f>J27</f>
        <v>100</v>
      </c>
      <c r="X27" s="1384"/>
      <c r="Y27" s="3261"/>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01"/>
      <c r="Q28" s="530" t="str">
        <f t="shared" si="11"/>
        <v>朝向</v>
      </c>
      <c r="R28" s="661" t="s">
        <v>17</v>
      </c>
      <c r="S28" s="662">
        <f>F28</f>
        <v>100</v>
      </c>
      <c r="T28" s="661" t="s">
        <v>17</v>
      </c>
      <c r="U28" s="662">
        <f>H28</f>
        <v>100</v>
      </c>
      <c r="V28" s="661" t="s">
        <v>17</v>
      </c>
      <c r="W28" s="662">
        <f>J28</f>
        <v>100</v>
      </c>
      <c r="X28" s="663"/>
      <c r="Y28" s="3261"/>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01"/>
      <c r="Q29" s="1382">
        <f t="shared" si="11"/>
        <v>111</v>
      </c>
      <c r="R29" s="664" t="s">
        <v>17</v>
      </c>
      <c r="S29" s="665">
        <f t="shared" ref="S29:S47" si="12">F29</f>
        <v>100</v>
      </c>
      <c r="T29" s="664" t="s">
        <v>17</v>
      </c>
      <c r="U29" s="665">
        <f t="shared" ref="U29:U47" si="13">H29</f>
        <v>100</v>
      </c>
      <c r="V29" s="664" t="s">
        <v>17</v>
      </c>
      <c r="W29" s="665">
        <f t="shared" ref="W29:W47" si="14">J29</f>
        <v>100</v>
      </c>
      <c r="X29" s="1384"/>
      <c r="Y29" s="3261"/>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01"/>
      <c r="Q30" s="1382">
        <f t="shared" si="11"/>
        <v>111</v>
      </c>
      <c r="R30" s="664" t="s">
        <v>17</v>
      </c>
      <c r="S30" s="665">
        <f t="shared" si="12"/>
        <v>100</v>
      </c>
      <c r="T30" s="664" t="s">
        <v>17</v>
      </c>
      <c r="U30" s="665">
        <f t="shared" si="13"/>
        <v>100</v>
      </c>
      <c r="V30" s="664" t="s">
        <v>17</v>
      </c>
      <c r="W30" s="665">
        <f t="shared" si="14"/>
        <v>100</v>
      </c>
      <c r="X30" s="1384"/>
      <c r="Y30" s="3261"/>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01"/>
      <c r="Q31" s="1382">
        <f t="shared" si="11"/>
        <v>111</v>
      </c>
      <c r="R31" s="664" t="s">
        <v>17</v>
      </c>
      <c r="S31" s="665">
        <f t="shared" si="12"/>
        <v>100</v>
      </c>
      <c r="T31" s="664" t="s">
        <v>17</v>
      </c>
      <c r="U31" s="665">
        <f t="shared" si="13"/>
        <v>100</v>
      </c>
      <c r="V31" s="664" t="s">
        <v>17</v>
      </c>
      <c r="W31" s="665">
        <f t="shared" si="14"/>
        <v>100</v>
      </c>
      <c r="X31" s="1384"/>
      <c r="Y31" s="3261"/>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01"/>
      <c r="Q32" s="1382">
        <f t="shared" si="11"/>
        <v>111</v>
      </c>
      <c r="R32" s="664" t="s">
        <v>17</v>
      </c>
      <c r="S32" s="665">
        <f t="shared" si="12"/>
        <v>100</v>
      </c>
      <c r="T32" s="664" t="s">
        <v>17</v>
      </c>
      <c r="U32" s="665">
        <f t="shared" si="13"/>
        <v>100</v>
      </c>
      <c r="V32" s="664" t="s">
        <v>17</v>
      </c>
      <c r="W32" s="665">
        <f t="shared" si="14"/>
        <v>100</v>
      </c>
      <c r="X32" s="1384"/>
      <c r="Y32" s="3261"/>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02" t="s">
        <v>2143</v>
      </c>
      <c r="Q33" s="1382" t="str">
        <f t="shared" si="11"/>
        <v>建筑类型</v>
      </c>
      <c r="R33" s="664" t="s">
        <v>17</v>
      </c>
      <c r="S33" s="665">
        <f t="shared" si="12"/>
        <v>100</v>
      </c>
      <c r="T33" s="664" t="s">
        <v>17</v>
      </c>
      <c r="U33" s="665">
        <f t="shared" si="13"/>
        <v>100</v>
      </c>
      <c r="V33" s="664" t="s">
        <v>17</v>
      </c>
      <c r="W33" s="665">
        <f t="shared" si="14"/>
        <v>100</v>
      </c>
      <c r="X33" s="1384"/>
      <c r="Y33" s="3263"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03"/>
      <c r="Q34" s="531" t="str">
        <f t="shared" si="11"/>
        <v>项目建筑规模</v>
      </c>
      <c r="R34" s="666" t="s">
        <v>17</v>
      </c>
      <c r="S34" s="667">
        <f t="shared" si="12"/>
        <v>108</v>
      </c>
      <c r="T34" s="666" t="s">
        <v>17</v>
      </c>
      <c r="U34" s="667">
        <f t="shared" si="13"/>
        <v>108</v>
      </c>
      <c r="V34" s="666" t="s">
        <v>17</v>
      </c>
      <c r="W34" s="667">
        <f t="shared" si="14"/>
        <v>108</v>
      </c>
      <c r="X34" s="668"/>
      <c r="Y34" s="3263"/>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03"/>
      <c r="Q35" s="1382" t="str">
        <f t="shared" si="11"/>
        <v>建筑结构</v>
      </c>
      <c r="R35" s="664" t="s">
        <v>17</v>
      </c>
      <c r="S35" s="665">
        <f t="shared" si="12"/>
        <v>100</v>
      </c>
      <c r="T35" s="664" t="s">
        <v>17</v>
      </c>
      <c r="U35" s="665">
        <f t="shared" si="13"/>
        <v>100</v>
      </c>
      <c r="V35" s="664" t="s">
        <v>17</v>
      </c>
      <c r="W35" s="665">
        <f t="shared" si="14"/>
        <v>100</v>
      </c>
      <c r="X35" s="1384"/>
      <c r="Y35" s="3263"/>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03"/>
      <c r="Q36" s="1382" t="str">
        <f t="shared" si="11"/>
        <v>公共部分装修</v>
      </c>
      <c r="R36" s="664" t="s">
        <v>17</v>
      </c>
      <c r="S36" s="665">
        <f t="shared" si="12"/>
        <v>100</v>
      </c>
      <c r="T36" s="664" t="s">
        <v>17</v>
      </c>
      <c r="U36" s="665">
        <f t="shared" si="13"/>
        <v>100</v>
      </c>
      <c r="V36" s="664" t="s">
        <v>17</v>
      </c>
      <c r="W36" s="665">
        <f t="shared" si="14"/>
        <v>100</v>
      </c>
      <c r="X36" s="1384"/>
      <c r="Y36" s="3263"/>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03"/>
      <c r="Q37" s="1382" t="str">
        <f t="shared" si="11"/>
        <v>成新度</v>
      </c>
      <c r="R37" s="664" t="s">
        <v>17</v>
      </c>
      <c r="S37" s="665">
        <f t="shared" si="12"/>
        <v>100</v>
      </c>
      <c r="T37" s="664" t="s">
        <v>17</v>
      </c>
      <c r="U37" s="665">
        <f t="shared" si="13"/>
        <v>100</v>
      </c>
      <c r="V37" s="664" t="s">
        <v>17</v>
      </c>
      <c r="W37" s="665">
        <f t="shared" si="14"/>
        <v>100</v>
      </c>
      <c r="X37" s="1384"/>
      <c r="Y37" s="3263"/>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03"/>
      <c r="Q38" s="530" t="str">
        <f t="shared" si="11"/>
        <v>写字楼等级</v>
      </c>
      <c r="R38" s="661" t="s">
        <v>17</v>
      </c>
      <c r="S38" s="662">
        <f t="shared" si="12"/>
        <v>100</v>
      </c>
      <c r="T38" s="661" t="s">
        <v>17</v>
      </c>
      <c r="U38" s="662">
        <f t="shared" si="13"/>
        <v>100</v>
      </c>
      <c r="V38" s="661" t="s">
        <v>17</v>
      </c>
      <c r="W38" s="662">
        <f t="shared" si="14"/>
        <v>100</v>
      </c>
      <c r="X38" s="663"/>
      <c r="Y38" s="3263"/>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03" t="s">
        <v>2143</v>
      </c>
      <c r="Q39" s="1382" t="str">
        <f t="shared" si="11"/>
        <v>物业管理</v>
      </c>
      <c r="R39" s="664" t="s">
        <v>17</v>
      </c>
      <c r="S39" s="665">
        <f t="shared" si="12"/>
        <v>100</v>
      </c>
      <c r="T39" s="664" t="s">
        <v>17</v>
      </c>
      <c r="U39" s="665">
        <f t="shared" si="13"/>
        <v>100</v>
      </c>
      <c r="V39" s="664" t="s">
        <v>17</v>
      </c>
      <c r="W39" s="665">
        <f t="shared" si="14"/>
        <v>100</v>
      </c>
      <c r="X39" s="1384"/>
      <c r="Y39" s="3263"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03"/>
      <c r="Q40" s="1382" t="str">
        <f t="shared" si="11"/>
        <v>市政基础设施</v>
      </c>
      <c r="R40" s="664" t="s">
        <v>17</v>
      </c>
      <c r="S40" s="665">
        <f t="shared" si="12"/>
        <v>100</v>
      </c>
      <c r="T40" s="664" t="s">
        <v>17</v>
      </c>
      <c r="U40" s="665">
        <f t="shared" si="13"/>
        <v>100</v>
      </c>
      <c r="V40" s="664" t="s">
        <v>17</v>
      </c>
      <c r="W40" s="665">
        <f t="shared" si="14"/>
        <v>100</v>
      </c>
      <c r="X40" s="1384"/>
      <c r="Y40" s="3263"/>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03"/>
      <c r="Q41" s="1382" t="str">
        <f t="shared" si="11"/>
        <v>层高</v>
      </c>
      <c r="R41" s="664" t="s">
        <v>17</v>
      </c>
      <c r="S41" s="665">
        <f t="shared" si="12"/>
        <v>100</v>
      </c>
      <c r="T41" s="664" t="s">
        <v>17</v>
      </c>
      <c r="U41" s="665">
        <f t="shared" si="13"/>
        <v>100</v>
      </c>
      <c r="V41" s="664" t="s">
        <v>17</v>
      </c>
      <c r="W41" s="665">
        <f t="shared" si="14"/>
        <v>100</v>
      </c>
      <c r="X41" s="1384"/>
      <c r="Y41" s="3263"/>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03"/>
      <c r="Q42" s="531" t="str">
        <f t="shared" si="11"/>
        <v>单套建筑面积</v>
      </c>
      <c r="R42" s="666" t="s">
        <v>17</v>
      </c>
      <c r="S42" s="667">
        <f t="shared" si="12"/>
        <v>100</v>
      </c>
      <c r="T42" s="666" t="s">
        <v>17</v>
      </c>
      <c r="U42" s="667">
        <f t="shared" si="13"/>
        <v>100</v>
      </c>
      <c r="V42" s="666" t="s">
        <v>17</v>
      </c>
      <c r="W42" s="667">
        <f t="shared" si="14"/>
        <v>100</v>
      </c>
      <c r="X42" s="668"/>
      <c r="Y42" s="3263"/>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03"/>
      <c r="Q43" s="1382" t="str">
        <f t="shared" si="11"/>
        <v>内部装修</v>
      </c>
      <c r="R43" s="664" t="s">
        <v>17</v>
      </c>
      <c r="S43" s="665">
        <f t="shared" si="12"/>
        <v>100</v>
      </c>
      <c r="T43" s="664" t="s">
        <v>17</v>
      </c>
      <c r="U43" s="665">
        <f t="shared" si="13"/>
        <v>100</v>
      </c>
      <c r="V43" s="664" t="s">
        <v>17</v>
      </c>
      <c r="W43" s="665">
        <f t="shared" si="14"/>
        <v>100</v>
      </c>
      <c r="X43" s="1384"/>
      <c r="Y43" s="3263"/>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03"/>
      <c r="Q44" s="1382" t="str">
        <f t="shared" si="11"/>
        <v>内部装修维护情况</v>
      </c>
      <c r="R44" s="664" t="s">
        <v>17</v>
      </c>
      <c r="S44" s="665">
        <f t="shared" si="12"/>
        <v>100</v>
      </c>
      <c r="T44" s="664" t="s">
        <v>17</v>
      </c>
      <c r="U44" s="665">
        <f t="shared" si="13"/>
        <v>100</v>
      </c>
      <c r="V44" s="664" t="s">
        <v>17</v>
      </c>
      <c r="W44" s="665">
        <f t="shared" si="14"/>
        <v>100</v>
      </c>
      <c r="X44" s="1384"/>
      <c r="Y44" s="3263"/>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03"/>
      <c r="Q45" s="530">
        <f t="shared" si="11"/>
        <v>111</v>
      </c>
      <c r="R45" s="661" t="s">
        <v>17</v>
      </c>
      <c r="S45" s="662">
        <f t="shared" si="12"/>
        <v>100</v>
      </c>
      <c r="T45" s="661" t="s">
        <v>17</v>
      </c>
      <c r="U45" s="662">
        <f t="shared" si="13"/>
        <v>100</v>
      </c>
      <c r="V45" s="661" t="s">
        <v>17</v>
      </c>
      <c r="W45" s="662">
        <f t="shared" si="14"/>
        <v>100</v>
      </c>
      <c r="X45" s="663"/>
      <c r="Y45" s="3263"/>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03"/>
      <c r="Q46" s="1382">
        <f t="shared" si="11"/>
        <v>111</v>
      </c>
      <c r="R46" s="664" t="s">
        <v>17</v>
      </c>
      <c r="S46" s="665">
        <f t="shared" si="12"/>
        <v>100</v>
      </c>
      <c r="T46" s="664" t="s">
        <v>17</v>
      </c>
      <c r="U46" s="665">
        <f t="shared" si="13"/>
        <v>100</v>
      </c>
      <c r="V46" s="664" t="s">
        <v>17</v>
      </c>
      <c r="W46" s="665">
        <f t="shared" si="14"/>
        <v>100</v>
      </c>
      <c r="X46" s="1384"/>
      <c r="Y46" s="3263"/>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04"/>
      <c r="Q47" s="1382">
        <f t="shared" si="11"/>
        <v>111</v>
      </c>
      <c r="R47" s="664" t="s">
        <v>17</v>
      </c>
      <c r="S47" s="665">
        <f t="shared" si="12"/>
        <v>100</v>
      </c>
      <c r="T47" s="664" t="s">
        <v>17</v>
      </c>
      <c r="U47" s="665">
        <f t="shared" si="13"/>
        <v>100</v>
      </c>
      <c r="V47" s="664" t="s">
        <v>17</v>
      </c>
      <c r="W47" s="665">
        <f t="shared" si="14"/>
        <v>100</v>
      </c>
      <c r="X47" s="1384"/>
      <c r="Y47" s="3305"/>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58" t="str">
        <f>A48</f>
        <v>成交单价（元/平方米）</v>
      </c>
      <c r="Q48" s="3259"/>
      <c r="R48" s="3264">
        <f>E48</f>
        <v>14250</v>
      </c>
      <c r="S48" s="3264"/>
      <c r="T48" s="3264">
        <f>G48</f>
        <v>13300</v>
      </c>
      <c r="U48" s="3264"/>
      <c r="V48" s="3264">
        <f>I48</f>
        <v>14250</v>
      </c>
      <c r="W48" s="3264"/>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58" t="str">
        <f>A49</f>
        <v>比较价值（元/平方米）</v>
      </c>
      <c r="Q49" s="3259"/>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297" t="str">
        <f>A50</f>
        <v>估价对象XX用房的比较价值（楼面单价，元/平方米）</v>
      </c>
      <c r="Q50" s="3298"/>
      <c r="R50" s="3299" t="e">
        <f>IF(F1="售价",ROUND(IF(D49="简单平均",AVERAGE(R49:V49),R49*F49+T49*H49+V49*J49),0),ROUND(IF(D49="简单平均",AVERAGE(R49:V49),R49*F49+T49*H49+V49*J49),1))</f>
        <v>#DIV/0!</v>
      </c>
      <c r="S50" s="3299"/>
      <c r="T50" s="3299"/>
      <c r="U50" s="3299"/>
      <c r="V50" s="3299"/>
      <c r="W50" s="3299"/>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37916</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7070</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0</v>
      </c>
      <c r="D19" s="202">
        <f ca="1">D9+D10</f>
        <v>53626.59</v>
      </c>
      <c r="E19" s="201">
        <f>'数据-取费表'!B31</f>
        <v>0</v>
      </c>
      <c r="F19" s="221"/>
      <c r="G19" s="1834"/>
    </row>
    <row r="20" spans="1:7" s="204" customFormat="1" ht="13.5" customHeight="1">
      <c r="A20" s="245" t="s">
        <v>2017</v>
      </c>
      <c r="B20" s="200" t="s">
        <v>2018</v>
      </c>
      <c r="C20" s="222">
        <f ca="1">ROUND((C5+C19)*F20,0)</f>
        <v>235957</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1009332</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0</v>
      </c>
      <c r="D24" s="228"/>
      <c r="E24" s="228"/>
      <c r="F24" s="229"/>
      <c r="G24" s="230" t="s">
        <v>2029</v>
      </c>
    </row>
    <row r="25" spans="1:7" s="204" customFormat="1" ht="24">
      <c r="A25" s="807" t="s">
        <v>1919</v>
      </c>
      <c r="B25" s="205" t="s">
        <v>2030</v>
      </c>
      <c r="C25" s="228">
        <f ca="1">ROUND(IF('数据-取费表'!B22&lt;=1,C20*F22*'数据-取费表'!B22/2,C20*(POWER((1+F22),'数据-取费表'!B22/2)-1)),0)</f>
        <v>9792</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2406761</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2406761</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16758759</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317871612</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294946245</v>
      </c>
      <c r="D34" s="207"/>
      <c r="E34" s="210"/>
      <c r="F34" s="247"/>
      <c r="G34" s="209"/>
    </row>
    <row r="35" spans="1:7" ht="13.5" customHeight="1">
      <c r="A35" s="807" t="s">
        <v>615</v>
      </c>
      <c r="B35" s="205" t="s">
        <v>1970</v>
      </c>
      <c r="C35" s="210">
        <f ca="1">ROUND(C34*F35,0)</f>
        <v>8848387</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9652786</v>
      </c>
      <c r="D37" s="207">
        <f ca="1">D19</f>
        <v>53626.59</v>
      </c>
      <c r="E37" s="239">
        <f>'数据-取费表'!B35</f>
        <v>180</v>
      </c>
      <c r="F37" s="249"/>
      <c r="G37" s="251"/>
    </row>
    <row r="38" spans="1:7" ht="13.5" customHeight="1">
      <c r="A38" s="807" t="s">
        <v>618</v>
      </c>
      <c r="B38" s="205" t="s">
        <v>1976</v>
      </c>
      <c r="C38" s="210">
        <f ca="1">ROUND(C34*F38,0)</f>
        <v>4424194</v>
      </c>
      <c r="D38" s="210"/>
      <c r="E38" s="210"/>
      <c r="F38" s="249">
        <f>'数据-取费表'!B36</f>
        <v>1.4999999999999999E-2</v>
      </c>
      <c r="G38" s="209" t="s">
        <v>1971</v>
      </c>
    </row>
    <row r="39" spans="1:7" s="204" customFormat="1" ht="13.5" customHeight="1">
      <c r="A39" s="245" t="s">
        <v>1977</v>
      </c>
      <c r="B39" s="200" t="s">
        <v>1978</v>
      </c>
      <c r="C39" s="222">
        <f ca="1">ROUND(C33*F20,0)</f>
        <v>6357432</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13455505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13191672</v>
      </c>
      <c r="D42" s="228"/>
      <c r="E42" s="228"/>
      <c r="F42" s="229"/>
      <c r="G42" s="3294" t="s">
        <v>2034</v>
      </c>
    </row>
    <row r="43" spans="1:7" ht="13.5" customHeight="1">
      <c r="A43" s="807" t="s">
        <v>611</v>
      </c>
      <c r="B43" s="205" t="s">
        <v>1988</v>
      </c>
      <c r="C43" s="228">
        <f ca="1">ROUND(IF('数据-取费表'!B22&lt;=1,C39*F22*'数据-取费表'!B20/2,C39*(POWER((1+F22),'数据-取费表'!B20/2)-1)),0)</f>
        <v>263833</v>
      </c>
      <c r="D43" s="228"/>
      <c r="E43" s="228"/>
      <c r="F43" s="229"/>
      <c r="G43" s="3295"/>
    </row>
    <row r="44" spans="1:7" ht="13.5" customHeight="1">
      <c r="A44" s="807" t="s">
        <v>612</v>
      </c>
      <c r="B44" s="205" t="s">
        <v>1989</v>
      </c>
      <c r="C44" s="228">
        <f ca="1">ROUND(IF('数据-取费表'!B22&lt;=1,C40*F22*'数据-取费表'!B20/2,C40*(POWER((1+F22),'数据-取费表'!B20/2)-1)),4)</f>
        <v>8.0000000000000004E-4</v>
      </c>
      <c r="D44" s="228"/>
      <c r="E44" s="228"/>
      <c r="F44" s="229"/>
      <c r="G44" s="3296"/>
    </row>
    <row r="45" spans="1:7" s="204" customFormat="1" ht="13.5" customHeight="1">
      <c r="A45" s="245" t="s">
        <v>1990</v>
      </c>
      <c r="B45" s="234" t="s">
        <v>1956</v>
      </c>
      <c r="C45" s="235">
        <f ca="1">C46</f>
        <v>64845809</v>
      </c>
      <c r="D45" s="225">
        <f ca="1">C47</f>
        <v>4.0000000000000001E-3</v>
      </c>
      <c r="E45" s="226" t="s">
        <v>1982</v>
      </c>
      <c r="F45" s="2290">
        <f ca="1">F27</f>
        <v>0.2</v>
      </c>
      <c r="G45" s="237" t="s">
        <v>1991</v>
      </c>
    </row>
    <row r="46" spans="1:7" s="204" customFormat="1" ht="13.5" customHeight="1">
      <c r="A46" s="807" t="s">
        <v>610</v>
      </c>
      <c r="B46" s="238" t="s">
        <v>1992</v>
      </c>
      <c r="C46" s="239">
        <f ca="1">ROUND((C33+C39)*F27,0)</f>
        <v>64845809</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436631259</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362403945</v>
      </c>
      <c r="D51" s="222"/>
      <c r="E51" s="222"/>
      <c r="F51" s="254"/>
      <c r="G51" s="224" t="s">
        <v>2003</v>
      </c>
    </row>
    <row r="52" spans="1:7" s="198" customFormat="1" ht="16.5" thickBot="1">
      <c r="A52" s="255" t="s">
        <v>2004</v>
      </c>
      <c r="B52" s="256"/>
      <c r="C52" s="257">
        <f ca="1">C31+C51</f>
        <v>379162704</v>
      </c>
      <c r="D52" s="256"/>
      <c r="E52" s="256"/>
      <c r="F52" s="256"/>
      <c r="G52" s="258"/>
    </row>
    <row r="55" spans="1:7" ht="15">
      <c r="B55" s="260" t="s">
        <v>2005</v>
      </c>
      <c r="C55" s="261"/>
    </row>
    <row r="56" spans="1:7">
      <c r="B56" s="263" t="s">
        <v>1237</v>
      </c>
      <c r="C56" s="265">
        <f ca="1">1-C57</f>
        <v>4.4000000000000039E-2</v>
      </c>
    </row>
    <row r="57" spans="1:7">
      <c r="B57" s="263" t="s">
        <v>1238</v>
      </c>
      <c r="C57" s="264">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180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282578</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52694</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20" t="s">
        <v>2100</v>
      </c>
      <c r="C5" s="3321"/>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272121</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10457</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272121</v>
      </c>
      <c r="C2" s="1408" t="s">
        <v>1240</v>
      </c>
      <c r="D2" s="1408"/>
      <c r="E2" s="1414"/>
      <c r="F2" s="1415"/>
      <c r="G2" s="2632"/>
      <c r="H2" s="2622"/>
      <c r="I2" s="2622"/>
      <c r="J2" s="2622"/>
      <c r="K2" s="2623"/>
      <c r="L2" s="2622"/>
      <c r="M2" s="2622"/>
    </row>
    <row r="3" spans="1:37" ht="18" customHeight="1" thickBot="1">
      <c r="A3" s="1416" t="s">
        <v>1241</v>
      </c>
      <c r="B3" s="1417">
        <f ca="1">IF(ISERROR(B2*10000/F43),0,ROUND(B2*10000/F43,0))</f>
        <v>55429</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19353</v>
      </c>
      <c r="D6" s="144" t="s">
        <v>2604</v>
      </c>
      <c r="E6" s="292" t="s">
        <v>1129</v>
      </c>
      <c r="F6" s="293">
        <f ca="1">INDIRECT("'数据-取费表'!u"&amp;$G$1)</f>
        <v>12</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1111" t="s">
        <v>1130</v>
      </c>
      <c r="F7" s="293">
        <f ca="1">IF(INDIRECT("'数据-取费表'!ah"&amp;$G$1)="",INDIRECT("'数据-取费表'!k"&amp;$G$1),INDIRECT("'数据-取费表'!ah"&amp;$G$1))</f>
        <v>49093.899999999994</v>
      </c>
      <c r="G7" s="1411"/>
      <c r="H7" s="294"/>
      <c r="I7" s="3325"/>
      <c r="J7" s="296"/>
      <c r="K7" s="297"/>
      <c r="L7" s="292" t="s">
        <v>1130</v>
      </c>
      <c r="M7" s="293">
        <f ca="1">F7</f>
        <v>49093.899999999994</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33178</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27002</v>
      </c>
      <c r="D14" s="1376" t="s">
        <v>1142</v>
      </c>
      <c r="E14" s="1374"/>
      <c r="F14" s="309"/>
      <c r="G14" s="1411"/>
      <c r="H14" s="1024" t="s">
        <v>822</v>
      </c>
      <c r="I14" s="292" t="s">
        <v>1143</v>
      </c>
      <c r="J14" s="23">
        <f ca="1">C29</f>
        <v>39974</v>
      </c>
      <c r="K14" s="14"/>
      <c r="L14" s="833"/>
      <c r="M14" s="834"/>
    </row>
    <row r="15" spans="1:37" s="1423" customFormat="1" ht="18" customHeight="1" thickBot="1">
      <c r="A15" s="1024" t="s">
        <v>823</v>
      </c>
      <c r="B15" s="292" t="s">
        <v>1144</v>
      </c>
      <c r="C15" s="23">
        <f ca="1">ROUND(C14*F15,0)</f>
        <v>810</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945</v>
      </c>
      <c r="K16" s="1122" t="s">
        <v>1149</v>
      </c>
      <c r="L16" s="1123"/>
      <c r="M16" s="1107"/>
    </row>
    <row r="17" spans="1:37" s="1423" customFormat="1" ht="18" customHeight="1">
      <c r="A17" s="1024" t="s">
        <v>1114</v>
      </c>
      <c r="B17" s="292" t="s">
        <v>1150</v>
      </c>
      <c r="C17" s="23">
        <f ca="1">ROUND(F17*(F43+INDIRECT("'数据-取费表'!S"&amp;$G$1))/10000,0)</f>
        <v>884</v>
      </c>
      <c r="D17" s="292" t="s">
        <v>1151</v>
      </c>
      <c r="E17" s="292" t="s">
        <v>1152</v>
      </c>
      <c r="F17" s="25">
        <f>'数据-取费表'!B35</f>
        <v>180</v>
      </c>
      <c r="G17" s="1422"/>
      <c r="H17" s="1024" t="s">
        <v>822</v>
      </c>
      <c r="I17" s="292" t="s">
        <v>1153</v>
      </c>
      <c r="J17" s="2287">
        <f ca="1">ROUND(IF(AND(项目基本情况!B11="自然人",项目基本情况!B10="北京市"),J6*M17/(1+'数据-取费表'!C42),J18+J19+J20),0)</f>
        <v>345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405</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29101</v>
      </c>
      <c r="D19" s="120" t="s">
        <v>1160</v>
      </c>
      <c r="E19" s="1388"/>
      <c r="F19" s="25"/>
      <c r="G19" s="1411"/>
      <c r="H19" s="1024" t="s">
        <v>823</v>
      </c>
      <c r="I19" s="292" t="s">
        <v>1161</v>
      </c>
      <c r="J19" s="23">
        <f ca="1">IF(K19="按租金收入计税",ROUND(J6*M19/(1+'数据-取费表'!C42),2),ROUND(C29*M19*0.7,2))</f>
        <v>335.78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582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599.6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1232</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-945</v>
      </c>
      <c r="K25" s="1130" t="s">
        <v>1188</v>
      </c>
      <c r="L25" s="1131"/>
      <c r="M25" s="1132"/>
    </row>
    <row r="26" spans="1:37">
      <c r="A26" s="1024" t="s">
        <v>821</v>
      </c>
      <c r="B26" s="292" t="s">
        <v>1189</v>
      </c>
      <c r="C26" s="23">
        <f ca="1">ROUND((C19+C20)*F26,0)</f>
        <v>5937</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39974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4484</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599.6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49.8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581.29999999999995</v>
      </c>
      <c r="D38" s="1127" t="s">
        <v>1183</v>
      </c>
      <c r="E38" s="1125" t="s">
        <v>1179</v>
      </c>
      <c r="F38" s="1121">
        <f ca="1">INDIRECT("'数据-取费表'!Am"&amp;$G$1)</f>
        <v>0.03</v>
      </c>
      <c r="G38" s="1411"/>
      <c r="H38" s="2627"/>
      <c r="I38" s="1424"/>
      <c r="J38" s="1425"/>
      <c r="K38" s="2625"/>
      <c r="L38" s="2627"/>
      <c r="M38" s="2627"/>
    </row>
    <row r="39" spans="1:18" ht="24.6" customHeight="1" thickTop="1">
      <c r="A39" s="1114" t="s">
        <v>818</v>
      </c>
      <c r="B39" s="1129" t="s">
        <v>1207</v>
      </c>
      <c r="C39" s="300">
        <f ca="1">C5-C30</f>
        <v>14893</v>
      </c>
      <c r="D39" s="1130" t="s">
        <v>1208</v>
      </c>
      <c r="E39" s="1131"/>
      <c r="F39" s="1132"/>
      <c r="G39" s="1411"/>
      <c r="H39" s="2627">
        <f ca="1">C39/C5</f>
        <v>0.76859162925117408</v>
      </c>
      <c r="I39" s="1424"/>
      <c r="J39" s="1425"/>
      <c r="K39" s="2625"/>
      <c r="L39" s="2627"/>
      <c r="M39" s="2627"/>
    </row>
    <row r="40" spans="1:18" ht="18" customHeight="1">
      <c r="A40" s="289" t="s">
        <v>819</v>
      </c>
      <c r="B40" s="290" t="s">
        <v>1209</v>
      </c>
      <c r="C40" s="291">
        <f ca="1">ROUND(C39*(1-((1+F42)/(1+F40))^F41)/(F40-F42),0)</f>
        <v>272121</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55429</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-325706</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272121</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39974</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228531</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272121</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33178</v>
      </c>
      <c r="D56" s="1471"/>
      <c r="E56" s="1472"/>
      <c r="F56" s="1464"/>
      <c r="I56" s="1473" t="s">
        <v>1278</v>
      </c>
      <c r="J56" s="1474" t="s">
        <v>3484</v>
      </c>
      <c r="K56" s="1447" t="s">
        <v>1279</v>
      </c>
      <c r="L56" s="1450" t="str">
        <f ca="1">IF(L48&lt;J51,"——",L48-J53)</f>
        <v>——</v>
      </c>
      <c r="O56" s="1444" t="s">
        <v>827</v>
      </c>
      <c r="P56" s="1445" t="s">
        <v>1252</v>
      </c>
      <c r="Q56" s="1446">
        <f ca="1">C40+J29</f>
        <v>272121</v>
      </c>
      <c r="R56" s="1446" t="s">
        <v>1253</v>
      </c>
    </row>
    <row r="57" spans="1:18" s="1411" customFormat="1" ht="24.75" thickBot="1">
      <c r="A57" s="1475"/>
      <c r="B57" s="992" t="s">
        <v>1202</v>
      </c>
      <c r="C57" s="228">
        <f ca="1">C29</f>
        <v>39974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4016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3367</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3357.82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272121</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599.6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49.8</v>
      </c>
      <c r="D65" s="1006" t="s">
        <v>1178</v>
      </c>
      <c r="E65" s="992" t="s">
        <v>1179</v>
      </c>
      <c r="F65" s="319">
        <f t="shared" ca="1" si="0"/>
        <v>1.5E-3</v>
      </c>
      <c r="I65" s="1486" t="s">
        <v>1303</v>
      </c>
      <c r="J65" s="610">
        <v>40</v>
      </c>
      <c r="K65" s="610">
        <v>30</v>
      </c>
      <c r="L65" s="610">
        <v>50</v>
      </c>
      <c r="M65" s="1488">
        <v>0.02</v>
      </c>
      <c r="O65" s="1444" t="s">
        <v>827</v>
      </c>
      <c r="P65" s="1445" t="s">
        <v>1304</v>
      </c>
      <c r="Q65" s="1446">
        <f ca="1">C40+J29</f>
        <v>272121</v>
      </c>
      <c r="R65" s="1446" t="s">
        <v>1253</v>
      </c>
    </row>
    <row r="66" spans="1:18" s="1411" customFormat="1" ht="16.5" thickBot="1">
      <c r="A66" s="1024" t="s">
        <v>1228</v>
      </c>
      <c r="B66" s="992" t="s">
        <v>1163</v>
      </c>
      <c r="C66" s="23">
        <f ca="1">ROUND(C48*F66,1)</f>
        <v>0</v>
      </c>
      <c r="D66" s="1006" t="s">
        <v>1229</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-4016</v>
      </c>
      <c r="D67" s="1005" t="s">
        <v>1188</v>
      </c>
      <c r="E67" s="1010"/>
      <c r="F67" s="1011"/>
      <c r="O67" s="1453" t="s">
        <v>829</v>
      </c>
      <c r="P67" s="1445" t="s">
        <v>1286</v>
      </c>
      <c r="Q67" s="1489">
        <f ca="1">L51</f>
        <v>228531</v>
      </c>
      <c r="R67" s="1446" t="s">
        <v>1306</v>
      </c>
    </row>
    <row r="68" spans="1:18" s="1411" customFormat="1" ht="16.5" thickBot="1">
      <c r="A68" s="989" t="s">
        <v>819</v>
      </c>
      <c r="B68" s="990" t="s">
        <v>1209</v>
      </c>
      <c r="C68" s="291">
        <f ca="1">ROUND(C67*(1-((1+F70)/(1+F68))^F69)/(F68-F70),0)</f>
        <v>-53585</v>
      </c>
      <c r="D68" s="1007" t="s">
        <v>1193</v>
      </c>
      <c r="E68" s="992" t="s">
        <v>1194</v>
      </c>
      <c r="F68" s="302">
        <f ca="1">F40</f>
        <v>0.06</v>
      </c>
      <c r="O68" s="1453" t="s">
        <v>830</v>
      </c>
      <c r="P68" s="1490" t="s">
        <v>1307</v>
      </c>
      <c r="Q68" s="1446">
        <f ca="1">ROUND(Q69-Q70*Q71,0)</f>
        <v>12073</v>
      </c>
      <c r="R68" s="1446" t="s">
        <v>838</v>
      </c>
    </row>
    <row r="69" spans="1:18" s="1411" customFormat="1" ht="13.5" thickBot="1">
      <c r="A69" s="993"/>
      <c r="B69" s="994"/>
      <c r="C69" s="296"/>
      <c r="D69" s="1012" t="s">
        <v>1197</v>
      </c>
      <c r="E69" s="992" t="s">
        <v>1198</v>
      </c>
      <c r="F69" s="322">
        <f ca="1">F41</f>
        <v>27.67</v>
      </c>
      <c r="O69" s="1453" t="s">
        <v>835</v>
      </c>
      <c r="P69" s="1490" t="s">
        <v>1308</v>
      </c>
      <c r="Q69" s="1446">
        <f ca="1">C39</f>
        <v>14893</v>
      </c>
      <c r="R69" s="1446" t="s">
        <v>1253</v>
      </c>
    </row>
    <row r="70" spans="1:18" s="1411" customFormat="1" ht="13.5" thickBot="1">
      <c r="A70" s="996"/>
      <c r="B70" s="997"/>
      <c r="C70" s="300"/>
      <c r="D70" s="1008"/>
      <c r="E70" s="992" t="s">
        <v>1201</v>
      </c>
      <c r="F70" s="1088"/>
      <c r="O70" s="1453" t="s">
        <v>836</v>
      </c>
      <c r="P70" s="1490" t="s">
        <v>1309</v>
      </c>
      <c r="Q70" s="1446">
        <f ca="1">C13</f>
        <v>33178</v>
      </c>
      <c r="R70" s="1446" t="s">
        <v>1253</v>
      </c>
    </row>
    <row r="71" spans="1:18" s="1411" customFormat="1" ht="13.5" thickBot="1">
      <c r="A71" s="1013" t="s">
        <v>820</v>
      </c>
      <c r="B71" s="1014" t="s">
        <v>1211</v>
      </c>
      <c r="C71" s="325">
        <f ca="1">ROUND(C68*10000/F71,0)</f>
        <v>-10915</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2820</v>
      </c>
      <c r="D75" s="1411"/>
      <c r="E75" s="1411"/>
      <c r="F75" s="1411"/>
      <c r="K75" s="1428"/>
      <c r="L75" s="1411"/>
      <c r="O75" s="1444" t="s">
        <v>833</v>
      </c>
      <c r="P75" s="1445" t="s">
        <v>1273</v>
      </c>
      <c r="Q75" s="1446">
        <f ca="1">Q65+Q66</f>
        <v>272121</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0.81099999999999994</v>
      </c>
    </row>
    <row r="80" spans="1:18">
      <c r="B80" s="329" t="s">
        <v>1235</v>
      </c>
      <c r="C80" s="264">
        <f ca="1">ROUND(C75/C39,3)</f>
        <v>0.189</v>
      </c>
    </row>
    <row r="81" spans="2:3">
      <c r="B81" s="260" t="s">
        <v>1236</v>
      </c>
      <c r="C81" s="228"/>
    </row>
    <row r="82" spans="2:3">
      <c r="B82" s="263" t="s">
        <v>1237</v>
      </c>
      <c r="C82" s="265">
        <f ca="1">1-C83</f>
        <v>0.878</v>
      </c>
    </row>
    <row r="83" spans="2:3">
      <c r="B83" s="263" t="s">
        <v>1238</v>
      </c>
      <c r="C83" s="264">
        <f ca="1">ROUND(C13/C40,3)</f>
        <v>0.122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33" t="s">
        <v>2813</v>
      </c>
      <c r="K2" s="3334"/>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35" t="s">
        <v>2823</v>
      </c>
      <c r="K3" s="3336"/>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35" t="s">
        <v>2825</v>
      </c>
      <c r="K4" s="3336"/>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41" t="s">
        <v>2829</v>
      </c>
      <c r="B6" s="3342"/>
      <c r="C6" s="3343"/>
      <c r="D6" s="2777"/>
      <c r="E6" s="2778"/>
      <c r="F6" s="2779"/>
      <c r="G6" s="2780"/>
      <c r="H6" s="2755"/>
      <c r="I6" s="2756"/>
      <c r="J6" s="3327">
        <v>1</v>
      </c>
      <c r="K6" s="3328"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27"/>
      <c r="K7" s="3329"/>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44" t="s">
        <v>2843</v>
      </c>
      <c r="C8" s="3345"/>
      <c r="D8" s="2796" t="s">
        <v>2844</v>
      </c>
      <c r="E8" s="2797" t="s">
        <v>2845</v>
      </c>
      <c r="F8" s="2798" t="s">
        <v>2846</v>
      </c>
      <c r="G8" s="2799"/>
      <c r="H8" s="2755"/>
      <c r="I8" s="2756"/>
      <c r="J8" s="3327"/>
      <c r="K8" s="3329"/>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44" t="s">
        <v>2849</v>
      </c>
      <c r="C9" s="3345"/>
      <c r="D9" s="2796">
        <f>ROUND(D6*E9,0)</f>
        <v>0</v>
      </c>
      <c r="E9" s="2800"/>
      <c r="F9" s="2801" t="s">
        <v>2850</v>
      </c>
      <c r="G9" s="2780"/>
      <c r="H9" s="2755"/>
      <c r="I9" s="2756"/>
      <c r="J9" s="3327"/>
      <c r="K9" s="3329"/>
      <c r="L9" s="2790" t="s">
        <v>2851</v>
      </c>
      <c r="M9" s="2791"/>
      <c r="N9" s="2767"/>
      <c r="O9" s="2792"/>
      <c r="P9" s="2792"/>
      <c r="Q9" s="2793">
        <v>365</v>
      </c>
      <c r="R9" s="2794">
        <f t="shared" si="0"/>
        <v>0</v>
      </c>
      <c r="S9" s="2748"/>
      <c r="T9" s="2748"/>
      <c r="U9" s="2748"/>
      <c r="V9" s="2756"/>
    </row>
    <row r="10" spans="1:22" s="2760" customFormat="1" ht="13.15" customHeight="1">
      <c r="A10" s="2795">
        <v>2</v>
      </c>
      <c r="B10" s="3344" t="s">
        <v>2852</v>
      </c>
      <c r="C10" s="3345"/>
      <c r="D10" s="2796">
        <f>ROUND(D6*E10,0)</f>
        <v>0</v>
      </c>
      <c r="E10" s="2800"/>
      <c r="F10" s="2801" t="s">
        <v>2853</v>
      </c>
      <c r="G10" s="2780"/>
      <c r="H10" s="2755"/>
      <c r="I10" s="2756"/>
      <c r="J10" s="3327"/>
      <c r="K10" s="3329"/>
      <c r="L10" s="2790" t="s">
        <v>2854</v>
      </c>
      <c r="M10" s="2791"/>
      <c r="N10" s="2767"/>
      <c r="O10" s="2792"/>
      <c r="P10" s="2792"/>
      <c r="Q10" s="2793">
        <v>365</v>
      </c>
      <c r="R10" s="2794">
        <f t="shared" si="0"/>
        <v>0</v>
      </c>
      <c r="S10" s="2748"/>
      <c r="T10" s="2748"/>
      <c r="U10" s="2748"/>
      <c r="V10" s="2756"/>
    </row>
    <row r="11" spans="1:22" s="2760" customFormat="1" ht="13.15" customHeight="1">
      <c r="A11" s="2795">
        <v>3</v>
      </c>
      <c r="B11" s="3344" t="s">
        <v>2855</v>
      </c>
      <c r="C11" s="3345"/>
      <c r="D11" s="2796">
        <f>D12+D14+D15+D16</f>
        <v>0</v>
      </c>
      <c r="E11" s="2802" t="e">
        <f>D11/D6</f>
        <v>#DIV/0!</v>
      </c>
      <c r="F11" s="2798"/>
      <c r="G11" s="2799"/>
      <c r="H11" s="2755"/>
      <c r="I11" s="2756"/>
      <c r="J11" s="3327"/>
      <c r="K11" s="3329"/>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37" t="s">
        <v>2858</v>
      </c>
      <c r="C12" s="3338"/>
      <c r="D12" s="2804">
        <f>ROUND(D13*1.2%*(1-30%),0)</f>
        <v>0</v>
      </c>
      <c r="E12" s="2805">
        <v>1.2E-2</v>
      </c>
      <c r="F12" s="2798" t="s">
        <v>2859</v>
      </c>
      <c r="G12" s="2799"/>
      <c r="H12" s="2755"/>
      <c r="I12" s="2756"/>
      <c r="J12" s="3327"/>
      <c r="K12" s="3329"/>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27"/>
      <c r="K13" s="3329"/>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37" t="s">
        <v>2864</v>
      </c>
      <c r="C14" s="3338"/>
      <c r="D14" s="2804">
        <f>ROUND(E14*B5/10000,0)</f>
        <v>0</v>
      </c>
      <c r="E14" s="2793"/>
      <c r="F14" s="2798" t="s">
        <v>2865</v>
      </c>
      <c r="G14" s="2799"/>
      <c r="H14" s="2755"/>
      <c r="I14" s="2756"/>
      <c r="J14" s="3327"/>
      <c r="K14" s="3330"/>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37" t="s">
        <v>2868</v>
      </c>
      <c r="C15" s="3338"/>
      <c r="D15" s="2804">
        <f>ROUND(D6*E15,0)</f>
        <v>0</v>
      </c>
      <c r="E15" s="2805">
        <v>5.5E-2</v>
      </c>
      <c r="F15" s="2798" t="s">
        <v>2869</v>
      </c>
      <c r="G15" s="2780"/>
      <c r="H15" s="2755"/>
      <c r="I15" s="2756"/>
      <c r="J15" s="3327">
        <v>2</v>
      </c>
      <c r="K15" s="3328"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37" t="s">
        <v>2877</v>
      </c>
      <c r="C16" s="3338"/>
      <c r="D16" s="2815">
        <f>D6*E16</f>
        <v>0</v>
      </c>
      <c r="E16" s="2816"/>
      <c r="F16" s="2801" t="s">
        <v>2878</v>
      </c>
      <c r="G16" s="2780"/>
      <c r="H16" s="2755"/>
      <c r="I16" s="2756"/>
      <c r="J16" s="3327"/>
      <c r="K16" s="3329"/>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39" t="s">
        <v>2880</v>
      </c>
      <c r="C17" s="3340"/>
      <c r="D17" s="2818">
        <f>ROUND(D6*E17,0)</f>
        <v>0</v>
      </c>
      <c r="E17" s="2819"/>
      <c r="F17" s="2820" t="s">
        <v>2881</v>
      </c>
      <c r="G17" s="2780"/>
      <c r="H17" s="2755"/>
      <c r="I17" s="2756"/>
      <c r="J17" s="3327"/>
      <c r="K17" s="3329"/>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27"/>
      <c r="K18" s="3329"/>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27"/>
      <c r="K19" s="3330"/>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27">
        <v>3</v>
      </c>
      <c r="K20" s="3328"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27"/>
      <c r="K21" s="3329"/>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27"/>
      <c r="K22" s="3329"/>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27"/>
      <c r="K23" s="3329"/>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27"/>
      <c r="K24" s="3330"/>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31">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32"/>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33" t="s">
        <v>2813</v>
      </c>
      <c r="K32" s="3334"/>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35" t="s">
        <v>2823</v>
      </c>
      <c r="K33" s="3336"/>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35" t="s">
        <v>2825</v>
      </c>
      <c r="K34" s="3336"/>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27">
        <v>1</v>
      </c>
      <c r="K36" s="3328"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27"/>
      <c r="K37" s="3329"/>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27"/>
      <c r="K38" s="3329"/>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27"/>
      <c r="K39" s="3329"/>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27"/>
      <c r="K40" s="3330"/>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31">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32"/>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56" t="s">
        <v>2114</v>
      </c>
      <c r="D4" s="3268"/>
      <c r="E4" s="3269" t="s">
        <v>2115</v>
      </c>
      <c r="F4" s="3270"/>
      <c r="G4" s="3256" t="s">
        <v>2116</v>
      </c>
      <c r="H4" s="3268"/>
      <c r="I4" s="3256" t="s">
        <v>2117</v>
      </c>
      <c r="J4" s="3268"/>
      <c r="K4" s="1864" t="s">
        <v>2118</v>
      </c>
      <c r="L4" s="2640"/>
      <c r="M4" s="2641"/>
      <c r="N4" s="2641"/>
      <c r="O4" s="2641"/>
      <c r="P4" s="3271" t="s">
        <v>2119</v>
      </c>
      <c r="Q4" s="3272"/>
      <c r="R4" s="3277" t="s">
        <v>2115</v>
      </c>
      <c r="S4" s="3278"/>
      <c r="T4" s="3277" t="s">
        <v>2116</v>
      </c>
      <c r="U4" s="3278"/>
      <c r="V4" s="3264" t="s">
        <v>2117</v>
      </c>
      <c r="W4" s="3264"/>
      <c r="X4" s="1384"/>
      <c r="Y4" s="3277" t="s">
        <v>2119</v>
      </c>
      <c r="Z4" s="3278"/>
      <c r="AA4" s="3265" t="s">
        <v>2115</v>
      </c>
      <c r="AB4" s="3265" t="s">
        <v>2116</v>
      </c>
      <c r="AC4" s="3265" t="s">
        <v>2117</v>
      </c>
    </row>
    <row r="5" spans="1:29" ht="15">
      <c r="A5" s="346"/>
      <c r="B5" s="347"/>
      <c r="C5" s="3285" t="s">
        <v>2120</v>
      </c>
      <c r="D5" s="3286"/>
      <c r="E5" s="3292" t="s">
        <v>2121</v>
      </c>
      <c r="F5" s="3293"/>
      <c r="G5" s="3285" t="s">
        <v>2122</v>
      </c>
      <c r="H5" s="3286"/>
      <c r="I5" s="3285" t="s">
        <v>2123</v>
      </c>
      <c r="J5" s="3286"/>
      <c r="K5" s="1865"/>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1865"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87" t="s">
        <v>2127</v>
      </c>
      <c r="Q7" s="3289"/>
      <c r="R7" s="661" t="s">
        <v>23</v>
      </c>
      <c r="S7" s="662">
        <f t="shared" ref="S7:S15" si="0">F7</f>
        <v>0</v>
      </c>
      <c r="T7" s="661" t="s">
        <v>23</v>
      </c>
      <c r="U7" s="662">
        <f t="shared" ref="U7:U15" si="1">H7</f>
        <v>0</v>
      </c>
      <c r="V7" s="661" t="s">
        <v>23</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87" t="s">
        <v>2130</v>
      </c>
      <c r="Q8" s="3288"/>
      <c r="R8" s="661" t="s">
        <v>23</v>
      </c>
      <c r="S8" s="662">
        <f t="shared" si="0"/>
        <v>0</v>
      </c>
      <c r="T8" s="661" t="s">
        <v>23</v>
      </c>
      <c r="U8" s="662">
        <f t="shared" si="1"/>
        <v>0</v>
      </c>
      <c r="V8" s="661" t="s">
        <v>23</v>
      </c>
      <c r="W8" s="662">
        <f t="shared" si="2"/>
        <v>0</v>
      </c>
      <c r="X8" s="663"/>
      <c r="Y8" s="3287" t="s">
        <v>2130</v>
      </c>
      <c r="Z8" s="3288"/>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58"/>
      <c r="Q11" s="530" t="str">
        <f t="shared" si="6"/>
        <v>容积率</v>
      </c>
      <c r="R11" s="661" t="s">
        <v>21</v>
      </c>
      <c r="S11" s="662" t="e">
        <f t="shared" si="0"/>
        <v>#N/A</v>
      </c>
      <c r="T11" s="661" t="s">
        <v>21</v>
      </c>
      <c r="U11" s="662" t="e">
        <f t="shared" si="1"/>
        <v>#N/A</v>
      </c>
      <c r="V11" s="661" t="s">
        <v>21</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58"/>
      <c r="Q12" s="530">
        <f t="shared" si="6"/>
        <v>111</v>
      </c>
      <c r="R12" s="661" t="s">
        <v>21</v>
      </c>
      <c r="S12" s="662">
        <f t="shared" si="0"/>
        <v>100</v>
      </c>
      <c r="T12" s="661" t="s">
        <v>21</v>
      </c>
      <c r="U12" s="662">
        <f t="shared" si="1"/>
        <v>100</v>
      </c>
      <c r="V12" s="661" t="s">
        <v>21</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58"/>
      <c r="Q13" s="530">
        <f t="shared" si="6"/>
        <v>111</v>
      </c>
      <c r="R13" s="661" t="s">
        <v>21</v>
      </c>
      <c r="S13" s="662">
        <f t="shared" si="0"/>
        <v>100</v>
      </c>
      <c r="T13" s="661" t="s">
        <v>21</v>
      </c>
      <c r="U13" s="662">
        <f t="shared" si="1"/>
        <v>100</v>
      </c>
      <c r="V13" s="661" t="s">
        <v>21</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58"/>
      <c r="Q14" s="530">
        <f t="shared" si="6"/>
        <v>111</v>
      </c>
      <c r="R14" s="661" t="s">
        <v>21</v>
      </c>
      <c r="S14" s="662">
        <f t="shared" si="0"/>
        <v>100</v>
      </c>
      <c r="T14" s="661" t="s">
        <v>21</v>
      </c>
      <c r="U14" s="662">
        <f t="shared" si="1"/>
        <v>100</v>
      </c>
      <c r="V14" s="661" t="s">
        <v>21</v>
      </c>
      <c r="W14" s="662">
        <f t="shared" si="2"/>
        <v>100</v>
      </c>
      <c r="X14" s="663"/>
      <c r="Y14" s="3156"/>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00" t="s">
        <v>2138</v>
      </c>
      <c r="Q15" s="1382" t="str">
        <f t="shared" si="6"/>
        <v>居住社区成熟度</v>
      </c>
      <c r="R15" s="664" t="s">
        <v>21</v>
      </c>
      <c r="S15" s="665">
        <f t="shared" si="0"/>
        <v>100</v>
      </c>
      <c r="T15" s="664" t="s">
        <v>21</v>
      </c>
      <c r="U15" s="665">
        <f t="shared" si="1"/>
        <v>100</v>
      </c>
      <c r="V15" s="664" t="s">
        <v>21</v>
      </c>
      <c r="W15" s="665">
        <f t="shared" si="2"/>
        <v>100</v>
      </c>
      <c r="X15" s="1384"/>
      <c r="Y15" s="3260"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01"/>
      <c r="Q16" s="1382"/>
      <c r="R16" s="664"/>
      <c r="S16" s="665"/>
      <c r="T16" s="664"/>
      <c r="U16" s="665"/>
      <c r="V16" s="664"/>
      <c r="W16" s="665"/>
      <c r="X16" s="1384"/>
      <c r="Y16" s="3261"/>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01"/>
      <c r="Q17" s="1382" t="str">
        <f>B17</f>
        <v>交通便捷度</v>
      </c>
      <c r="R17" s="664" t="s">
        <v>21</v>
      </c>
      <c r="S17" s="665">
        <f>F17</f>
        <v>100</v>
      </c>
      <c r="T17" s="664" t="s">
        <v>21</v>
      </c>
      <c r="U17" s="665">
        <f>H17</f>
        <v>100</v>
      </c>
      <c r="V17" s="664" t="s">
        <v>21</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01"/>
      <c r="Q18" s="1382"/>
      <c r="R18" s="664"/>
      <c r="S18" s="665"/>
      <c r="T18" s="664"/>
      <c r="U18" s="665"/>
      <c r="V18" s="664"/>
      <c r="W18" s="665"/>
      <c r="X18" s="1384"/>
      <c r="Y18" s="3261"/>
      <c r="Z18" s="1383"/>
      <c r="AA18" s="1383">
        <v>1</v>
      </c>
      <c r="AB18" s="1383">
        <v>1</v>
      </c>
      <c r="AC18" s="1383">
        <v>1</v>
      </c>
    </row>
    <row r="19" spans="1:29" ht="42.75">
      <c r="A19" s="367"/>
      <c r="B19" s="390" t="s">
        <v>1701</v>
      </c>
      <c r="C19" s="1874" t="str">
        <f>估价对象房地状况!C7</f>
        <v>估价对象所在区域公共配套设施齐备好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01"/>
      <c r="Q19" s="1382" t="str">
        <f>B19</f>
        <v>公共配套设施</v>
      </c>
      <c r="R19" s="664" t="s">
        <v>21</v>
      </c>
      <c r="S19" s="665">
        <f>F19</f>
        <v>100</v>
      </c>
      <c r="T19" s="664" t="s">
        <v>21</v>
      </c>
      <c r="U19" s="665">
        <f>H19</f>
        <v>100</v>
      </c>
      <c r="V19" s="664" t="s">
        <v>21</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01"/>
      <c r="Q20" s="1382"/>
      <c r="R20" s="664"/>
      <c r="S20" s="665"/>
      <c r="T20" s="664"/>
      <c r="U20" s="665"/>
      <c r="V20" s="664"/>
      <c r="W20" s="665"/>
      <c r="X20" s="1384"/>
      <c r="Y20" s="3261"/>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01"/>
      <c r="Q22" s="1382"/>
      <c r="R22" s="664"/>
      <c r="S22" s="665"/>
      <c r="T22" s="664"/>
      <c r="U22" s="665"/>
      <c r="V22" s="664"/>
      <c r="W22" s="665"/>
      <c r="X22" s="1384"/>
      <c r="Y22" s="3261"/>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01"/>
      <c r="Q23" s="1382" t="str">
        <f>B23</f>
        <v>自然及人文环境</v>
      </c>
      <c r="R23" s="664" t="s">
        <v>21</v>
      </c>
      <c r="S23" s="665">
        <f>F23</f>
        <v>100</v>
      </c>
      <c r="T23" s="664" t="s">
        <v>21</v>
      </c>
      <c r="U23" s="665">
        <f>H23</f>
        <v>100</v>
      </c>
      <c r="V23" s="664" t="s">
        <v>21</v>
      </c>
      <c r="W23" s="665">
        <f>J23</f>
        <v>100</v>
      </c>
      <c r="X23" s="1384"/>
      <c r="Y23" s="3261"/>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01"/>
      <c r="Q24" s="1382"/>
      <c r="R24" s="664"/>
      <c r="S24" s="665"/>
      <c r="T24" s="664"/>
      <c r="U24" s="665"/>
      <c r="V24" s="664"/>
      <c r="W24" s="665"/>
      <c r="X24" s="1384"/>
      <c r="Y24" s="3261"/>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01"/>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61"/>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01"/>
      <c r="Q26" s="1382" t="str">
        <f t="shared" si="11"/>
        <v>朝向</v>
      </c>
      <c r="R26" s="664" t="s">
        <v>21</v>
      </c>
      <c r="S26" s="665">
        <f t="shared" si="12"/>
        <v>100</v>
      </c>
      <c r="T26" s="664" t="s">
        <v>21</v>
      </c>
      <c r="U26" s="665">
        <f t="shared" si="13"/>
        <v>100</v>
      </c>
      <c r="V26" s="664" t="s">
        <v>21</v>
      </c>
      <c r="W26" s="665">
        <f t="shared" si="14"/>
        <v>100</v>
      </c>
      <c r="X26" s="1384"/>
      <c r="Y26" s="3261"/>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01"/>
      <c r="Q27" s="530">
        <f t="shared" si="11"/>
        <v>111</v>
      </c>
      <c r="R27" s="661" t="s">
        <v>21</v>
      </c>
      <c r="S27" s="662">
        <f t="shared" si="12"/>
        <v>100</v>
      </c>
      <c r="T27" s="661" t="s">
        <v>21</v>
      </c>
      <c r="U27" s="662">
        <f t="shared" si="13"/>
        <v>100</v>
      </c>
      <c r="V27" s="661" t="s">
        <v>21</v>
      </c>
      <c r="W27" s="662">
        <f t="shared" si="14"/>
        <v>100</v>
      </c>
      <c r="X27" s="663"/>
      <c r="Y27" s="3261"/>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01"/>
      <c r="Q28" s="1382">
        <f t="shared" si="11"/>
        <v>111</v>
      </c>
      <c r="R28" s="664" t="s">
        <v>21</v>
      </c>
      <c r="S28" s="665">
        <f t="shared" si="12"/>
        <v>100</v>
      </c>
      <c r="T28" s="664" t="s">
        <v>21</v>
      </c>
      <c r="U28" s="665">
        <f t="shared" si="13"/>
        <v>100</v>
      </c>
      <c r="V28" s="664" t="s">
        <v>21</v>
      </c>
      <c r="W28" s="665">
        <f t="shared" si="14"/>
        <v>100</v>
      </c>
      <c r="X28" s="1384"/>
      <c r="Y28" s="3261"/>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01"/>
      <c r="Q29" s="1382">
        <f t="shared" si="11"/>
        <v>111</v>
      </c>
      <c r="R29" s="664" t="s">
        <v>21</v>
      </c>
      <c r="S29" s="665">
        <f t="shared" si="12"/>
        <v>100</v>
      </c>
      <c r="T29" s="664" t="s">
        <v>21</v>
      </c>
      <c r="U29" s="665">
        <f t="shared" si="13"/>
        <v>100</v>
      </c>
      <c r="V29" s="664" t="s">
        <v>21</v>
      </c>
      <c r="W29" s="665">
        <f t="shared" si="14"/>
        <v>100</v>
      </c>
      <c r="X29" s="1384"/>
      <c r="Y29" s="3261"/>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01"/>
      <c r="Q30" s="1382">
        <f t="shared" si="11"/>
        <v>111</v>
      </c>
      <c r="R30" s="664" t="s">
        <v>21</v>
      </c>
      <c r="S30" s="665">
        <f t="shared" si="12"/>
        <v>100</v>
      </c>
      <c r="T30" s="664" t="s">
        <v>21</v>
      </c>
      <c r="U30" s="665">
        <f t="shared" si="13"/>
        <v>100</v>
      </c>
      <c r="V30" s="664" t="s">
        <v>21</v>
      </c>
      <c r="W30" s="665">
        <f t="shared" si="14"/>
        <v>100</v>
      </c>
      <c r="X30" s="1384"/>
      <c r="Y30" s="3261"/>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01"/>
      <c r="Q31" s="1382">
        <f t="shared" si="11"/>
        <v>111</v>
      </c>
      <c r="R31" s="664" t="s">
        <v>21</v>
      </c>
      <c r="S31" s="665">
        <f t="shared" si="12"/>
        <v>100</v>
      </c>
      <c r="T31" s="664" t="s">
        <v>21</v>
      </c>
      <c r="U31" s="665">
        <f t="shared" si="13"/>
        <v>100</v>
      </c>
      <c r="V31" s="664" t="s">
        <v>21</v>
      </c>
      <c r="W31" s="665">
        <f t="shared" si="14"/>
        <v>100</v>
      </c>
      <c r="X31" s="1384"/>
      <c r="Y31" s="3261"/>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02" t="s">
        <v>2143</v>
      </c>
      <c r="Q32" s="1382" t="str">
        <f t="shared" si="11"/>
        <v>建筑类型</v>
      </c>
      <c r="R32" s="664" t="s">
        <v>21</v>
      </c>
      <c r="S32" s="665">
        <f t="shared" si="12"/>
        <v>100</v>
      </c>
      <c r="T32" s="664" t="s">
        <v>21</v>
      </c>
      <c r="U32" s="665">
        <f t="shared" si="13"/>
        <v>100</v>
      </c>
      <c r="V32" s="664" t="s">
        <v>21</v>
      </c>
      <c r="W32" s="665">
        <f t="shared" si="14"/>
        <v>100</v>
      </c>
      <c r="X32" s="1384"/>
      <c r="Y32" s="3263"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03"/>
      <c r="Q33" s="531" t="str">
        <f t="shared" si="11"/>
        <v>项目建筑规模</v>
      </c>
      <c r="R33" s="666" t="s">
        <v>21</v>
      </c>
      <c r="S33" s="667" t="e">
        <f t="shared" si="12"/>
        <v>#N/A</v>
      </c>
      <c r="T33" s="666" t="s">
        <v>21</v>
      </c>
      <c r="U33" s="667" t="e">
        <f t="shared" si="13"/>
        <v>#N/A</v>
      </c>
      <c r="V33" s="666" t="s">
        <v>21</v>
      </c>
      <c r="W33" s="667" t="e">
        <f t="shared" si="14"/>
        <v>#N/A</v>
      </c>
      <c r="X33" s="668"/>
      <c r="Y33" s="3263"/>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03"/>
      <c r="Q34" s="1382" t="str">
        <f t="shared" si="11"/>
        <v>建筑结构</v>
      </c>
      <c r="R34" s="664" t="s">
        <v>21</v>
      </c>
      <c r="S34" s="665">
        <f t="shared" si="12"/>
        <v>100</v>
      </c>
      <c r="T34" s="664" t="s">
        <v>21</v>
      </c>
      <c r="U34" s="665">
        <f t="shared" si="13"/>
        <v>100</v>
      </c>
      <c r="V34" s="664" t="s">
        <v>21</v>
      </c>
      <c r="W34" s="665">
        <f t="shared" si="14"/>
        <v>100</v>
      </c>
      <c r="X34" s="1384"/>
      <c r="Y34" s="3263"/>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03"/>
      <c r="Q35" s="1382" t="str">
        <f t="shared" si="11"/>
        <v>建筑品质</v>
      </c>
      <c r="R35" s="664" t="s">
        <v>21</v>
      </c>
      <c r="S35" s="665">
        <f t="shared" si="12"/>
        <v>100</v>
      </c>
      <c r="T35" s="664" t="s">
        <v>21</v>
      </c>
      <c r="U35" s="665">
        <f t="shared" si="13"/>
        <v>100</v>
      </c>
      <c r="V35" s="664" t="s">
        <v>21</v>
      </c>
      <c r="W35" s="665">
        <f t="shared" si="14"/>
        <v>100</v>
      </c>
      <c r="X35" s="1384"/>
      <c r="Y35" s="3263"/>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03"/>
      <c r="Q36" s="1382" t="str">
        <f t="shared" si="11"/>
        <v>公共部分装修</v>
      </c>
      <c r="R36" s="664" t="s">
        <v>21</v>
      </c>
      <c r="S36" s="665">
        <f t="shared" si="12"/>
        <v>100</v>
      </c>
      <c r="T36" s="664" t="s">
        <v>21</v>
      </c>
      <c r="U36" s="665">
        <f t="shared" si="13"/>
        <v>100</v>
      </c>
      <c r="V36" s="664" t="s">
        <v>21</v>
      </c>
      <c r="W36" s="665">
        <f t="shared" si="14"/>
        <v>100</v>
      </c>
      <c r="X36" s="1384"/>
      <c r="Y36" s="3263"/>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03"/>
      <c r="Q37" s="530" t="str">
        <f t="shared" si="11"/>
        <v>成新度</v>
      </c>
      <c r="R37" s="661" t="s">
        <v>21</v>
      </c>
      <c r="S37" s="662" t="e">
        <f t="shared" si="12"/>
        <v>#N/A</v>
      </c>
      <c r="T37" s="661" t="s">
        <v>21</v>
      </c>
      <c r="U37" s="662" t="e">
        <f t="shared" si="13"/>
        <v>#N/A</v>
      </c>
      <c r="V37" s="661" t="s">
        <v>21</v>
      </c>
      <c r="W37" s="662" t="e">
        <f t="shared" si="14"/>
        <v>#N/A</v>
      </c>
      <c r="X37" s="663"/>
      <c r="Y37" s="3263"/>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03" t="s">
        <v>2143</v>
      </c>
      <c r="Q38" s="1382" t="str">
        <f t="shared" si="11"/>
        <v>物业管理</v>
      </c>
      <c r="R38" s="664" t="s">
        <v>21</v>
      </c>
      <c r="S38" s="665">
        <f t="shared" si="12"/>
        <v>100</v>
      </c>
      <c r="T38" s="664" t="s">
        <v>21</v>
      </c>
      <c r="U38" s="665">
        <f t="shared" si="13"/>
        <v>100</v>
      </c>
      <c r="V38" s="664" t="s">
        <v>21</v>
      </c>
      <c r="W38" s="665">
        <f t="shared" si="14"/>
        <v>100</v>
      </c>
      <c r="X38" s="1384"/>
      <c r="Y38" s="3263"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03"/>
      <c r="Q39" s="1382" t="str">
        <f t="shared" si="11"/>
        <v>市政基础设施</v>
      </c>
      <c r="R39" s="664" t="s">
        <v>21</v>
      </c>
      <c r="S39" s="665">
        <f t="shared" si="12"/>
        <v>100</v>
      </c>
      <c r="T39" s="664" t="s">
        <v>21</v>
      </c>
      <c r="U39" s="665">
        <f t="shared" si="13"/>
        <v>100</v>
      </c>
      <c r="V39" s="664" t="s">
        <v>21</v>
      </c>
      <c r="W39" s="665">
        <f t="shared" si="14"/>
        <v>100</v>
      </c>
      <c r="X39" s="1384"/>
      <c r="Y39" s="3263"/>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03"/>
      <c r="Q40" s="1382" t="str">
        <f t="shared" si="11"/>
        <v>房型</v>
      </c>
      <c r="R40" s="664" t="s">
        <v>21</v>
      </c>
      <c r="S40" s="665">
        <f t="shared" si="12"/>
        <v>100</v>
      </c>
      <c r="T40" s="664" t="s">
        <v>21</v>
      </c>
      <c r="U40" s="665">
        <f t="shared" si="13"/>
        <v>100</v>
      </c>
      <c r="V40" s="664" t="s">
        <v>21</v>
      </c>
      <c r="W40" s="665">
        <f t="shared" si="14"/>
        <v>100</v>
      </c>
      <c r="X40" s="1384"/>
      <c r="Y40" s="3263"/>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03"/>
      <c r="Q41" s="531" t="str">
        <f t="shared" si="11"/>
        <v>单套/主力户型建筑面积</v>
      </c>
      <c r="R41" s="666" t="s">
        <v>21</v>
      </c>
      <c r="S41" s="667">
        <f t="shared" si="12"/>
        <v>100</v>
      </c>
      <c r="T41" s="666" t="s">
        <v>21</v>
      </c>
      <c r="U41" s="667">
        <f t="shared" si="13"/>
        <v>100</v>
      </c>
      <c r="V41" s="666" t="s">
        <v>21</v>
      </c>
      <c r="W41" s="667">
        <f t="shared" si="14"/>
        <v>100</v>
      </c>
      <c r="X41" s="668"/>
      <c r="Y41" s="3263"/>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03"/>
      <c r="Q42" s="1382" t="str">
        <f t="shared" si="11"/>
        <v>内部装修</v>
      </c>
      <c r="R42" s="664" t="s">
        <v>21</v>
      </c>
      <c r="S42" s="665">
        <f t="shared" si="12"/>
        <v>100</v>
      </c>
      <c r="T42" s="664" t="s">
        <v>21</v>
      </c>
      <c r="U42" s="665">
        <f t="shared" si="13"/>
        <v>100</v>
      </c>
      <c r="V42" s="664" t="s">
        <v>21</v>
      </c>
      <c r="W42" s="665">
        <f t="shared" si="14"/>
        <v>100</v>
      </c>
      <c r="X42" s="1384"/>
      <c r="Y42" s="3263"/>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03"/>
      <c r="Q43" s="1382" t="str">
        <f t="shared" si="11"/>
        <v>内部装修维护情况</v>
      </c>
      <c r="R43" s="664" t="s">
        <v>21</v>
      </c>
      <c r="S43" s="665">
        <f t="shared" si="12"/>
        <v>100</v>
      </c>
      <c r="T43" s="664" t="s">
        <v>21</v>
      </c>
      <c r="U43" s="665">
        <f t="shared" si="13"/>
        <v>100</v>
      </c>
      <c r="V43" s="664" t="s">
        <v>21</v>
      </c>
      <c r="W43" s="665">
        <f t="shared" si="14"/>
        <v>100</v>
      </c>
      <c r="X43" s="1384"/>
      <c r="Y43" s="3263"/>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03"/>
      <c r="Q44" s="530">
        <f t="shared" si="11"/>
        <v>111</v>
      </c>
      <c r="R44" s="661" t="s">
        <v>21</v>
      </c>
      <c r="S44" s="662">
        <f t="shared" si="12"/>
        <v>100</v>
      </c>
      <c r="T44" s="661" t="s">
        <v>21</v>
      </c>
      <c r="U44" s="662">
        <f t="shared" si="13"/>
        <v>100</v>
      </c>
      <c r="V44" s="661" t="s">
        <v>21</v>
      </c>
      <c r="W44" s="662">
        <f t="shared" si="14"/>
        <v>100</v>
      </c>
      <c r="X44" s="663"/>
      <c r="Y44" s="3263"/>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03"/>
      <c r="Q45" s="1382">
        <f t="shared" si="11"/>
        <v>111</v>
      </c>
      <c r="R45" s="664" t="s">
        <v>21</v>
      </c>
      <c r="S45" s="665">
        <f t="shared" si="12"/>
        <v>100</v>
      </c>
      <c r="T45" s="664" t="s">
        <v>21</v>
      </c>
      <c r="U45" s="665">
        <f t="shared" si="13"/>
        <v>100</v>
      </c>
      <c r="V45" s="664" t="s">
        <v>21</v>
      </c>
      <c r="W45" s="665">
        <f t="shared" si="14"/>
        <v>100</v>
      </c>
      <c r="X45" s="1384"/>
      <c r="Y45" s="3263"/>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04"/>
      <c r="Q46" s="1382">
        <f t="shared" si="11"/>
        <v>111</v>
      </c>
      <c r="R46" s="664" t="s">
        <v>20</v>
      </c>
      <c r="S46" s="665">
        <f t="shared" si="12"/>
        <v>100</v>
      </c>
      <c r="T46" s="664" t="s">
        <v>20</v>
      </c>
      <c r="U46" s="665">
        <f t="shared" si="13"/>
        <v>100</v>
      </c>
      <c r="V46" s="664" t="s">
        <v>20</v>
      </c>
      <c r="W46" s="665">
        <f t="shared" si="14"/>
        <v>100</v>
      </c>
      <c r="X46" s="1384"/>
      <c r="Y46" s="3305"/>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59" t="str">
        <f>A47</f>
        <v>成交单价（元/平方米）</v>
      </c>
      <c r="Q47" s="3259"/>
      <c r="R47" s="3264">
        <f>E47</f>
        <v>0</v>
      </c>
      <c r="S47" s="3264"/>
      <c r="T47" s="3264">
        <f>G47</f>
        <v>0</v>
      </c>
      <c r="U47" s="3264"/>
      <c r="V47" s="3264">
        <f>I47</f>
        <v>0</v>
      </c>
      <c r="W47" s="3264"/>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59" t="str">
        <f>A48</f>
        <v>比较价值（元/平方米）</v>
      </c>
      <c r="Q48" s="325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253" t="str">
        <f>A49</f>
        <v>估价对象XX用房的比较价值（楼面单价，元/平方米）</v>
      </c>
      <c r="Q49" s="3254"/>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4"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4"/>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4"/>
      <c r="AC6" s="3267"/>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58"/>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58"/>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58"/>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58"/>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00" t="s">
        <v>2138</v>
      </c>
      <c r="Q15" s="1382" t="str">
        <f t="shared" si="6"/>
        <v>商业繁华度</v>
      </c>
      <c r="R15" s="664" t="s">
        <v>17</v>
      </c>
      <c r="S15" s="665">
        <f t="shared" si="0"/>
        <v>100</v>
      </c>
      <c r="T15" s="664" t="s">
        <v>17</v>
      </c>
      <c r="U15" s="665">
        <f t="shared" si="1"/>
        <v>100</v>
      </c>
      <c r="V15" s="664" t="s">
        <v>17</v>
      </c>
      <c r="W15" s="665">
        <f t="shared" si="2"/>
        <v>100</v>
      </c>
      <c r="X15" s="1384"/>
      <c r="Y15" s="3260"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01"/>
      <c r="Q16" s="1382"/>
      <c r="R16" s="664"/>
      <c r="S16" s="665"/>
      <c r="T16" s="664"/>
      <c r="U16" s="665"/>
      <c r="V16" s="664"/>
      <c r="W16" s="665"/>
      <c r="X16" s="1384"/>
      <c r="Y16" s="3261"/>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0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01"/>
      <c r="Q18" s="1382"/>
      <c r="R18" s="664"/>
      <c r="S18" s="665"/>
      <c r="T18" s="664"/>
      <c r="U18" s="665"/>
      <c r="V18" s="664"/>
      <c r="W18" s="665"/>
      <c r="X18" s="1384"/>
      <c r="Y18" s="3261"/>
      <c r="Z18" s="1383"/>
      <c r="AA18" s="1383">
        <v>1</v>
      </c>
      <c r="AB18" s="1383">
        <v>1</v>
      </c>
      <c r="AC18" s="1383">
        <v>1</v>
      </c>
    </row>
    <row r="19" spans="1:29" ht="42.75">
      <c r="A19" s="367"/>
      <c r="B19" s="390" t="s">
        <v>2232</v>
      </c>
      <c r="C19" s="1874" t="str">
        <f>估价对象房地状况!C7</f>
        <v>估价对象所在区域公共配套设施齐备好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0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01"/>
      <c r="Q20" s="1382"/>
      <c r="R20" s="664"/>
      <c r="S20" s="665"/>
      <c r="T20" s="664"/>
      <c r="U20" s="665"/>
      <c r="V20" s="664"/>
      <c r="W20" s="665"/>
      <c r="X20" s="1384"/>
      <c r="Y20" s="3261"/>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01"/>
      <c r="Q22" s="1382"/>
      <c r="R22" s="664"/>
      <c r="S22" s="665"/>
      <c r="T22" s="664"/>
      <c r="U22" s="665"/>
      <c r="V22" s="664"/>
      <c r="W22" s="665"/>
      <c r="X22" s="1384"/>
      <c r="Y22" s="3261"/>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01"/>
      <c r="Q23" s="1382" t="str">
        <f>B23</f>
        <v>自然及人文环境</v>
      </c>
      <c r="R23" s="664" t="s">
        <v>17</v>
      </c>
      <c r="S23" s="665">
        <f>F23</f>
        <v>100</v>
      </c>
      <c r="T23" s="664" t="s">
        <v>17</v>
      </c>
      <c r="U23" s="665">
        <f>H23</f>
        <v>100</v>
      </c>
      <c r="V23" s="664" t="s">
        <v>17</v>
      </c>
      <c r="W23" s="665">
        <f>J23</f>
        <v>100</v>
      </c>
      <c r="X23" s="1384"/>
      <c r="Y23" s="3261"/>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01"/>
      <c r="Q24" s="1382"/>
      <c r="R24" s="664"/>
      <c r="S24" s="665"/>
      <c r="T24" s="664"/>
      <c r="U24" s="665"/>
      <c r="V24" s="664"/>
      <c r="W24" s="665"/>
      <c r="X24" s="1384"/>
      <c r="Y24" s="3261"/>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01"/>
      <c r="Q25" s="1382" t="str">
        <f t="shared" ref="Q25:Q46" si="11">B25</f>
        <v>临街状况</v>
      </c>
      <c r="R25" s="664" t="s">
        <v>17</v>
      </c>
      <c r="S25" s="665">
        <f>F25</f>
        <v>100</v>
      </c>
      <c r="T25" s="664" t="s">
        <v>17</v>
      </c>
      <c r="U25" s="665">
        <f>H25</f>
        <v>100</v>
      </c>
      <c r="V25" s="664" t="s">
        <v>17</v>
      </c>
      <c r="W25" s="665">
        <f>J25</f>
        <v>100</v>
      </c>
      <c r="X25" s="1384"/>
      <c r="Y25" s="3261"/>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01"/>
      <c r="Q26" s="1382" t="str">
        <f t="shared" si="11"/>
        <v>平面位置/可视性</v>
      </c>
      <c r="R26" s="664" t="s">
        <v>17</v>
      </c>
      <c r="S26" s="665">
        <f>F26</f>
        <v>100</v>
      </c>
      <c r="T26" s="664" t="s">
        <v>17</v>
      </c>
      <c r="U26" s="665">
        <f>H26</f>
        <v>100</v>
      </c>
      <c r="V26" s="664" t="s">
        <v>17</v>
      </c>
      <c r="W26" s="665">
        <f>J26</f>
        <v>100</v>
      </c>
      <c r="X26" s="1384"/>
      <c r="Y26" s="3261"/>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01"/>
      <c r="Q27" s="530" t="str">
        <f t="shared" si="11"/>
        <v>人流量</v>
      </c>
      <c r="R27" s="661" t="s">
        <v>17</v>
      </c>
      <c r="S27" s="662">
        <f>F27</f>
        <v>100</v>
      </c>
      <c r="T27" s="661" t="s">
        <v>17</v>
      </c>
      <c r="U27" s="662">
        <f>H27</f>
        <v>100</v>
      </c>
      <c r="V27" s="661" t="s">
        <v>17</v>
      </c>
      <c r="W27" s="662">
        <f>J27</f>
        <v>100</v>
      </c>
      <c r="X27" s="663"/>
      <c r="Y27" s="3261"/>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01"/>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61"/>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01"/>
      <c r="Q29" s="1382">
        <f t="shared" si="11"/>
        <v>111</v>
      </c>
      <c r="R29" s="664" t="s">
        <v>17</v>
      </c>
      <c r="S29" s="665">
        <f t="shared" si="12"/>
        <v>100</v>
      </c>
      <c r="T29" s="664" t="s">
        <v>17</v>
      </c>
      <c r="U29" s="665">
        <f t="shared" si="13"/>
        <v>100</v>
      </c>
      <c r="V29" s="664" t="s">
        <v>17</v>
      </c>
      <c r="W29" s="665">
        <f t="shared" si="14"/>
        <v>100</v>
      </c>
      <c r="X29" s="1384"/>
      <c r="Y29" s="3261"/>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01"/>
      <c r="Q30" s="1382">
        <f t="shared" si="11"/>
        <v>111</v>
      </c>
      <c r="R30" s="664" t="s">
        <v>17</v>
      </c>
      <c r="S30" s="665">
        <f t="shared" si="12"/>
        <v>100</v>
      </c>
      <c r="T30" s="664" t="s">
        <v>17</v>
      </c>
      <c r="U30" s="665">
        <f t="shared" si="13"/>
        <v>100</v>
      </c>
      <c r="V30" s="664" t="s">
        <v>17</v>
      </c>
      <c r="W30" s="665">
        <f t="shared" si="14"/>
        <v>100</v>
      </c>
      <c r="X30" s="1384"/>
      <c r="Y30" s="3261"/>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01"/>
      <c r="Q31" s="1382">
        <f t="shared" si="11"/>
        <v>111</v>
      </c>
      <c r="R31" s="664" t="s">
        <v>17</v>
      </c>
      <c r="S31" s="665">
        <f t="shared" si="12"/>
        <v>100</v>
      </c>
      <c r="T31" s="664" t="s">
        <v>17</v>
      </c>
      <c r="U31" s="665">
        <f t="shared" si="13"/>
        <v>100</v>
      </c>
      <c r="V31" s="664" t="s">
        <v>17</v>
      </c>
      <c r="W31" s="665">
        <f t="shared" si="14"/>
        <v>100</v>
      </c>
      <c r="X31" s="1384"/>
      <c r="Y31" s="3261"/>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02" t="s">
        <v>2143</v>
      </c>
      <c r="Q32" s="1382" t="str">
        <f t="shared" si="11"/>
        <v>商业类型</v>
      </c>
      <c r="R32" s="664" t="s">
        <v>17</v>
      </c>
      <c r="S32" s="665">
        <f t="shared" si="12"/>
        <v>100</v>
      </c>
      <c r="T32" s="664" t="s">
        <v>17</v>
      </c>
      <c r="U32" s="665">
        <f t="shared" si="13"/>
        <v>100</v>
      </c>
      <c r="V32" s="664" t="s">
        <v>17</v>
      </c>
      <c r="W32" s="665">
        <f t="shared" si="14"/>
        <v>100</v>
      </c>
      <c r="X32" s="1384"/>
      <c r="Y32" s="3263"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03"/>
      <c r="Q33" s="531" t="str">
        <f t="shared" si="11"/>
        <v>项目建筑规模</v>
      </c>
      <c r="R33" s="666" t="s">
        <v>17</v>
      </c>
      <c r="S33" s="667" t="e">
        <f t="shared" si="12"/>
        <v>#N/A</v>
      </c>
      <c r="T33" s="666" t="s">
        <v>17</v>
      </c>
      <c r="U33" s="667" t="e">
        <f t="shared" si="13"/>
        <v>#N/A</v>
      </c>
      <c r="V33" s="666" t="s">
        <v>17</v>
      </c>
      <c r="W33" s="667" t="e">
        <f t="shared" si="14"/>
        <v>#N/A</v>
      </c>
      <c r="X33" s="668"/>
      <c r="Y33" s="3263"/>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03"/>
      <c r="Q34" s="1382" t="str">
        <f t="shared" si="11"/>
        <v>建筑结构</v>
      </c>
      <c r="R34" s="664" t="s">
        <v>17</v>
      </c>
      <c r="S34" s="665">
        <f t="shared" si="12"/>
        <v>100</v>
      </c>
      <c r="T34" s="664" t="s">
        <v>17</v>
      </c>
      <c r="U34" s="665">
        <f t="shared" si="13"/>
        <v>100</v>
      </c>
      <c r="V34" s="664" t="s">
        <v>17</v>
      </c>
      <c r="W34" s="665">
        <f t="shared" si="14"/>
        <v>100</v>
      </c>
      <c r="X34" s="1384"/>
      <c r="Y34" s="3263"/>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03"/>
      <c r="Q35" s="1382" t="str">
        <f t="shared" si="11"/>
        <v>公共部分装修</v>
      </c>
      <c r="R35" s="664" t="s">
        <v>17</v>
      </c>
      <c r="S35" s="665">
        <f t="shared" si="12"/>
        <v>100</v>
      </c>
      <c r="T35" s="664" t="s">
        <v>17</v>
      </c>
      <c r="U35" s="665">
        <f t="shared" si="13"/>
        <v>100</v>
      </c>
      <c r="V35" s="664" t="s">
        <v>17</v>
      </c>
      <c r="W35" s="665">
        <f t="shared" si="14"/>
        <v>100</v>
      </c>
      <c r="X35" s="1384"/>
      <c r="Y35" s="3263"/>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03"/>
      <c r="Q36" s="1382" t="str">
        <f t="shared" si="11"/>
        <v>成新度</v>
      </c>
      <c r="R36" s="664" t="s">
        <v>17</v>
      </c>
      <c r="S36" s="665" t="e">
        <f t="shared" si="12"/>
        <v>#N/A</v>
      </c>
      <c r="T36" s="664" t="s">
        <v>17</v>
      </c>
      <c r="U36" s="665" t="e">
        <f t="shared" si="13"/>
        <v>#N/A</v>
      </c>
      <c r="V36" s="664" t="s">
        <v>17</v>
      </c>
      <c r="W36" s="665" t="e">
        <f t="shared" si="14"/>
        <v>#N/A</v>
      </c>
      <c r="X36" s="1384"/>
      <c r="Y36" s="3263"/>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03"/>
      <c r="Q37" s="530" t="str">
        <f t="shared" si="11"/>
        <v>市政基础设施</v>
      </c>
      <c r="R37" s="661" t="s">
        <v>17</v>
      </c>
      <c r="S37" s="662">
        <f t="shared" si="12"/>
        <v>100</v>
      </c>
      <c r="T37" s="661" t="s">
        <v>17</v>
      </c>
      <c r="U37" s="662">
        <f t="shared" si="13"/>
        <v>100</v>
      </c>
      <c r="V37" s="661" t="s">
        <v>17</v>
      </c>
      <c r="W37" s="662">
        <f t="shared" si="14"/>
        <v>100</v>
      </c>
      <c r="X37" s="663"/>
      <c r="Y37" s="3263"/>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03" t="s">
        <v>2143</v>
      </c>
      <c r="Q38" s="1382" t="str">
        <f t="shared" si="11"/>
        <v>业态</v>
      </c>
      <c r="R38" s="664" t="s">
        <v>17</v>
      </c>
      <c r="S38" s="665">
        <f t="shared" si="12"/>
        <v>100</v>
      </c>
      <c r="T38" s="664" t="s">
        <v>17</v>
      </c>
      <c r="U38" s="665">
        <f t="shared" si="13"/>
        <v>100</v>
      </c>
      <c r="V38" s="664" t="s">
        <v>17</v>
      </c>
      <c r="W38" s="665">
        <f t="shared" si="14"/>
        <v>100</v>
      </c>
      <c r="X38" s="1384"/>
      <c r="Y38" s="3263"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03"/>
      <c r="Q39" s="1382" t="str">
        <f t="shared" si="11"/>
        <v>层高</v>
      </c>
      <c r="R39" s="664" t="s">
        <v>17</v>
      </c>
      <c r="S39" s="665">
        <f t="shared" si="12"/>
        <v>100</v>
      </c>
      <c r="T39" s="664" t="s">
        <v>17</v>
      </c>
      <c r="U39" s="665">
        <f t="shared" si="13"/>
        <v>100</v>
      </c>
      <c r="V39" s="664" t="s">
        <v>17</v>
      </c>
      <c r="W39" s="665">
        <f t="shared" si="14"/>
        <v>100</v>
      </c>
      <c r="X39" s="1384"/>
      <c r="Y39" s="3263"/>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03"/>
      <c r="Q40" s="1382" t="str">
        <f t="shared" si="11"/>
        <v>单套建筑面积</v>
      </c>
      <c r="R40" s="664" t="s">
        <v>17</v>
      </c>
      <c r="S40" s="665">
        <f t="shared" si="12"/>
        <v>100</v>
      </c>
      <c r="T40" s="664" t="s">
        <v>17</v>
      </c>
      <c r="U40" s="665">
        <f t="shared" si="13"/>
        <v>100</v>
      </c>
      <c r="V40" s="664" t="s">
        <v>17</v>
      </c>
      <c r="W40" s="665">
        <f t="shared" si="14"/>
        <v>100</v>
      </c>
      <c r="X40" s="1384"/>
      <c r="Y40" s="3263"/>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03"/>
      <c r="Q41" s="531" t="str">
        <f t="shared" si="11"/>
        <v>进深比</v>
      </c>
      <c r="R41" s="666" t="s">
        <v>17</v>
      </c>
      <c r="S41" s="667">
        <f t="shared" si="12"/>
        <v>100</v>
      </c>
      <c r="T41" s="666" t="s">
        <v>17</v>
      </c>
      <c r="U41" s="667">
        <f t="shared" si="13"/>
        <v>100</v>
      </c>
      <c r="V41" s="666" t="s">
        <v>17</v>
      </c>
      <c r="W41" s="667">
        <f t="shared" si="14"/>
        <v>100</v>
      </c>
      <c r="X41" s="668"/>
      <c r="Y41" s="3263"/>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03"/>
      <c r="Q42" s="1382" t="str">
        <f t="shared" si="11"/>
        <v>内部装修</v>
      </c>
      <c r="R42" s="664" t="s">
        <v>17</v>
      </c>
      <c r="S42" s="665">
        <f t="shared" si="12"/>
        <v>100</v>
      </c>
      <c r="T42" s="664" t="s">
        <v>17</v>
      </c>
      <c r="U42" s="665">
        <f t="shared" si="13"/>
        <v>100</v>
      </c>
      <c r="V42" s="664" t="s">
        <v>17</v>
      </c>
      <c r="W42" s="665">
        <f t="shared" si="14"/>
        <v>100</v>
      </c>
      <c r="X42" s="1384"/>
      <c r="Y42" s="3263"/>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03"/>
      <c r="Q43" s="1382" t="str">
        <f t="shared" si="11"/>
        <v>内部装修维护情况</v>
      </c>
      <c r="R43" s="664" t="s">
        <v>17</v>
      </c>
      <c r="S43" s="665">
        <f t="shared" si="12"/>
        <v>100</v>
      </c>
      <c r="T43" s="664" t="s">
        <v>17</v>
      </c>
      <c r="U43" s="665">
        <f t="shared" si="13"/>
        <v>100</v>
      </c>
      <c r="V43" s="664" t="s">
        <v>17</v>
      </c>
      <c r="W43" s="665">
        <f t="shared" si="14"/>
        <v>100</v>
      </c>
      <c r="X43" s="1384"/>
      <c r="Y43" s="3263"/>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03"/>
      <c r="Q44" s="530">
        <f t="shared" si="11"/>
        <v>111</v>
      </c>
      <c r="R44" s="661" t="s">
        <v>17</v>
      </c>
      <c r="S44" s="662">
        <f t="shared" si="12"/>
        <v>100</v>
      </c>
      <c r="T44" s="661" t="s">
        <v>17</v>
      </c>
      <c r="U44" s="662">
        <f t="shared" si="13"/>
        <v>100</v>
      </c>
      <c r="V44" s="661" t="s">
        <v>17</v>
      </c>
      <c r="W44" s="662">
        <f t="shared" si="14"/>
        <v>100</v>
      </c>
      <c r="X44" s="663"/>
      <c r="Y44" s="3263"/>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03"/>
      <c r="Q45" s="1382">
        <f t="shared" si="11"/>
        <v>111</v>
      </c>
      <c r="R45" s="664" t="s">
        <v>17</v>
      </c>
      <c r="S45" s="665">
        <f t="shared" si="12"/>
        <v>100</v>
      </c>
      <c r="T45" s="664" t="s">
        <v>17</v>
      </c>
      <c r="U45" s="665">
        <f t="shared" si="13"/>
        <v>100</v>
      </c>
      <c r="V45" s="664" t="s">
        <v>17</v>
      </c>
      <c r="W45" s="665">
        <f t="shared" si="14"/>
        <v>100</v>
      </c>
      <c r="X45" s="1384"/>
      <c r="Y45" s="3263"/>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04"/>
      <c r="Q46" s="1382">
        <f t="shared" si="11"/>
        <v>111</v>
      </c>
      <c r="R46" s="664" t="s">
        <v>17</v>
      </c>
      <c r="S46" s="665">
        <f t="shared" si="12"/>
        <v>100</v>
      </c>
      <c r="T46" s="664" t="s">
        <v>17</v>
      </c>
      <c r="U46" s="665">
        <f t="shared" si="13"/>
        <v>100</v>
      </c>
      <c r="V46" s="664" t="s">
        <v>17</v>
      </c>
      <c r="W46" s="665">
        <f t="shared" si="14"/>
        <v>100</v>
      </c>
      <c r="X46" s="1384"/>
      <c r="Y46" s="3305"/>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59" t="str">
        <f>A47</f>
        <v>成交单价（元/平方米）</v>
      </c>
      <c r="Q47" s="3259"/>
      <c r="R47" s="3264">
        <f>E47</f>
        <v>0</v>
      </c>
      <c r="S47" s="3264"/>
      <c r="T47" s="3264">
        <f>G47</f>
        <v>0</v>
      </c>
      <c r="U47" s="3264"/>
      <c r="V47" s="3264">
        <f>I47</f>
        <v>0</v>
      </c>
      <c r="W47" s="3264"/>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59" t="str">
        <f>A48</f>
        <v>比较价值（元/平方米）</v>
      </c>
      <c r="Q48" s="325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253" t="str">
        <f>A49</f>
        <v>估价对象XX用房的比较价值（楼面单价，元/平方米）</v>
      </c>
      <c r="Q49" s="3254"/>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956"/>
      <c r="M4" s="957"/>
      <c r="N4" s="957"/>
      <c r="O4" s="957"/>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956"/>
      <c r="M5" s="957"/>
      <c r="N5" s="957"/>
      <c r="O5" s="957"/>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956"/>
      <c r="M6" s="957"/>
      <c r="N6" s="957"/>
      <c r="O6" s="957"/>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87" t="s">
        <v>2130</v>
      </c>
      <c r="Q8" s="3288"/>
      <c r="R8" s="661" t="s">
        <v>17</v>
      </c>
      <c r="S8" s="662">
        <f t="shared" si="0"/>
        <v>0</v>
      </c>
      <c r="T8" s="661" t="s">
        <v>17</v>
      </c>
      <c r="U8" s="662">
        <f t="shared" si="1"/>
        <v>0</v>
      </c>
      <c r="V8" s="661" t="s">
        <v>17</v>
      </c>
      <c r="W8" s="662">
        <f t="shared" si="2"/>
        <v>0</v>
      </c>
      <c r="X8" s="663"/>
      <c r="Y8" s="3287" t="s">
        <v>2130</v>
      </c>
      <c r="Z8" s="3288"/>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59"/>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60" t="s">
        <v>2138</v>
      </c>
      <c r="Q15" s="1382" t="str">
        <f t="shared" si="6"/>
        <v>产业集聚程度</v>
      </c>
      <c r="R15" s="664" t="s">
        <v>17</v>
      </c>
      <c r="S15" s="665">
        <f t="shared" si="0"/>
        <v>100</v>
      </c>
      <c r="T15" s="664" t="s">
        <v>17</v>
      </c>
      <c r="U15" s="665">
        <f t="shared" si="1"/>
        <v>100</v>
      </c>
      <c r="V15" s="664" t="s">
        <v>17</v>
      </c>
      <c r="W15" s="665">
        <f t="shared" si="2"/>
        <v>100</v>
      </c>
      <c r="X15" s="1384"/>
      <c r="Y15" s="3260"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61"/>
      <c r="Q16" s="1382"/>
      <c r="R16" s="664"/>
      <c r="S16" s="665"/>
      <c r="T16" s="664"/>
      <c r="U16" s="665"/>
      <c r="V16" s="664"/>
      <c r="W16" s="665"/>
      <c r="X16" s="1384"/>
      <c r="Y16" s="3261"/>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6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61"/>
      <c r="Q18" s="1382"/>
      <c r="R18" s="664"/>
      <c r="S18" s="665"/>
      <c r="T18" s="664"/>
      <c r="U18" s="665"/>
      <c r="V18" s="664"/>
      <c r="W18" s="665"/>
      <c r="X18" s="1384"/>
      <c r="Y18" s="3261"/>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6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61"/>
      <c r="Q20" s="1382"/>
      <c r="R20" s="664"/>
      <c r="S20" s="665"/>
      <c r="T20" s="664"/>
      <c r="U20" s="665"/>
      <c r="V20" s="664"/>
      <c r="W20" s="665"/>
      <c r="X20" s="1384"/>
      <c r="Y20" s="3261"/>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6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61"/>
      <c r="Q22" s="1382"/>
      <c r="R22" s="664"/>
      <c r="S22" s="665"/>
      <c r="T22" s="664"/>
      <c r="U22" s="665"/>
      <c r="V22" s="664"/>
      <c r="W22" s="665"/>
      <c r="X22" s="1384"/>
      <c r="Y22" s="3261"/>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61"/>
      <c r="Q23" s="1382" t="str">
        <f>B23</f>
        <v>环境质量</v>
      </c>
      <c r="R23" s="664" t="s">
        <v>17</v>
      </c>
      <c r="S23" s="665">
        <f>F23</f>
        <v>100</v>
      </c>
      <c r="T23" s="664" t="s">
        <v>17</v>
      </c>
      <c r="U23" s="665">
        <f>H23</f>
        <v>100</v>
      </c>
      <c r="V23" s="664" t="s">
        <v>17</v>
      </c>
      <c r="W23" s="665">
        <f>J23</f>
        <v>100</v>
      </c>
      <c r="X23" s="1384"/>
      <c r="Y23" s="3261"/>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61"/>
      <c r="Q24" s="1382"/>
      <c r="R24" s="664"/>
      <c r="S24" s="665"/>
      <c r="T24" s="664"/>
      <c r="U24" s="665"/>
      <c r="V24" s="664"/>
      <c r="W24" s="665"/>
      <c r="X24" s="1384"/>
      <c r="Y24" s="3261"/>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61"/>
      <c r="Q25" s="1382">
        <f>B25</f>
        <v>111</v>
      </c>
      <c r="R25" s="664" t="s">
        <v>17</v>
      </c>
      <c r="S25" s="665">
        <f>F25</f>
        <v>100</v>
      </c>
      <c r="T25" s="664" t="s">
        <v>17</v>
      </c>
      <c r="U25" s="665">
        <f>H25</f>
        <v>100</v>
      </c>
      <c r="V25" s="664" t="s">
        <v>17</v>
      </c>
      <c r="W25" s="665">
        <f>J25</f>
        <v>100</v>
      </c>
      <c r="X25" s="1384"/>
      <c r="Y25" s="3261"/>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61"/>
      <c r="Q26" s="1382">
        <f t="shared" ref="Q26:Q40" si="11">B26</f>
        <v>111</v>
      </c>
      <c r="R26" s="664" t="s">
        <v>17</v>
      </c>
      <c r="S26" s="665">
        <f>F26</f>
        <v>100</v>
      </c>
      <c r="T26" s="664" t="s">
        <v>17</v>
      </c>
      <c r="U26" s="665">
        <f>H26</f>
        <v>100</v>
      </c>
      <c r="V26" s="664" t="s">
        <v>17</v>
      </c>
      <c r="W26" s="665">
        <f>J26</f>
        <v>100</v>
      </c>
      <c r="X26" s="1384"/>
      <c r="Y26" s="3261"/>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61"/>
      <c r="Q27" s="530">
        <f t="shared" si="11"/>
        <v>111</v>
      </c>
      <c r="R27" s="661" t="s">
        <v>17</v>
      </c>
      <c r="S27" s="662">
        <f>F27</f>
        <v>100</v>
      </c>
      <c r="T27" s="661" t="s">
        <v>17</v>
      </c>
      <c r="U27" s="662">
        <f>H27</f>
        <v>100</v>
      </c>
      <c r="V27" s="661" t="s">
        <v>17</v>
      </c>
      <c r="W27" s="662">
        <f>J27</f>
        <v>100</v>
      </c>
      <c r="X27" s="663"/>
      <c r="Y27" s="3261"/>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61"/>
      <c r="Q28" s="1382">
        <f t="shared" si="11"/>
        <v>111</v>
      </c>
      <c r="R28" s="664" t="s">
        <v>17</v>
      </c>
      <c r="S28" s="665">
        <f t="shared" ref="S28:S40" si="12">F28</f>
        <v>100</v>
      </c>
      <c r="T28" s="664" t="s">
        <v>17</v>
      </c>
      <c r="U28" s="665">
        <f t="shared" ref="U28:U40" si="13">H28</f>
        <v>100</v>
      </c>
      <c r="V28" s="664" t="s">
        <v>17</v>
      </c>
      <c r="W28" s="665">
        <f t="shared" ref="W28:W40" si="14">J28</f>
        <v>100</v>
      </c>
      <c r="X28" s="1384"/>
      <c r="Y28" s="3261"/>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62" t="s">
        <v>2143</v>
      </c>
      <c r="Q29" s="1382" t="str">
        <f t="shared" si="11"/>
        <v>建筑类型</v>
      </c>
      <c r="R29" s="664" t="s">
        <v>17</v>
      </c>
      <c r="S29" s="665">
        <f t="shared" si="12"/>
        <v>100</v>
      </c>
      <c r="T29" s="664" t="s">
        <v>17</v>
      </c>
      <c r="U29" s="665">
        <f t="shared" si="13"/>
        <v>100</v>
      </c>
      <c r="V29" s="664" t="s">
        <v>17</v>
      </c>
      <c r="W29" s="665">
        <f t="shared" si="14"/>
        <v>100</v>
      </c>
      <c r="X29" s="1384"/>
      <c r="Y29" s="3263"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63"/>
      <c r="Q30" s="531" t="str">
        <f t="shared" si="11"/>
        <v>项目建筑规模</v>
      </c>
      <c r="R30" s="666" t="s">
        <v>17</v>
      </c>
      <c r="S30" s="667" t="e">
        <f t="shared" si="12"/>
        <v>#N/A</v>
      </c>
      <c r="T30" s="666" t="s">
        <v>17</v>
      </c>
      <c r="U30" s="667" t="e">
        <f t="shared" si="13"/>
        <v>#N/A</v>
      </c>
      <c r="V30" s="666" t="s">
        <v>17</v>
      </c>
      <c r="W30" s="667" t="e">
        <f t="shared" si="14"/>
        <v>#N/A</v>
      </c>
      <c r="X30" s="668"/>
      <c r="Y30" s="3263"/>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63"/>
      <c r="Q31" s="1382" t="str">
        <f t="shared" si="11"/>
        <v>建筑结构</v>
      </c>
      <c r="R31" s="664" t="s">
        <v>17</v>
      </c>
      <c r="S31" s="665">
        <f t="shared" si="12"/>
        <v>100</v>
      </c>
      <c r="T31" s="664" t="s">
        <v>17</v>
      </c>
      <c r="U31" s="665">
        <f t="shared" si="13"/>
        <v>100</v>
      </c>
      <c r="V31" s="664" t="s">
        <v>17</v>
      </c>
      <c r="W31" s="665">
        <f t="shared" si="14"/>
        <v>100</v>
      </c>
      <c r="X31" s="1384"/>
      <c r="Y31" s="3263"/>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63"/>
      <c r="Q32" s="1382" t="str">
        <f t="shared" si="11"/>
        <v>公共部分装修</v>
      </c>
      <c r="R32" s="664" t="s">
        <v>17</v>
      </c>
      <c r="S32" s="665">
        <f t="shared" si="12"/>
        <v>100</v>
      </c>
      <c r="T32" s="664" t="s">
        <v>17</v>
      </c>
      <c r="U32" s="665">
        <f t="shared" si="13"/>
        <v>100</v>
      </c>
      <c r="V32" s="664" t="s">
        <v>17</v>
      </c>
      <c r="W32" s="665">
        <f t="shared" si="14"/>
        <v>100</v>
      </c>
      <c r="X32" s="1384"/>
      <c r="Y32" s="3263"/>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63"/>
      <c r="Q33" s="1382" t="str">
        <f t="shared" si="11"/>
        <v>成新度</v>
      </c>
      <c r="R33" s="664" t="s">
        <v>17</v>
      </c>
      <c r="S33" s="665" t="e">
        <f t="shared" si="12"/>
        <v>#N/A</v>
      </c>
      <c r="T33" s="664" t="s">
        <v>17</v>
      </c>
      <c r="U33" s="665" t="e">
        <f t="shared" si="13"/>
        <v>#N/A</v>
      </c>
      <c r="V33" s="664" t="s">
        <v>17</v>
      </c>
      <c r="W33" s="665" t="e">
        <f t="shared" si="14"/>
        <v>#N/A</v>
      </c>
      <c r="X33" s="1384"/>
      <c r="Y33" s="3263"/>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63"/>
      <c r="Q34" s="530" t="str">
        <f t="shared" si="11"/>
        <v>物业管理</v>
      </c>
      <c r="R34" s="661" t="s">
        <v>17</v>
      </c>
      <c r="S34" s="662">
        <f t="shared" si="12"/>
        <v>100</v>
      </c>
      <c r="T34" s="661" t="s">
        <v>17</v>
      </c>
      <c r="U34" s="662">
        <f t="shared" si="13"/>
        <v>100</v>
      </c>
      <c r="V34" s="661" t="s">
        <v>17</v>
      </c>
      <c r="W34" s="662">
        <f t="shared" si="14"/>
        <v>100</v>
      </c>
      <c r="X34" s="663"/>
      <c r="Y34" s="3263"/>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63" t="s">
        <v>2143</v>
      </c>
      <c r="Q35" s="1382" t="str">
        <f t="shared" si="11"/>
        <v>市政基础设施</v>
      </c>
      <c r="R35" s="664" t="s">
        <v>17</v>
      </c>
      <c r="S35" s="665">
        <f t="shared" si="12"/>
        <v>100</v>
      </c>
      <c r="T35" s="664" t="s">
        <v>17</v>
      </c>
      <c r="U35" s="665">
        <f t="shared" si="13"/>
        <v>100</v>
      </c>
      <c r="V35" s="664" t="s">
        <v>17</v>
      </c>
      <c r="W35" s="665">
        <f t="shared" si="14"/>
        <v>100</v>
      </c>
      <c r="X35" s="1384"/>
      <c r="Y35" s="3263"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63"/>
      <c r="Q36" s="1382" t="str">
        <f t="shared" si="11"/>
        <v>内部装修</v>
      </c>
      <c r="R36" s="664" t="s">
        <v>17</v>
      </c>
      <c r="S36" s="665">
        <f t="shared" si="12"/>
        <v>100</v>
      </c>
      <c r="T36" s="664" t="s">
        <v>17</v>
      </c>
      <c r="U36" s="665">
        <f t="shared" si="13"/>
        <v>100</v>
      </c>
      <c r="V36" s="664" t="s">
        <v>17</v>
      </c>
      <c r="W36" s="665">
        <f t="shared" si="14"/>
        <v>100</v>
      </c>
      <c r="X36" s="1384"/>
      <c r="Y36" s="3263"/>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63"/>
      <c r="Q37" s="1382" t="str">
        <f t="shared" si="11"/>
        <v>内部装修状况</v>
      </c>
      <c r="R37" s="664" t="s">
        <v>17</v>
      </c>
      <c r="S37" s="665">
        <f t="shared" si="12"/>
        <v>100</v>
      </c>
      <c r="T37" s="664" t="s">
        <v>17</v>
      </c>
      <c r="U37" s="665">
        <f t="shared" si="13"/>
        <v>100</v>
      </c>
      <c r="V37" s="664" t="s">
        <v>17</v>
      </c>
      <c r="W37" s="665">
        <f t="shared" si="14"/>
        <v>100</v>
      </c>
      <c r="X37" s="1384"/>
      <c r="Y37" s="3263"/>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63"/>
      <c r="Q38" s="531">
        <f t="shared" si="11"/>
        <v>111</v>
      </c>
      <c r="R38" s="666" t="s">
        <v>17</v>
      </c>
      <c r="S38" s="667">
        <f t="shared" si="12"/>
        <v>100</v>
      </c>
      <c r="T38" s="666" t="s">
        <v>17</v>
      </c>
      <c r="U38" s="667">
        <f t="shared" si="13"/>
        <v>100</v>
      </c>
      <c r="V38" s="666" t="s">
        <v>17</v>
      </c>
      <c r="W38" s="667">
        <f t="shared" si="14"/>
        <v>100</v>
      </c>
      <c r="X38" s="668"/>
      <c r="Y38" s="3263"/>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63"/>
      <c r="Q39" s="1382">
        <f t="shared" si="11"/>
        <v>111</v>
      </c>
      <c r="R39" s="664" t="s">
        <v>17</v>
      </c>
      <c r="S39" s="665">
        <f t="shared" si="12"/>
        <v>100</v>
      </c>
      <c r="T39" s="664" t="s">
        <v>17</v>
      </c>
      <c r="U39" s="665">
        <f t="shared" si="13"/>
        <v>100</v>
      </c>
      <c r="V39" s="664" t="s">
        <v>17</v>
      </c>
      <c r="W39" s="665">
        <f t="shared" si="14"/>
        <v>100</v>
      </c>
      <c r="X39" s="1384"/>
      <c r="Y39" s="3263"/>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05"/>
      <c r="Q40" s="1382">
        <f t="shared" si="11"/>
        <v>111</v>
      </c>
      <c r="R40" s="664" t="s">
        <v>17</v>
      </c>
      <c r="S40" s="665">
        <f t="shared" si="12"/>
        <v>100</v>
      </c>
      <c r="T40" s="664" t="s">
        <v>17</v>
      </c>
      <c r="U40" s="665">
        <f t="shared" si="13"/>
        <v>100</v>
      </c>
      <c r="V40" s="664" t="s">
        <v>17</v>
      </c>
      <c r="W40" s="665">
        <f t="shared" si="14"/>
        <v>100</v>
      </c>
      <c r="X40" s="1384"/>
      <c r="Y40" s="3305"/>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59" t="str">
        <f>A41</f>
        <v>成交单价（元/平方米）</v>
      </c>
      <c r="Q41" s="3259"/>
      <c r="R41" s="3264">
        <f>E41</f>
        <v>0</v>
      </c>
      <c r="S41" s="3264"/>
      <c r="T41" s="3264">
        <f>G41</f>
        <v>0</v>
      </c>
      <c r="U41" s="3264"/>
      <c r="V41" s="3264">
        <f>I41</f>
        <v>0</v>
      </c>
      <c r="W41" s="3264"/>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59" t="str">
        <f>A42</f>
        <v>比较价值（元/平方米）</v>
      </c>
      <c r="Q42" s="3259"/>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253" t="str">
        <f>A43</f>
        <v>估价对象XX用房的比较价值（楼面单价，元/平方米）</v>
      </c>
      <c r="Q43" s="3254"/>
      <c r="R43" s="3346" t="e">
        <f>IF(F1="售价",ROUND(IF(D42="简单平均",AVERAGE(R42:V42),R42*F42+T42*H42+V42*J42),0),ROUND(IF(D42="简单平均",AVERAGE(R42:V42),R42*F42+T42*H42+V42*J42),1))</f>
        <v>#DIV/0!</v>
      </c>
      <c r="S43" s="3346"/>
      <c r="T43" s="3346"/>
      <c r="U43" s="3346"/>
      <c r="V43" s="3346"/>
      <c r="W43" s="3346"/>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0" t="s">
        <v>2581</v>
      </c>
      <c r="D1" s="3351"/>
      <c r="E1" s="3351"/>
      <c r="F1" s="3351"/>
      <c r="G1" s="3351"/>
      <c r="H1" s="3351"/>
      <c r="I1" s="3351"/>
      <c r="J1" s="3351"/>
      <c r="K1" s="3351"/>
      <c r="L1" s="3351"/>
      <c r="M1" s="3351"/>
      <c r="N1" s="3351"/>
      <c r="O1" s="3351"/>
      <c r="P1" s="3351"/>
      <c r="Q1" s="3351"/>
      <c r="R1" s="3351"/>
      <c r="S1" s="3352"/>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7" t="s">
        <v>33</v>
      </c>
      <c r="D22" s="3348"/>
      <c r="E22" s="3348"/>
      <c r="F22" s="3348"/>
      <c r="G22" s="3348"/>
      <c r="H22" s="3348"/>
      <c r="I22" s="3348"/>
      <c r="J22" s="3348"/>
      <c r="K22" s="3348"/>
      <c r="L22" s="3348"/>
      <c r="M22" s="3348"/>
      <c r="N22" s="3348"/>
      <c r="O22" s="3348"/>
      <c r="P22" s="3348"/>
      <c r="Q22" s="3349"/>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50611</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189" t="str">
        <f>项目基本情况!S2</f>
        <v>浙江省杭州市延安路292号1-9层房地产</v>
      </c>
      <c r="B2" s="3190"/>
      <c r="C2" s="3190"/>
      <c r="D2" s="3190"/>
      <c r="E2" s="3190"/>
      <c r="F2" s="3190"/>
      <c r="G2" s="3190"/>
      <c r="H2" s="3190"/>
      <c r="I2" s="3191"/>
    </row>
    <row r="3" spans="1:12" ht="12.75">
      <c r="A3" s="3193" t="s">
        <v>1707</v>
      </c>
      <c r="B3" s="3194"/>
      <c r="C3" s="3194"/>
      <c r="D3" s="3194"/>
      <c r="E3" s="3194"/>
      <c r="F3" s="3194"/>
      <c r="G3" s="3194"/>
      <c r="H3" s="3194"/>
      <c r="I3" s="3194"/>
    </row>
    <row r="4" spans="1:12" ht="14.25">
      <c r="A4" s="1744" t="s">
        <v>1708</v>
      </c>
      <c r="B4" s="1745" t="s">
        <v>1709</v>
      </c>
      <c r="C4" s="1746" t="s">
        <v>3548</v>
      </c>
      <c r="D4" s="1746" t="s">
        <v>3546</v>
      </c>
      <c r="E4" s="3195" t="s">
        <v>1710</v>
      </c>
      <c r="F4" s="3196"/>
      <c r="G4" s="3196"/>
      <c r="H4" s="3196"/>
      <c r="I4" s="3197"/>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69" t="s">
        <v>1711</v>
      </c>
      <c r="B5" s="3156">
        <v>25</v>
      </c>
      <c r="C5" s="3172"/>
      <c r="D5" s="3192"/>
      <c r="E5" s="120" t="s">
        <v>1712</v>
      </c>
      <c r="F5" s="1747"/>
      <c r="G5" s="1747"/>
      <c r="H5" s="1747"/>
      <c r="I5" s="1400"/>
    </row>
    <row r="6" spans="1:12" ht="12.75">
      <c r="A6" s="3169"/>
      <c r="B6" s="3156"/>
      <c r="C6" s="3173"/>
      <c r="D6" s="3192"/>
      <c r="E6" s="120" t="s">
        <v>1713</v>
      </c>
      <c r="F6" s="1747"/>
      <c r="G6" s="1747"/>
      <c r="H6" s="1747"/>
      <c r="I6" s="1400"/>
    </row>
    <row r="7" spans="1:12" ht="12.75">
      <c r="A7" s="3169"/>
      <c r="B7" s="3156"/>
      <c r="C7" s="3174"/>
      <c r="D7" s="3192"/>
      <c r="E7" s="120" t="s">
        <v>1714</v>
      </c>
      <c r="F7" s="1747"/>
      <c r="G7" s="1747"/>
      <c r="H7" s="1747"/>
      <c r="I7" s="1400"/>
    </row>
    <row r="8" spans="1:12" ht="12.75">
      <c r="A8" s="3169" t="s">
        <v>1715</v>
      </c>
      <c r="B8" s="3156">
        <v>15</v>
      </c>
      <c r="C8" s="3172"/>
      <c r="D8" s="3192"/>
      <c r="E8" s="120" t="s">
        <v>1716</v>
      </c>
      <c r="F8" s="1747"/>
      <c r="G8" s="1747"/>
      <c r="H8" s="1747"/>
      <c r="I8" s="1400"/>
    </row>
    <row r="9" spans="1:12" ht="12.75">
      <c r="A9" s="3169"/>
      <c r="B9" s="3156"/>
      <c r="C9" s="3174"/>
      <c r="D9" s="3192"/>
      <c r="E9" s="120" t="s">
        <v>1717</v>
      </c>
      <c r="F9" s="1747"/>
      <c r="G9" s="1747"/>
      <c r="H9" s="1747"/>
      <c r="I9" s="1400"/>
    </row>
    <row r="10" spans="1:12" ht="12.75">
      <c r="A10" s="3169" t="s">
        <v>1718</v>
      </c>
      <c r="B10" s="3156">
        <v>15</v>
      </c>
      <c r="C10" s="3172"/>
      <c r="D10" s="3192"/>
      <c r="E10" s="120" t="s">
        <v>1719</v>
      </c>
      <c r="F10" s="1747"/>
      <c r="G10" s="1747"/>
      <c r="H10" s="1747"/>
      <c r="I10" s="1400"/>
    </row>
    <row r="11" spans="1:12" ht="12.75">
      <c r="A11" s="3169"/>
      <c r="B11" s="3156"/>
      <c r="C11" s="3174"/>
      <c r="D11" s="3192"/>
      <c r="E11" s="120" t="s">
        <v>1720</v>
      </c>
      <c r="F11" s="1747"/>
      <c r="G11" s="1747"/>
      <c r="H11" s="1747"/>
      <c r="I11" s="1400"/>
    </row>
    <row r="12" spans="1:12" ht="12.75">
      <c r="A12" s="3169" t="s">
        <v>1721</v>
      </c>
      <c r="B12" s="3156">
        <v>15</v>
      </c>
      <c r="C12" s="3172"/>
      <c r="D12" s="3192"/>
      <c r="E12" s="120" t="s">
        <v>1722</v>
      </c>
      <c r="F12" s="1747"/>
      <c r="G12" s="1747"/>
      <c r="H12" s="1747"/>
      <c r="I12" s="1400"/>
    </row>
    <row r="13" spans="1:12" ht="12.75">
      <c r="A13" s="3169"/>
      <c r="B13" s="3156"/>
      <c r="C13" s="3174"/>
      <c r="D13" s="3192"/>
      <c r="E13" s="120" t="s">
        <v>1723</v>
      </c>
      <c r="F13" s="1747"/>
      <c r="G13" s="1747"/>
      <c r="H13" s="1747"/>
      <c r="I13" s="1400"/>
    </row>
    <row r="14" spans="1:12" ht="12.75">
      <c r="A14" s="3169" t="s">
        <v>1724</v>
      </c>
      <c r="B14" s="3156">
        <v>30</v>
      </c>
      <c r="C14" s="3172">
        <v>7</v>
      </c>
      <c r="D14" s="3192">
        <v>3</v>
      </c>
      <c r="E14" s="120" t="s">
        <v>1725</v>
      </c>
      <c r="F14" s="1747"/>
      <c r="G14" s="1747"/>
      <c r="H14" s="1747"/>
      <c r="I14" s="1400"/>
    </row>
    <row r="15" spans="1:12" ht="12.75">
      <c r="A15" s="3169"/>
      <c r="B15" s="3156"/>
      <c r="C15" s="3173"/>
      <c r="D15" s="3192"/>
      <c r="E15" s="120" t="s">
        <v>1726</v>
      </c>
      <c r="F15" s="1747"/>
      <c r="G15" s="1747"/>
      <c r="H15" s="1747"/>
      <c r="I15" s="1400"/>
    </row>
    <row r="16" spans="1:12" ht="12.75">
      <c r="A16" s="3169"/>
      <c r="B16" s="3156"/>
      <c r="C16" s="3174"/>
      <c r="D16" s="3192"/>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179" t="s">
        <v>2627</v>
      </c>
      <c r="F18" s="3180"/>
      <c r="G18" s="3180"/>
      <c r="H18" s="3180"/>
      <c r="I18" s="3180"/>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163" t="s">
        <v>1742</v>
      </c>
      <c r="B24" s="1751" t="s">
        <v>1734</v>
      </c>
      <c r="C24" s="125">
        <f>IF(B30=0,0,D30)</f>
        <v>0</v>
      </c>
      <c r="D24" s="1757"/>
      <c r="E24" s="118"/>
      <c r="F24" s="118"/>
      <c r="G24" s="118"/>
      <c r="H24" s="118"/>
      <c r="I24" s="118"/>
    </row>
    <row r="25" spans="1:36" ht="14.25">
      <c r="A25" s="316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3566</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183" t="s">
        <v>1755</v>
      </c>
      <c r="B36" s="1772" t="s">
        <v>1756</v>
      </c>
      <c r="C36" s="134"/>
      <c r="D36" s="1773"/>
      <c r="E36" s="1687"/>
      <c r="F36" s="1774"/>
      <c r="G36" s="118"/>
      <c r="H36" s="118"/>
      <c r="I36" s="118"/>
    </row>
    <row r="37" spans="1:15" ht="15.75" thickBot="1">
      <c r="A37" s="3184"/>
      <c r="B37" s="1675" t="s">
        <v>1757</v>
      </c>
      <c r="C37" s="136"/>
      <c r="D37" s="1171"/>
      <c r="E37" s="1171"/>
      <c r="F37" s="1774"/>
      <c r="G37" s="118"/>
      <c r="H37" s="118"/>
      <c r="I37" s="118"/>
    </row>
    <row r="38" spans="1:15" ht="15.75" thickBot="1">
      <c r="A38" s="3185"/>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0" t="s">
        <v>1769</v>
      </c>
      <c r="B45" s="3161"/>
      <c r="C45" s="3162"/>
      <c r="D45" s="144" t="e">
        <f ca="1">ROUND(H101*F45,0)</f>
        <v>#DIV/0!</v>
      </c>
      <c r="E45" s="145" t="s">
        <v>1770</v>
      </c>
      <c r="F45" s="146">
        <v>1</v>
      </c>
      <c r="G45" s="147" t="s">
        <v>1771</v>
      </c>
      <c r="H45" s="118"/>
      <c r="I45" s="118"/>
      <c r="J45" s="3241" t="s">
        <v>1772</v>
      </c>
      <c r="K45" s="3241"/>
      <c r="L45" s="3241"/>
      <c r="M45" s="3241"/>
      <c r="N45" s="3241"/>
      <c r="O45" s="3241"/>
    </row>
    <row r="46" spans="1:15" ht="14.25" customHeight="1">
      <c r="A46" s="3157" t="s">
        <v>1773</v>
      </c>
      <c r="B46" s="3158"/>
      <c r="C46" s="3158"/>
      <c r="D46" s="3158"/>
      <c r="E46" s="3158"/>
      <c r="F46" s="3158"/>
      <c r="G46" s="3159"/>
      <c r="H46" s="1788"/>
      <c r="I46" s="148"/>
      <c r="J46" s="2461">
        <v>1</v>
      </c>
      <c r="K46" s="3222" t="s">
        <v>1774</v>
      </c>
      <c r="L46" s="3222"/>
      <c r="M46" s="3242"/>
      <c r="N46" s="3242"/>
      <c r="O46" s="3242"/>
    </row>
    <row r="47" spans="1:15" ht="12" customHeight="1">
      <c r="A47" s="149" t="s">
        <v>1775</v>
      </c>
      <c r="B47" s="150"/>
      <c r="C47" s="151"/>
      <c r="D47" s="1122" t="s">
        <v>1776</v>
      </c>
      <c r="E47" s="292" t="s">
        <v>1777</v>
      </c>
      <c r="F47" s="152" t="s">
        <v>1778</v>
      </c>
      <c r="G47" s="2484" t="s">
        <v>1779</v>
      </c>
      <c r="H47" s="2485"/>
      <c r="I47" s="148"/>
      <c r="J47" s="2461">
        <v>2</v>
      </c>
      <c r="K47" s="3222" t="s">
        <v>1780</v>
      </c>
      <c r="L47" s="3222"/>
      <c r="M47" s="3243">
        <f>'数据-取费表'!B2</f>
        <v>44807</v>
      </c>
      <c r="N47" s="3243"/>
      <c r="O47" s="3243"/>
    </row>
    <row r="48" spans="1:15" ht="25.5">
      <c r="A48" s="3188" t="s">
        <v>1781</v>
      </c>
      <c r="B48" s="3171"/>
      <c r="C48" s="3171"/>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222" t="s">
        <v>1783</v>
      </c>
      <c r="L48" s="3222"/>
      <c r="M48" s="3244" t="e">
        <f ca="1">H101</f>
        <v>#DIV/0!</v>
      </c>
      <c r="N48" s="3244"/>
      <c r="O48" s="3244"/>
    </row>
    <row r="49" spans="1:35" ht="25.5" customHeight="1">
      <c r="A49" s="2304" t="s">
        <v>1784</v>
      </c>
      <c r="B49" s="3155" t="s">
        <v>1785</v>
      </c>
      <c r="C49" s="3155"/>
      <c r="D49" s="1598">
        <v>0</v>
      </c>
      <c r="E49" s="314" t="s">
        <v>1786</v>
      </c>
      <c r="F49" s="2384" t="s">
        <v>34</v>
      </c>
      <c r="G49" s="3228"/>
      <c r="H49" s="2281" t="s">
        <v>2630</v>
      </c>
      <c r="I49" s="2282"/>
      <c r="J49" s="2461">
        <v>4</v>
      </c>
      <c r="K49" s="3222" t="str">
        <f>IF(项目基本情况!E8="房地产抵押价值","房地产抵押价值","抵押担保权已注销时的房地产抵押价值")</f>
        <v>房地产抵押价值</v>
      </c>
      <c r="L49" s="3222"/>
      <c r="M49" s="3244" t="e">
        <f ca="1">IF(项目基本情况!E8="房地产抵押价值",H107,H109)</f>
        <v>#DIV/0!</v>
      </c>
      <c r="N49" s="3244"/>
      <c r="O49" s="3244"/>
    </row>
    <row r="50" spans="1:35" ht="25.5" customHeight="1">
      <c r="A50" s="2489"/>
      <c r="B50" s="3155" t="s">
        <v>1787</v>
      </c>
      <c r="C50" s="3155"/>
      <c r="D50" s="2341"/>
      <c r="E50" s="321"/>
      <c r="F50" s="2384"/>
      <c r="G50" s="3229"/>
      <c r="H50" s="2283" t="s">
        <v>2631</v>
      </c>
      <c r="I50" s="2282"/>
      <c r="J50" s="3241" t="s">
        <v>1788</v>
      </c>
      <c r="K50" s="3241"/>
      <c r="L50" s="3241"/>
      <c r="M50" s="3241"/>
      <c r="N50" s="3241"/>
      <c r="O50" s="3241"/>
    </row>
    <row r="51" spans="1:35" ht="20.45" customHeight="1">
      <c r="A51" s="2490"/>
      <c r="B51" s="3155" t="s">
        <v>1789</v>
      </c>
      <c r="C51" s="3155"/>
      <c r="D51" s="1122"/>
      <c r="E51" s="317"/>
      <c r="F51" s="2384"/>
      <c r="G51" s="3230"/>
      <c r="H51" s="2283" t="s">
        <v>2632</v>
      </c>
      <c r="I51" s="2282"/>
      <c r="J51" s="2462" t="s">
        <v>1790</v>
      </c>
      <c r="K51" s="3222" t="s">
        <v>1791</v>
      </c>
      <c r="L51" s="3222"/>
      <c r="M51" s="2462" t="s">
        <v>1792</v>
      </c>
      <c r="N51" s="2462" t="s">
        <v>1793</v>
      </c>
      <c r="O51" s="2462" t="s">
        <v>1794</v>
      </c>
    </row>
    <row r="52" spans="1:35" ht="24" customHeight="1">
      <c r="A52" s="2305" t="s">
        <v>1795</v>
      </c>
      <c r="B52" s="3155" t="s">
        <v>1796</v>
      </c>
      <c r="C52" s="3155"/>
      <c r="D52" s="1122" t="e">
        <f ca="1">ROUND(D45*'数据-取费表'!B41/(1+'数据-取费表'!C42),0)</f>
        <v>#DIV/0!</v>
      </c>
      <c r="E52" s="1375" t="s">
        <v>1797</v>
      </c>
      <c r="F52" s="2491">
        <f>'数据-取费表'!B41</f>
        <v>5.6000000000000001E-2</v>
      </c>
      <c r="G52" s="2492"/>
      <c r="H52" s="2482"/>
      <c r="I52" s="1789"/>
      <c r="J52" s="2461">
        <v>1</v>
      </c>
      <c r="K52" s="3223" t="s">
        <v>1798</v>
      </c>
      <c r="L52" s="3223"/>
      <c r="M52" s="2463" t="b">
        <f>D48</f>
        <v>0</v>
      </c>
      <c r="N52" s="2461" t="str">
        <f>E48</f>
        <v>销售额×税（费）率</v>
      </c>
      <c r="O52" s="2464">
        <f>F48</f>
        <v>5.6000000000000001E-2</v>
      </c>
    </row>
    <row r="53" spans="1:35" ht="12" customHeight="1">
      <c r="A53" s="2305" t="s">
        <v>1799</v>
      </c>
      <c r="B53" s="3181" t="s">
        <v>2783</v>
      </c>
      <c r="C53" s="3182"/>
      <c r="D53" s="1122" t="e">
        <f ca="1">ROUND(D45*'数据-取费表'!B41/(1+'数据-取费表'!C42),0)</f>
        <v>#DIV/0!</v>
      </c>
      <c r="E53" s="1375" t="s">
        <v>1797</v>
      </c>
      <c r="F53" s="2491">
        <f>'数据-取费表'!B41</f>
        <v>5.6000000000000001E-2</v>
      </c>
      <c r="G53" s="2492"/>
      <c r="H53" s="2482"/>
      <c r="I53" s="1789"/>
      <c r="J53" s="2461">
        <v>2</v>
      </c>
      <c r="K53" s="3223" t="s">
        <v>1800</v>
      </c>
      <c r="L53" s="3223"/>
      <c r="M53" s="2463" t="e">
        <f t="shared" ref="M53:O54" ca="1" si="0">D55</f>
        <v>#DIV/0!</v>
      </c>
      <c r="N53" s="2461" t="str">
        <f t="shared" si="0"/>
        <v>销售额×税（费）率</v>
      </c>
      <c r="O53" s="2464" t="str">
        <f t="shared" si="0"/>
        <v>免征</v>
      </c>
    </row>
    <row r="54" spans="1:35" ht="12" customHeight="1">
      <c r="A54" s="2305" t="s">
        <v>1801</v>
      </c>
      <c r="B54" s="3181" t="s">
        <v>2784</v>
      </c>
      <c r="C54" s="3182"/>
      <c r="D54" s="1122" t="e">
        <f ca="1">C68</f>
        <v>#DIV/0!</v>
      </c>
      <c r="E54" s="317" t="s">
        <v>1802</v>
      </c>
      <c r="F54" s="2491">
        <f>'数据-取费表'!B41</f>
        <v>5.6000000000000001E-2</v>
      </c>
      <c r="G54" s="2492"/>
      <c r="H54" s="2493"/>
      <c r="I54" s="1789"/>
      <c r="J54" s="2461">
        <v>3</v>
      </c>
      <c r="K54" s="3223" t="s">
        <v>1803</v>
      </c>
      <c r="L54" s="3223"/>
      <c r="M54" s="2463" t="e">
        <f t="shared" ca="1" si="0"/>
        <v>#DIV/0!</v>
      </c>
      <c r="N54" s="2461" t="str">
        <f t="shared" si="0"/>
        <v>增值额×税（费）率</v>
      </c>
      <c r="O54" s="2465" t="str">
        <f t="shared" si="0"/>
        <v>免征</v>
      </c>
    </row>
    <row r="55" spans="1:35" ht="24" customHeight="1">
      <c r="A55" s="3170" t="s">
        <v>1804</v>
      </c>
      <c r="B55" s="3171"/>
      <c r="C55" s="3171"/>
      <c r="D55" s="14" t="e">
        <f ca="1">IF(H55="个人住宅",0,ROUND(D45*I55,0))</f>
        <v>#DIV/0!</v>
      </c>
      <c r="E55" s="1375" t="s">
        <v>1805</v>
      </c>
      <c r="F55" s="2491" t="str">
        <f>IF(H55="正常",I55,"免征")</f>
        <v>免征</v>
      </c>
      <c r="G55" s="2492"/>
      <c r="H55" s="2488"/>
      <c r="I55" s="154">
        <f>'数据-取费表'!B49</f>
        <v>5.0000000000000001E-4</v>
      </c>
      <c r="J55" s="2461">
        <f>IF(H59="非个人房产","",4)</f>
        <v>4</v>
      </c>
      <c r="K55" s="3223" t="str">
        <f>IF(H59="非个人房产","——","个人所得税")</f>
        <v>个人所得税</v>
      </c>
      <c r="L55" s="3223"/>
      <c r="M55" s="2466" t="e">
        <f ca="1">D59</f>
        <v>#DIV/0!</v>
      </c>
      <c r="N55" s="2004" t="str">
        <f>E59</f>
        <v>差额计税</v>
      </c>
      <c r="O55" s="2467">
        <f>F59</f>
        <v>0.01</v>
      </c>
    </row>
    <row r="56" spans="1:35" ht="24.75">
      <c r="A56" s="3170" t="s">
        <v>1806</v>
      </c>
      <c r="B56" s="3171"/>
      <c r="C56" s="3171"/>
      <c r="D56" s="14" t="e">
        <f ca="1">IF(H56="个人住宅",D57,D58)</f>
        <v>#DIV/0!</v>
      </c>
      <c r="E56" s="1375" t="s">
        <v>1807</v>
      </c>
      <c r="F56" s="2491" t="str">
        <f>IF(H56="正常",F58,"免征")</f>
        <v>免征</v>
      </c>
      <c r="G56" s="2494" t="s">
        <v>1808</v>
      </c>
      <c r="H56" s="2495"/>
      <c r="I56" s="1790"/>
      <c r="J56" s="2461" t="str">
        <f>IF(项目基本情况!K6="上海银行",IF(J55="",4,J55+1),"")</f>
        <v/>
      </c>
      <c r="K56" s="3246" t="str">
        <f>IF(项目基本情况!K6="上海银行","其他处置费用","")</f>
        <v/>
      </c>
      <c r="L56" s="3247"/>
      <c r="M56" s="2463" t="str">
        <f>IF(项目基本情况!K6="上海银行",M69,"")</f>
        <v/>
      </c>
      <c r="N56" s="3246" t="str">
        <f>IF(项目基本情况!K6="上海银行","包含处置中涉及的律师、诉讼、拍卖、评估等费用","")</f>
        <v/>
      </c>
      <c r="O56" s="3249"/>
    </row>
    <row r="57" spans="1:35" ht="12.75">
      <c r="A57" s="2305" t="s">
        <v>1784</v>
      </c>
      <c r="B57" s="3181" t="s">
        <v>1809</v>
      </c>
      <c r="C57" s="3182"/>
      <c r="D57" s="1598">
        <v>0</v>
      </c>
      <c r="E57" s="314" t="s">
        <v>1786</v>
      </c>
      <c r="F57" s="292"/>
      <c r="G57" s="2492"/>
      <c r="H57" s="2496"/>
      <c r="I57" s="1790"/>
      <c r="J57" s="3223">
        <f>IF(AND(J55="",J56=""),4,IF(项目基本情况!K6="上海银行",'结果表 (2)'!J56+1,'结果表 (2)'!J55+1))</f>
        <v>5</v>
      </c>
      <c r="K57" s="3223" t="s">
        <v>1810</v>
      </c>
      <c r="L57" s="2468" t="s">
        <v>1811</v>
      </c>
      <c r="M57" s="2469"/>
      <c r="N57" s="2470">
        <f ca="1">SUMIF(M52:M56,"&lt;9e307")</f>
        <v>0</v>
      </c>
      <c r="O57" s="2471"/>
      <c r="P57" s="2618" t="e">
        <f ca="1">N57/M49</f>
        <v>#DIV/0!</v>
      </c>
    </row>
    <row r="58" spans="1:35" ht="24.75">
      <c r="A58" s="2305" t="s">
        <v>1795</v>
      </c>
      <c r="B58" s="3181" t="s">
        <v>1812</v>
      </c>
      <c r="C58" s="3155"/>
      <c r="D58" s="14" t="e">
        <f ca="1">IF(H58="转让取得",C81,C97)</f>
        <v>#DIV/0!</v>
      </c>
      <c r="E58" s="1375" t="s">
        <v>1807</v>
      </c>
      <c r="F58" s="292" t="s">
        <v>34</v>
      </c>
      <c r="G58" s="2492"/>
      <c r="H58" s="2495"/>
      <c r="I58" s="1790"/>
      <c r="J58" s="3223"/>
      <c r="K58" s="3223"/>
      <c r="L58" s="2468" t="s">
        <v>1813</v>
      </c>
      <c r="M58" s="2472"/>
      <c r="N58" s="2473" t="str">
        <f ca="1">NUMBERSTRING(INT(N57*10000),2)&amp;"元整"</f>
        <v>零元整</v>
      </c>
      <c r="O58" s="2474"/>
    </row>
    <row r="59" spans="1:35" ht="24.75" thickBot="1">
      <c r="A59" s="3226" t="s">
        <v>1814</v>
      </c>
      <c r="B59" s="3227"/>
      <c r="C59" s="3227"/>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224">
        <f>J57+1</f>
        <v>6</v>
      </c>
      <c r="K59" s="3223" t="s">
        <v>1815</v>
      </c>
      <c r="L59" s="2461" t="s">
        <v>1811</v>
      </c>
      <c r="M59" s="2475"/>
      <c r="N59" s="2476" t="e">
        <f ca="1">M49-N57</f>
        <v>#DIV/0!</v>
      </c>
      <c r="O59" s="2477"/>
    </row>
    <row r="60" spans="1:35" ht="12" customHeight="1">
      <c r="A60" s="1791"/>
      <c r="B60" s="643"/>
      <c r="C60" s="643"/>
      <c r="D60" s="643"/>
      <c r="E60" s="1586"/>
      <c r="F60" s="1790"/>
      <c r="G60" s="1790"/>
      <c r="H60" s="148"/>
      <c r="I60" s="118"/>
      <c r="J60" s="3225"/>
      <c r="K60" s="3223"/>
      <c r="L60" s="2468" t="s">
        <v>1813</v>
      </c>
      <c r="M60" s="2472"/>
      <c r="N60" s="2473" t="e">
        <f ca="1">NUMBERSTRING(INT(N59*10000),2)&amp;"元整"</f>
        <v>#DIV/0!</v>
      </c>
      <c r="O60" s="2474"/>
    </row>
    <row r="61" spans="1:35" ht="13.5" thickBot="1">
      <c r="A61" s="3168" t="s">
        <v>1816</v>
      </c>
      <c r="B61" s="3168"/>
      <c r="C61" s="3168"/>
      <c r="D61" s="3168"/>
      <c r="E61" s="3168"/>
      <c r="F61" s="1790"/>
      <c r="G61" s="1790"/>
      <c r="H61" s="148"/>
      <c r="I61" s="118"/>
      <c r="J61" s="2461">
        <f>J59+1</f>
        <v>7</v>
      </c>
      <c r="K61" s="3223" t="s">
        <v>1817</v>
      </c>
      <c r="L61" s="3223"/>
      <c r="M61" s="2478"/>
      <c r="N61" s="2479" t="e">
        <f ca="1">ROUND(N59*10000/'数据-汇总表'!E3,0)</f>
        <v>#DIV/0!</v>
      </c>
      <c r="O61" s="2480"/>
    </row>
    <row r="62" spans="1:35" ht="12.75">
      <c r="A62" s="3186" t="s">
        <v>1818</v>
      </c>
      <c r="B62" s="3187"/>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248"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248"/>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248"/>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248"/>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248"/>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248"/>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248"/>
      <c r="K69" s="1350" t="s">
        <v>1836</v>
      </c>
      <c r="L69" s="1350"/>
      <c r="M69" s="292" t="e">
        <f ca="1">ROUND(SUM(M63:M68),0)</f>
        <v>#DIV/0!</v>
      </c>
      <c r="N69" s="2483" t="e">
        <f ca="1">M69/M49</f>
        <v>#DIV/0!</v>
      </c>
      <c r="Z69" s="1743"/>
      <c r="AI69" s="1681"/>
    </row>
    <row r="70" spans="1:35" s="639" customFormat="1" ht="15" thickBot="1">
      <c r="A70" s="3207" t="s">
        <v>1837</v>
      </c>
      <c r="B70" s="3208"/>
      <c r="C70" s="3208"/>
      <c r="D70" s="3208"/>
      <c r="E70" s="3208"/>
      <c r="F70" s="3208"/>
      <c r="G70" s="3208"/>
      <c r="H70" s="320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6" t="s">
        <v>1818</v>
      </c>
      <c r="B71" s="3187"/>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181" t="s">
        <v>1845</v>
      </c>
      <c r="F76" s="3155"/>
      <c r="G76" s="3155"/>
      <c r="H76" s="320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165" t="s">
        <v>1849</v>
      </c>
      <c r="F78" s="3166"/>
      <c r="G78" s="3166"/>
      <c r="H78" s="317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7" t="s">
        <v>1853</v>
      </c>
      <c r="B83" s="3208"/>
      <c r="C83" s="3208"/>
      <c r="D83" s="3208"/>
      <c r="E83" s="3208"/>
      <c r="F83" s="3208"/>
      <c r="G83" s="3208"/>
      <c r="H83" s="320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6" t="s">
        <v>1818</v>
      </c>
      <c r="B84" s="3187"/>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0" t="s">
        <v>2625</v>
      </c>
      <c r="H90" s="3251"/>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5" t="s">
        <v>1862</v>
      </c>
      <c r="F91" s="3166"/>
      <c r="G91" s="316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5" t="s">
        <v>1865</v>
      </c>
      <c r="F92" s="3166"/>
      <c r="G92" s="3166"/>
      <c r="H92" s="3175"/>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165" t="s">
        <v>1849</v>
      </c>
      <c r="F93" s="3166"/>
      <c r="G93" s="3166"/>
      <c r="H93" s="317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6" t="s">
        <v>1869</v>
      </c>
      <c r="F94" s="3177"/>
      <c r="G94" s="3177"/>
      <c r="H94" s="317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67"/>
      <c r="E100" s="3150" t="s">
        <v>1872</v>
      </c>
      <c r="F100" s="3150"/>
      <c r="G100" s="3150"/>
      <c r="H100" s="3167"/>
      <c r="I100" s="118"/>
    </row>
    <row r="101" spans="1:35" ht="18.75" customHeight="1">
      <c r="A101" s="3231" t="s">
        <v>1873</v>
      </c>
      <c r="B101" s="3232"/>
      <c r="C101" s="2522" t="str">
        <f>C4</f>
        <v>比较法-车位</v>
      </c>
      <c r="D101" s="2523" t="str">
        <f>D4</f>
        <v>收益法 (车)</v>
      </c>
      <c r="E101" s="3245" t="s">
        <v>1874</v>
      </c>
      <c r="F101" s="3199"/>
      <c r="G101" s="1807" t="s">
        <v>1875</v>
      </c>
      <c r="H101" s="2532" t="e">
        <f ca="1">H118</f>
        <v>#DIV/0!</v>
      </c>
      <c r="I101" s="118"/>
    </row>
    <row r="102" spans="1:35" ht="18.75" customHeight="1">
      <c r="A102" s="3201" t="s">
        <v>1876</v>
      </c>
      <c r="B102" s="2521" t="s">
        <v>1875</v>
      </c>
      <c r="C102" s="2522" t="e">
        <f ca="1">C19</f>
        <v>#DIV/0!</v>
      </c>
      <c r="D102" s="2523" t="e">
        <f ca="1">D19</f>
        <v>#N/A</v>
      </c>
      <c r="E102" s="3245"/>
      <c r="F102" s="3199"/>
      <c r="G102" s="1807" t="s">
        <v>1877</v>
      </c>
      <c r="H102" s="2492" t="e">
        <f ca="1">I118</f>
        <v>#DIV/0!</v>
      </c>
      <c r="I102" s="118"/>
    </row>
    <row r="103" spans="1:35" ht="42.75" customHeight="1">
      <c r="A103" s="3201"/>
      <c r="B103" s="2521" t="s">
        <v>1877</v>
      </c>
      <c r="C103" s="2524" t="e">
        <f ca="1">C20</f>
        <v>#DIV/0!</v>
      </c>
      <c r="D103" s="2525">
        <f ca="1">D20</f>
        <v>0</v>
      </c>
      <c r="E103" s="3239" t="s">
        <v>1878</v>
      </c>
      <c r="F103" s="3240"/>
      <c r="G103" s="1808" t="s">
        <v>1879</v>
      </c>
      <c r="H103" s="2532">
        <f>IF(D36="正常操作",H104+H105+H106,H105+H106)</f>
        <v>0</v>
      </c>
      <c r="I103" s="118"/>
    </row>
    <row r="104" spans="1:35" ht="18.75" customHeight="1">
      <c r="A104" s="3201"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2"/>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8" t="str">
        <f>IF(项目基本情况!E8="已注销","——","3.房地产抵押价值")</f>
        <v>3.房地产抵押价值</v>
      </c>
      <c r="F107" s="3199"/>
      <c r="G107" s="1807" t="s">
        <v>1875</v>
      </c>
      <c r="H107" s="2532" t="e">
        <f ca="1">IF(E107="——","——",H101-H103)</f>
        <v>#DIV/0!</v>
      </c>
      <c r="I107" s="118"/>
    </row>
    <row r="108" spans="1:35" ht="18.75" customHeight="1">
      <c r="A108" s="118"/>
      <c r="B108" s="118"/>
      <c r="C108" s="118"/>
      <c r="D108" s="118"/>
      <c r="E108" s="3198"/>
      <c r="F108" s="3199"/>
      <c r="G108" s="1807" t="s">
        <v>1877</v>
      </c>
      <c r="H108" s="2492" t="e">
        <f ca="1">ROUND(H107*10000/'数据-汇总表'!E3,0)</f>
        <v>#DIV/0!</v>
      </c>
      <c r="I108" s="118"/>
    </row>
    <row r="109" spans="1:35" ht="18.75" customHeight="1">
      <c r="A109" s="118"/>
      <c r="B109" s="118"/>
      <c r="C109" s="118"/>
      <c r="D109" s="118"/>
      <c r="E109" s="3198" t="str">
        <f>IF(项目基本情况!E8="已注销及未注销","4.抵押担保权已注销时的房地产抵押价值",IF(项目基本情况!E8="已注销","3.抵押担保权已注销时的房地产抵押价值","——"))</f>
        <v>——</v>
      </c>
      <c r="F109" s="3199"/>
      <c r="G109" s="1807" t="s">
        <v>1875</v>
      </c>
      <c r="H109" s="2535" t="str">
        <f>IF(E109="——","——",H101-H105-H106)</f>
        <v>——</v>
      </c>
      <c r="I109" s="118"/>
    </row>
    <row r="110" spans="1:35" ht="18.75" customHeight="1">
      <c r="A110" s="118"/>
      <c r="B110" s="118"/>
      <c r="C110" s="118"/>
      <c r="D110" s="118"/>
      <c r="E110" s="3198"/>
      <c r="F110" s="3199"/>
      <c r="G110" s="1807" t="s">
        <v>1877</v>
      </c>
      <c r="H110" s="2492" t="str">
        <f>IF(H109="——","——",ROUND(H109*10000/'数据-汇总表'!E3,0))</f>
        <v>——</v>
      </c>
      <c r="I110" s="118"/>
    </row>
    <row r="111" spans="1:35" ht="18.75" customHeight="1">
      <c r="A111" s="118"/>
      <c r="B111" s="118"/>
      <c r="C111" s="118"/>
      <c r="D111" s="118"/>
      <c r="E111" s="3233" t="str">
        <f>IF(项目基本情况!E9="抵押净值",IF(OR(项目基本情况!E8="已注销",项目基本情况!E8="房地产抵押价值"),"4.抵押净值","5.抵押净值"),"——")</f>
        <v>——</v>
      </c>
      <c r="F111" s="3200"/>
      <c r="G111" s="1807" t="s">
        <v>1875</v>
      </c>
      <c r="H111" s="2532" t="str">
        <f>IF(E111="——","——",N59)</f>
        <v>——</v>
      </c>
      <c r="I111" s="118"/>
    </row>
    <row r="112" spans="1:35" ht="18.75" customHeight="1" thickBot="1">
      <c r="A112" s="118"/>
      <c r="B112" s="118"/>
      <c r="C112" s="118"/>
      <c r="D112" s="118"/>
      <c r="E112" s="3234"/>
      <c r="F112" s="3235"/>
      <c r="G112" s="1810" t="s">
        <v>1877</v>
      </c>
      <c r="H112" s="2536" t="str">
        <f>IF(E111="——","——",N61)</f>
        <v>——</v>
      </c>
      <c r="I112" s="118"/>
    </row>
    <row r="113" spans="1:27" ht="18.75" customHeight="1">
      <c r="A113" s="118"/>
      <c r="B113" s="118"/>
      <c r="C113" s="118"/>
      <c r="D113" s="118"/>
      <c r="E113" s="3203" t="s">
        <v>1883</v>
      </c>
      <c r="F113" s="3203"/>
      <c r="G113" s="3203"/>
      <c r="H113" s="3203"/>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69" t="s">
        <v>1886</v>
      </c>
      <c r="B116" s="3204" t="s">
        <v>1887</v>
      </c>
      <c r="C116" s="3204" t="s">
        <v>1888</v>
      </c>
      <c r="D116" s="3220" t="s">
        <v>1889</v>
      </c>
      <c r="E116" s="3221"/>
      <c r="F116" s="3212" t="s">
        <v>1890</v>
      </c>
      <c r="G116" s="3212"/>
      <c r="H116" s="3169" t="s">
        <v>1891</v>
      </c>
      <c r="I116" s="3169"/>
    </row>
    <row r="117" spans="1:27" ht="18.75" customHeight="1">
      <c r="A117" s="3169"/>
      <c r="B117" s="3205"/>
      <c r="C117" s="320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69" t="s">
        <v>1895</v>
      </c>
      <c r="B119" s="3169"/>
      <c r="C119" s="3169"/>
      <c r="D119" s="3209" t="e">
        <f ca="1">NUMBERSTRING(INT(D118*10000),2)&amp;"元整"</f>
        <v>#DIV/0!</v>
      </c>
      <c r="E119" s="3211"/>
      <c r="F119" s="3209" t="e">
        <f ca="1">NUMBERSTRING(INT(F118*10000),2)&amp;"元整"</f>
        <v>#DIV/0!</v>
      </c>
      <c r="G119" s="3211"/>
      <c r="H119" s="3209" t="e">
        <f ca="1">NUMBERSTRING(INT(H118*10000),2)&amp;"元整"</f>
        <v>#DIV/0!</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209" t="str">
        <f>IF(D120=0,"零元整",NUMBERSTRING(INT(D120*10000),2)&amp;"元整")</f>
        <v>零元整</v>
      </c>
      <c r="E121" s="3210"/>
      <c r="F121" s="3210"/>
      <c r="G121" s="3210"/>
      <c r="H121" s="3210"/>
      <c r="I121" s="3211"/>
      <c r="AA121" s="681"/>
    </row>
    <row r="122" spans="1:27" ht="18.75" customHeight="1">
      <c r="A122" s="3200" t="str">
        <f>IF(项目基本情况!B9="房地产市场价值","",MID(E107,3,LEN(E107)-2))</f>
        <v>房地产抵押价值</v>
      </c>
      <c r="B122" s="3200"/>
      <c r="C122" s="3200"/>
      <c r="D122" s="3236" t="e">
        <f ca="1">H107</f>
        <v>#DIV/0!</v>
      </c>
      <c r="E122" s="3237"/>
      <c r="F122" s="3237"/>
      <c r="G122" s="3237"/>
      <c r="H122" s="3237"/>
      <c r="I122" s="3238"/>
      <c r="AA122" s="681"/>
    </row>
    <row r="123" spans="1:27" ht="18.75" customHeight="1">
      <c r="A123" s="3169" t="s">
        <v>1895</v>
      </c>
      <c r="B123" s="3169"/>
      <c r="C123" s="3169"/>
      <c r="D123" s="3209" t="e">
        <f ca="1">NUMBERSTRING(INT(D122*10000),2)&amp;"元整"</f>
        <v>#DIV/0!</v>
      </c>
      <c r="E123" s="3210"/>
      <c r="F123" s="3210"/>
      <c r="G123" s="3210"/>
      <c r="H123" s="3210"/>
      <c r="I123" s="3211"/>
      <c r="AA123" s="681"/>
    </row>
    <row r="124" spans="1:27" ht="18.75" customHeight="1">
      <c r="A124" s="3200" t="str">
        <f>IF(项目基本情况!B9="房地产市场价值","",MID(E109,3,LEN(E109)-2))</f>
        <v/>
      </c>
      <c r="B124" s="3200"/>
      <c r="C124" s="3200"/>
      <c r="D124" s="3236" t="str">
        <f>H109</f>
        <v>——</v>
      </c>
      <c r="E124" s="3237"/>
      <c r="F124" s="3237"/>
      <c r="G124" s="3237"/>
      <c r="H124" s="3237"/>
      <c r="I124" s="3238"/>
      <c r="AA124" s="681"/>
    </row>
    <row r="125" spans="1:27" ht="18.75" customHeight="1">
      <c r="A125" s="3169" t="s">
        <v>1895</v>
      </c>
      <c r="B125" s="3169"/>
      <c r="C125" s="3169"/>
      <c r="D125" s="3209" t="e">
        <f>NUMBERSTRING(INT(D124*10000),2)&amp;"元整"</f>
        <v>#VALUE!</v>
      </c>
      <c r="E125" s="3210"/>
      <c r="F125" s="3210"/>
      <c r="G125" s="3210"/>
      <c r="H125" s="3210"/>
      <c r="I125" s="3211"/>
      <c r="AA125" s="681"/>
    </row>
    <row r="126" spans="1:27" ht="18.75" customHeight="1">
      <c r="A126" s="3200" t="str">
        <f>IF(项目基本情况!B9="房地产市场价值","",MID(E111,3,LEN(E111)-2))</f>
        <v/>
      </c>
      <c r="B126" s="3200"/>
      <c r="C126" s="3200"/>
      <c r="D126" s="3236" t="str">
        <f>H111</f>
        <v>——</v>
      </c>
      <c r="E126" s="3237"/>
      <c r="F126" s="3237"/>
      <c r="G126" s="3237"/>
      <c r="H126" s="3237"/>
      <c r="I126" s="3238"/>
      <c r="AA126" s="681"/>
    </row>
    <row r="127" spans="1:27" ht="18.75" customHeight="1">
      <c r="A127" s="3169" t="s">
        <v>1895</v>
      </c>
      <c r="B127" s="3169"/>
      <c r="C127" s="3169"/>
      <c r="D127" s="3209" t="e">
        <f>NUMBERSTRING(INT(D126*10000),2)&amp;"元整"</f>
        <v>#VALUE!</v>
      </c>
      <c r="E127" s="3210"/>
      <c r="F127" s="3210"/>
      <c r="G127" s="3210"/>
      <c r="H127" s="3210"/>
      <c r="I127" s="3211"/>
      <c r="AA127" s="681"/>
    </row>
    <row r="128" spans="1:27" ht="21.75" customHeight="1">
      <c r="A128" s="3219" t="s">
        <v>1896</v>
      </c>
      <c r="B128" s="3219"/>
      <c r="C128" s="3219"/>
      <c r="D128" s="3219"/>
      <c r="E128" s="3219"/>
      <c r="F128" s="3219"/>
      <c r="G128" s="3219"/>
      <c r="H128" s="3219"/>
      <c r="I128" s="321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319" t="s">
        <v>3561</v>
      </c>
      <c r="F5" s="3293"/>
      <c r="G5" s="3316" t="s">
        <v>3562</v>
      </c>
      <c r="H5" s="3286"/>
      <c r="I5" s="3316" t="s">
        <v>3563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87" t="s">
        <v>2127</v>
      </c>
      <c r="Q7" s="3289"/>
      <c r="R7" s="661" t="s">
        <v>17</v>
      </c>
      <c r="S7" s="662">
        <f t="shared" ref="S7:S14" si="0">F7</f>
        <v>0</v>
      </c>
      <c r="T7" s="661" t="s">
        <v>17</v>
      </c>
      <c r="U7" s="662">
        <f t="shared" ref="U7:U14" si="1">H7</f>
        <v>0</v>
      </c>
      <c r="V7" s="661" t="s">
        <v>17</v>
      </c>
      <c r="W7" s="662">
        <f t="shared" ref="W7:W14"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87" t="s">
        <v>2130</v>
      </c>
      <c r="Q8" s="3288"/>
      <c r="R8" s="661" t="s">
        <v>17</v>
      </c>
      <c r="S8" s="662">
        <f t="shared" si="0"/>
        <v>100</v>
      </c>
      <c r="T8" s="661" t="s">
        <v>17</v>
      </c>
      <c r="U8" s="662">
        <f t="shared" si="1"/>
        <v>100</v>
      </c>
      <c r="V8" s="661" t="s">
        <v>17</v>
      </c>
      <c r="W8" s="662">
        <f t="shared" si="2"/>
        <v>100</v>
      </c>
      <c r="X8" s="663"/>
      <c r="Y8" s="3287" t="s">
        <v>2130</v>
      </c>
      <c r="Z8" s="3288"/>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59" t="s">
        <v>2133</v>
      </c>
      <c r="Q9" s="530" t="str">
        <f t="shared" ref="Q9:Q14" si="6">B9</f>
        <v>用途</v>
      </c>
      <c r="R9" s="661" t="s">
        <v>17</v>
      </c>
      <c r="S9" s="662">
        <f t="shared" si="0"/>
        <v>100</v>
      </c>
      <c r="T9" s="661" t="s">
        <v>17</v>
      </c>
      <c r="U9" s="662">
        <f t="shared" si="1"/>
        <v>100</v>
      </c>
      <c r="V9" s="661" t="s">
        <v>17</v>
      </c>
      <c r="W9" s="662">
        <f t="shared" si="2"/>
        <v>100</v>
      </c>
      <c r="X9" s="663"/>
      <c r="Y9" s="3156"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59"/>
      <c r="Q11" s="530">
        <f t="shared" si="6"/>
        <v>111</v>
      </c>
      <c r="R11" s="661" t="s">
        <v>17</v>
      </c>
      <c r="S11" s="662">
        <f t="shared" si="0"/>
        <v>100</v>
      </c>
      <c r="T11" s="661" t="s">
        <v>17</v>
      </c>
      <c r="U11" s="662">
        <f t="shared" si="1"/>
        <v>100</v>
      </c>
      <c r="V11" s="661" t="s">
        <v>17</v>
      </c>
      <c r="W11" s="662">
        <f t="shared" si="2"/>
        <v>100</v>
      </c>
      <c r="X11" s="663"/>
      <c r="Y11" s="3156"/>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60" t="s">
        <v>2138</v>
      </c>
      <c r="Q14" s="1382" t="str">
        <f t="shared" si="6"/>
        <v>交通便捷度</v>
      </c>
      <c r="R14" s="664" t="s">
        <v>17</v>
      </c>
      <c r="S14" s="665">
        <f t="shared" si="0"/>
        <v>100</v>
      </c>
      <c r="T14" s="664" t="s">
        <v>17</v>
      </c>
      <c r="U14" s="665">
        <f t="shared" si="1"/>
        <v>100</v>
      </c>
      <c r="V14" s="664" t="s">
        <v>17</v>
      </c>
      <c r="W14" s="665">
        <f t="shared" si="2"/>
        <v>97</v>
      </c>
      <c r="X14" s="1384"/>
      <c r="Y14" s="3260"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61"/>
      <c r="Q15" s="1382"/>
      <c r="R15" s="664"/>
      <c r="S15" s="665"/>
      <c r="T15" s="664"/>
      <c r="U15" s="665"/>
      <c r="V15" s="664"/>
      <c r="W15" s="665"/>
      <c r="X15" s="1384"/>
      <c r="Y15" s="3261"/>
      <c r="Z15" s="1383"/>
      <c r="AA15" s="1383">
        <v>1</v>
      </c>
      <c r="AB15" s="1383">
        <v>1</v>
      </c>
      <c r="AC15" s="1383">
        <v>1</v>
      </c>
    </row>
    <row r="16" spans="1:29" ht="42.75">
      <c r="A16" s="346"/>
      <c r="B16" s="556" t="s">
        <v>2266</v>
      </c>
      <c r="C16" s="1874" t="str">
        <f>IF(B1="工业",估价对象房地状况!G5,估价对象房地状况!C7)</f>
        <v>估价对象所在区域公共配套设施齐备好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61"/>
      <c r="Q16" s="1382" t="str">
        <f>B16</f>
        <v>公共配套设施</v>
      </c>
      <c r="R16" s="664" t="s">
        <v>17</v>
      </c>
      <c r="S16" s="665">
        <f>F16</f>
        <v>100</v>
      </c>
      <c r="T16" s="664" t="s">
        <v>17</v>
      </c>
      <c r="U16" s="665">
        <f>H16</f>
        <v>100</v>
      </c>
      <c r="V16" s="664" t="s">
        <v>17</v>
      </c>
      <c r="W16" s="665">
        <f>J16</f>
        <v>100</v>
      </c>
      <c r="X16" s="1384"/>
      <c r="Y16" s="3261"/>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61"/>
      <c r="Q17" s="1382"/>
      <c r="R17" s="664"/>
      <c r="S17" s="665"/>
      <c r="T17" s="664"/>
      <c r="U17" s="665"/>
      <c r="V17" s="664"/>
      <c r="W17" s="665"/>
      <c r="X17" s="1384"/>
      <c r="Y17" s="3261"/>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61"/>
      <c r="Q18" s="1382" t="str">
        <f>B18</f>
        <v>基础设施水平</v>
      </c>
      <c r="R18" s="664" t="s">
        <v>17</v>
      </c>
      <c r="S18" s="665">
        <f>F18</f>
        <v>100</v>
      </c>
      <c r="T18" s="664" t="s">
        <v>17</v>
      </c>
      <c r="U18" s="665">
        <f>H18</f>
        <v>100</v>
      </c>
      <c r="V18" s="664" t="s">
        <v>17</v>
      </c>
      <c r="W18" s="665">
        <f>J18</f>
        <v>100</v>
      </c>
      <c r="X18" s="1384"/>
      <c r="Y18" s="3261"/>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61"/>
      <c r="Q19" s="1382"/>
      <c r="R19" s="664"/>
      <c r="S19" s="665"/>
      <c r="T19" s="664"/>
      <c r="U19" s="665"/>
      <c r="V19" s="664"/>
      <c r="W19" s="665"/>
      <c r="X19" s="1384"/>
      <c r="Y19" s="3261"/>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61"/>
      <c r="Q20" s="1382" t="str">
        <f>B20</f>
        <v>自然及人文环境</v>
      </c>
      <c r="R20" s="664" t="s">
        <v>17</v>
      </c>
      <c r="S20" s="665">
        <f>F20</f>
        <v>100</v>
      </c>
      <c r="T20" s="664" t="s">
        <v>17</v>
      </c>
      <c r="U20" s="665">
        <f>H20</f>
        <v>100</v>
      </c>
      <c r="V20" s="664" t="s">
        <v>17</v>
      </c>
      <c r="W20" s="665">
        <f>J20</f>
        <v>100</v>
      </c>
      <c r="X20" s="1384"/>
      <c r="Y20" s="3261"/>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61"/>
      <c r="Q21" s="1382"/>
      <c r="R21" s="664"/>
      <c r="S21" s="665"/>
      <c r="T21" s="664"/>
      <c r="U21" s="665"/>
      <c r="V21" s="664"/>
      <c r="W21" s="665"/>
      <c r="X21" s="1384"/>
      <c r="Y21" s="3261"/>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61"/>
      <c r="Q22" s="1382" t="str">
        <f>B22</f>
        <v>楼层</v>
      </c>
      <c r="R22" s="664" t="s">
        <v>17</v>
      </c>
      <c r="S22" s="665">
        <f>F22</f>
        <v>100</v>
      </c>
      <c r="T22" s="664" t="s">
        <v>17</v>
      </c>
      <c r="U22" s="665">
        <f>H22</f>
        <v>100</v>
      </c>
      <c r="V22" s="664" t="s">
        <v>17</v>
      </c>
      <c r="W22" s="665">
        <f>J22</f>
        <v>100</v>
      </c>
      <c r="X22" s="1384"/>
      <c r="Y22" s="3261"/>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61"/>
      <c r="Q23" s="1382">
        <f>B23</f>
        <v>111</v>
      </c>
      <c r="R23" s="664" t="s">
        <v>17</v>
      </c>
      <c r="S23" s="665">
        <f>F23</f>
        <v>100</v>
      </c>
      <c r="T23" s="664" t="s">
        <v>17</v>
      </c>
      <c r="U23" s="665">
        <f>H23</f>
        <v>100</v>
      </c>
      <c r="V23" s="664" t="s">
        <v>17</v>
      </c>
      <c r="W23" s="665">
        <f>J23</f>
        <v>100</v>
      </c>
      <c r="X23" s="1384"/>
      <c r="Y23" s="3261"/>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61"/>
      <c r="Q24" s="1382">
        <f t="shared" ref="Q24:Q36" si="11">B24</f>
        <v>111</v>
      </c>
      <c r="R24" s="664" t="s">
        <v>17</v>
      </c>
      <c r="S24" s="665">
        <f>F24</f>
        <v>100</v>
      </c>
      <c r="T24" s="664" t="s">
        <v>17</v>
      </c>
      <c r="U24" s="665">
        <f>H24</f>
        <v>100</v>
      </c>
      <c r="V24" s="664" t="s">
        <v>17</v>
      </c>
      <c r="W24" s="665">
        <f>J24</f>
        <v>100</v>
      </c>
      <c r="X24" s="1384"/>
      <c r="Y24" s="3261"/>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61"/>
      <c r="Q25" s="530">
        <f t="shared" si="11"/>
        <v>111</v>
      </c>
      <c r="R25" s="661" t="s">
        <v>17</v>
      </c>
      <c r="S25" s="662">
        <f>F25</f>
        <v>100</v>
      </c>
      <c r="T25" s="661" t="s">
        <v>17</v>
      </c>
      <c r="U25" s="662">
        <f>H25</f>
        <v>100</v>
      </c>
      <c r="V25" s="661" t="s">
        <v>17</v>
      </c>
      <c r="W25" s="662">
        <f>J25</f>
        <v>100</v>
      </c>
      <c r="X25" s="663"/>
      <c r="Y25" s="3261"/>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62"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63"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63"/>
      <c r="Q27" s="531" t="str">
        <f t="shared" si="11"/>
        <v>项目停车位配比</v>
      </c>
      <c r="R27" s="666" t="s">
        <v>17</v>
      </c>
      <c r="S27" s="667">
        <f t="shared" si="12"/>
        <v>100</v>
      </c>
      <c r="T27" s="666" t="s">
        <v>17</v>
      </c>
      <c r="U27" s="667">
        <f t="shared" si="13"/>
        <v>100</v>
      </c>
      <c r="V27" s="666" t="s">
        <v>17</v>
      </c>
      <c r="W27" s="667">
        <f t="shared" si="14"/>
        <v>100</v>
      </c>
      <c r="X27" s="668"/>
      <c r="Y27" s="3263"/>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63"/>
      <c r="Q28" s="1382" t="str">
        <f t="shared" si="11"/>
        <v>公共部分装修</v>
      </c>
      <c r="R28" s="664" t="s">
        <v>17</v>
      </c>
      <c r="S28" s="665">
        <f t="shared" si="12"/>
        <v>100</v>
      </c>
      <c r="T28" s="664" t="s">
        <v>17</v>
      </c>
      <c r="U28" s="665">
        <f t="shared" si="13"/>
        <v>100</v>
      </c>
      <c r="V28" s="664" t="s">
        <v>17</v>
      </c>
      <c r="W28" s="665">
        <f t="shared" si="14"/>
        <v>100</v>
      </c>
      <c r="X28" s="1384"/>
      <c r="Y28" s="3263"/>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63"/>
      <c r="Q29" s="1382" t="str">
        <f t="shared" si="11"/>
        <v>成新率</v>
      </c>
      <c r="R29" s="664" t="s">
        <v>17</v>
      </c>
      <c r="S29" s="665">
        <f t="shared" si="12"/>
        <v>100</v>
      </c>
      <c r="T29" s="664" t="s">
        <v>17</v>
      </c>
      <c r="U29" s="665">
        <f t="shared" si="13"/>
        <v>100</v>
      </c>
      <c r="V29" s="664" t="s">
        <v>17</v>
      </c>
      <c r="W29" s="665">
        <f t="shared" si="14"/>
        <v>100</v>
      </c>
      <c r="X29" s="1384"/>
      <c r="Y29" s="3263"/>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63"/>
      <c r="Q30" s="1382" t="str">
        <f t="shared" si="11"/>
        <v>物业等级</v>
      </c>
      <c r="R30" s="664" t="s">
        <v>17</v>
      </c>
      <c r="S30" s="665">
        <f t="shared" si="12"/>
        <v>100</v>
      </c>
      <c r="T30" s="664" t="s">
        <v>17</v>
      </c>
      <c r="U30" s="665">
        <f t="shared" si="13"/>
        <v>100</v>
      </c>
      <c r="V30" s="664" t="s">
        <v>17</v>
      </c>
      <c r="W30" s="665">
        <f t="shared" si="14"/>
        <v>100</v>
      </c>
      <c r="X30" s="1384"/>
      <c r="Y30" s="3263"/>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63"/>
      <c r="Q31" s="530" t="str">
        <f t="shared" si="11"/>
        <v>停车位面积</v>
      </c>
      <c r="R31" s="661" t="s">
        <v>17</v>
      </c>
      <c r="S31" s="662">
        <f t="shared" si="12"/>
        <v>103</v>
      </c>
      <c r="T31" s="661" t="s">
        <v>17</v>
      </c>
      <c r="U31" s="662">
        <f t="shared" si="13"/>
        <v>100</v>
      </c>
      <c r="V31" s="661" t="s">
        <v>17</v>
      </c>
      <c r="W31" s="662">
        <f t="shared" si="14"/>
        <v>100</v>
      </c>
      <c r="X31" s="663"/>
      <c r="Y31" s="3263"/>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63" t="s">
        <v>2143</v>
      </c>
      <c r="Q32" s="1382" t="str">
        <f t="shared" si="11"/>
        <v>车位类型</v>
      </c>
      <c r="R32" s="664" t="s">
        <v>17</v>
      </c>
      <c r="S32" s="665">
        <f t="shared" si="12"/>
        <v>100</v>
      </c>
      <c r="T32" s="664" t="s">
        <v>17</v>
      </c>
      <c r="U32" s="665">
        <f t="shared" si="13"/>
        <v>100</v>
      </c>
      <c r="V32" s="664" t="s">
        <v>17</v>
      </c>
      <c r="W32" s="665">
        <f t="shared" si="14"/>
        <v>100</v>
      </c>
      <c r="X32" s="1384"/>
      <c r="Y32" s="3263"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63"/>
      <c r="Q33" s="1382" t="str">
        <f t="shared" si="11"/>
        <v>是否直接入户</v>
      </c>
      <c r="R33" s="664" t="s">
        <v>17</v>
      </c>
      <c r="S33" s="665">
        <f t="shared" si="12"/>
        <v>100</v>
      </c>
      <c r="T33" s="664" t="s">
        <v>17</v>
      </c>
      <c r="U33" s="665">
        <f t="shared" si="13"/>
        <v>100</v>
      </c>
      <c r="V33" s="664" t="s">
        <v>17</v>
      </c>
      <c r="W33" s="665">
        <f t="shared" si="14"/>
        <v>100</v>
      </c>
      <c r="X33" s="1384"/>
      <c r="Y33" s="3263"/>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63"/>
      <c r="Q34" s="1382">
        <f t="shared" si="11"/>
        <v>111</v>
      </c>
      <c r="R34" s="664" t="s">
        <v>17</v>
      </c>
      <c r="S34" s="665">
        <f t="shared" si="12"/>
        <v>100</v>
      </c>
      <c r="T34" s="664" t="s">
        <v>17</v>
      </c>
      <c r="U34" s="665">
        <f t="shared" si="13"/>
        <v>100</v>
      </c>
      <c r="V34" s="664" t="s">
        <v>17</v>
      </c>
      <c r="W34" s="665">
        <f t="shared" si="14"/>
        <v>100</v>
      </c>
      <c r="X34" s="1384"/>
      <c r="Y34" s="3263"/>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63"/>
      <c r="Q35" s="531">
        <f t="shared" si="11"/>
        <v>111</v>
      </c>
      <c r="R35" s="666" t="s">
        <v>17</v>
      </c>
      <c r="S35" s="667">
        <f t="shared" si="12"/>
        <v>100</v>
      </c>
      <c r="T35" s="666" t="s">
        <v>17</v>
      </c>
      <c r="U35" s="667">
        <f t="shared" si="13"/>
        <v>100</v>
      </c>
      <c r="V35" s="666" t="s">
        <v>17</v>
      </c>
      <c r="W35" s="667">
        <f t="shared" si="14"/>
        <v>100</v>
      </c>
      <c r="X35" s="668"/>
      <c r="Y35" s="3263"/>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63"/>
      <c r="Q36" s="1382">
        <f t="shared" si="11"/>
        <v>111</v>
      </c>
      <c r="R36" s="664" t="s">
        <v>17</v>
      </c>
      <c r="S36" s="665">
        <f t="shared" si="12"/>
        <v>100</v>
      </c>
      <c r="T36" s="664" t="s">
        <v>17</v>
      </c>
      <c r="U36" s="665">
        <f t="shared" si="13"/>
        <v>100</v>
      </c>
      <c r="V36" s="664" t="s">
        <v>17</v>
      </c>
      <c r="W36" s="665">
        <f t="shared" si="14"/>
        <v>100</v>
      </c>
      <c r="X36" s="1384"/>
      <c r="Y36" s="3263"/>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59" t="str">
        <f>A37</f>
        <v>成交单价</v>
      </c>
      <c r="Q37" s="3259"/>
      <c r="R37" s="3264">
        <f>E37</f>
        <v>125000</v>
      </c>
      <c r="S37" s="3264"/>
      <c r="T37" s="3264">
        <f>G37</f>
        <v>110000</v>
      </c>
      <c r="U37" s="3264"/>
      <c r="V37" s="3264">
        <f>I37</f>
        <v>125000</v>
      </c>
      <c r="W37" s="3264"/>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59" t="str">
        <f>A38</f>
        <v>比较价值（元/平方米）</v>
      </c>
      <c r="Q38" s="3259"/>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253" t="str">
        <f>A39</f>
        <v>估价对象XX用房的比较价值（楼面单价，元/平方米）</v>
      </c>
      <c r="Q39" s="3254"/>
      <c r="R39" s="3353" t="e">
        <f>IF(F1="售价",ROUND(IF(D38="简单平均",AVERAGE(R38:W38),R38*F38+T38*H38+V38*J38),0),ROUND(IF(D38="简单平均",AVERAGE(R38:V38),R38*F38+T38*H38+V38*J38),1))</f>
        <v>#DIV/0!</v>
      </c>
      <c r="S39" s="3353"/>
      <c r="T39" s="3353"/>
      <c r="U39" s="3353"/>
      <c r="V39" s="3353"/>
      <c r="W39" s="3353"/>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87" t="s">
        <v>2127</v>
      </c>
      <c r="Q7" s="3289"/>
      <c r="R7" s="661" t="s">
        <v>17</v>
      </c>
      <c r="S7" s="662">
        <f t="shared" ref="S7:S14" si="0">F7</f>
        <v>0</v>
      </c>
      <c r="T7" s="661" t="s">
        <v>17</v>
      </c>
      <c r="U7" s="662">
        <f t="shared" ref="U7:U14" si="1">H7</f>
        <v>0</v>
      </c>
      <c r="V7" s="661" t="s">
        <v>17</v>
      </c>
      <c r="W7" s="662">
        <f t="shared" ref="W7:W14"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59" t="s">
        <v>2133</v>
      </c>
      <c r="Q9" s="530" t="str">
        <f t="shared" ref="Q9:Q14" si="6">B9</f>
        <v>用途</v>
      </c>
      <c r="R9" s="661" t="s">
        <v>17</v>
      </c>
      <c r="S9" s="662">
        <f t="shared" si="0"/>
        <v>100</v>
      </c>
      <c r="T9" s="661" t="s">
        <v>17</v>
      </c>
      <c r="U9" s="662">
        <f t="shared" si="1"/>
        <v>100</v>
      </c>
      <c r="V9" s="661" t="s">
        <v>17</v>
      </c>
      <c r="W9" s="662">
        <f t="shared" si="2"/>
        <v>100</v>
      </c>
      <c r="X9" s="663"/>
      <c r="Y9" s="3156"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59"/>
      <c r="Q11" s="530">
        <f t="shared" si="6"/>
        <v>111</v>
      </c>
      <c r="R11" s="661" t="s">
        <v>17</v>
      </c>
      <c r="S11" s="662">
        <f t="shared" si="0"/>
        <v>100</v>
      </c>
      <c r="T11" s="661" t="s">
        <v>17</v>
      </c>
      <c r="U11" s="662">
        <f t="shared" si="1"/>
        <v>100</v>
      </c>
      <c r="V11" s="661" t="s">
        <v>17</v>
      </c>
      <c r="W11" s="662">
        <f t="shared" si="2"/>
        <v>100</v>
      </c>
      <c r="X11" s="663"/>
      <c r="Y11" s="3156"/>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60" t="s">
        <v>2138</v>
      </c>
      <c r="Q14" s="1382" t="str">
        <f t="shared" si="6"/>
        <v>交通便捷度</v>
      </c>
      <c r="R14" s="664" t="s">
        <v>17</v>
      </c>
      <c r="S14" s="665">
        <f t="shared" si="0"/>
        <v>100</v>
      </c>
      <c r="T14" s="664" t="s">
        <v>17</v>
      </c>
      <c r="U14" s="665">
        <f t="shared" si="1"/>
        <v>100</v>
      </c>
      <c r="V14" s="664" t="s">
        <v>17</v>
      </c>
      <c r="W14" s="665">
        <f t="shared" si="2"/>
        <v>100</v>
      </c>
      <c r="X14" s="1384"/>
      <c r="Y14" s="3260"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61"/>
      <c r="Q15" s="1382"/>
      <c r="R15" s="664"/>
      <c r="S15" s="665"/>
      <c r="T15" s="664"/>
      <c r="U15" s="665"/>
      <c r="V15" s="664"/>
      <c r="W15" s="665"/>
      <c r="X15" s="1384"/>
      <c r="Y15" s="3261"/>
      <c r="Z15" s="1383"/>
      <c r="AA15" s="1383">
        <v>1</v>
      </c>
      <c r="AB15" s="1383">
        <v>1</v>
      </c>
      <c r="AC15" s="1383">
        <v>1</v>
      </c>
    </row>
    <row r="16" spans="1:29" ht="42.75">
      <c r="A16" s="367"/>
      <c r="B16" s="390" t="s">
        <v>2266</v>
      </c>
      <c r="C16" s="1874" t="str">
        <f>IF(B1="工业",估价对象房地状况!G5,估价对象房地状况!C7)</f>
        <v>估价对象所在区域公共配套设施齐备好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61"/>
      <c r="Q16" s="1382" t="str">
        <f>B16</f>
        <v>公共配套设施</v>
      </c>
      <c r="R16" s="664" t="s">
        <v>17</v>
      </c>
      <c r="S16" s="665">
        <f>F16</f>
        <v>100</v>
      </c>
      <c r="T16" s="664" t="s">
        <v>17</v>
      </c>
      <c r="U16" s="665">
        <f>H16</f>
        <v>100</v>
      </c>
      <c r="V16" s="664" t="s">
        <v>17</v>
      </c>
      <c r="W16" s="665">
        <f>J16</f>
        <v>100</v>
      </c>
      <c r="X16" s="1384"/>
      <c r="Y16" s="3261"/>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61"/>
      <c r="Q17" s="1382"/>
      <c r="R17" s="664"/>
      <c r="S17" s="665"/>
      <c r="T17" s="664"/>
      <c r="U17" s="665"/>
      <c r="V17" s="664"/>
      <c r="W17" s="665"/>
      <c r="X17" s="1384"/>
      <c r="Y17" s="3261"/>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61"/>
      <c r="Q18" s="1382" t="str">
        <f>B18</f>
        <v>基础设施水平</v>
      </c>
      <c r="R18" s="664" t="s">
        <v>17</v>
      </c>
      <c r="S18" s="665">
        <f>F18</f>
        <v>100</v>
      </c>
      <c r="T18" s="664" t="s">
        <v>17</v>
      </c>
      <c r="U18" s="665">
        <f>H18</f>
        <v>100</v>
      </c>
      <c r="V18" s="664" t="s">
        <v>17</v>
      </c>
      <c r="W18" s="665">
        <f>J18</f>
        <v>100</v>
      </c>
      <c r="X18" s="1384"/>
      <c r="Y18" s="3261"/>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61"/>
      <c r="Q19" s="1382"/>
      <c r="R19" s="664"/>
      <c r="S19" s="665"/>
      <c r="T19" s="664"/>
      <c r="U19" s="665"/>
      <c r="V19" s="664"/>
      <c r="W19" s="665"/>
      <c r="X19" s="1384"/>
      <c r="Y19" s="3261"/>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61"/>
      <c r="Q20" s="1382" t="str">
        <f>B20</f>
        <v>自然及人文环境</v>
      </c>
      <c r="R20" s="664" t="s">
        <v>17</v>
      </c>
      <c r="S20" s="665">
        <f>F20</f>
        <v>100</v>
      </c>
      <c r="T20" s="664" t="s">
        <v>17</v>
      </c>
      <c r="U20" s="665">
        <f>H20</f>
        <v>100</v>
      </c>
      <c r="V20" s="664" t="s">
        <v>17</v>
      </c>
      <c r="W20" s="665">
        <f>J20</f>
        <v>100</v>
      </c>
      <c r="X20" s="1384"/>
      <c r="Y20" s="3261"/>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61"/>
      <c r="Q21" s="1382"/>
      <c r="R21" s="664"/>
      <c r="S21" s="665"/>
      <c r="T21" s="664"/>
      <c r="U21" s="665"/>
      <c r="V21" s="664"/>
      <c r="W21" s="665"/>
      <c r="X21" s="1384"/>
      <c r="Y21" s="3261"/>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61"/>
      <c r="Q22" s="1382" t="str">
        <f>B22</f>
        <v>楼层</v>
      </c>
      <c r="R22" s="664" t="s">
        <v>17</v>
      </c>
      <c r="S22" s="665">
        <f>F22</f>
        <v>100</v>
      </c>
      <c r="T22" s="664" t="s">
        <v>17</v>
      </c>
      <c r="U22" s="665">
        <f>H22</f>
        <v>100</v>
      </c>
      <c r="V22" s="664" t="s">
        <v>17</v>
      </c>
      <c r="W22" s="665">
        <f>J22</f>
        <v>100</v>
      </c>
      <c r="X22" s="1384"/>
      <c r="Y22" s="3261"/>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61"/>
      <c r="Q23" s="1382">
        <f>B23</f>
        <v>111</v>
      </c>
      <c r="R23" s="664" t="s">
        <v>17</v>
      </c>
      <c r="S23" s="665">
        <f>F23</f>
        <v>100</v>
      </c>
      <c r="T23" s="664" t="s">
        <v>17</v>
      </c>
      <c r="U23" s="665">
        <f>H23</f>
        <v>100</v>
      </c>
      <c r="V23" s="664" t="s">
        <v>17</v>
      </c>
      <c r="W23" s="665">
        <f>J23</f>
        <v>100</v>
      </c>
      <c r="X23" s="1384"/>
      <c r="Y23" s="3261"/>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61"/>
      <c r="Q24" s="1382">
        <f t="shared" ref="Q24:Q34" si="11">B24</f>
        <v>111</v>
      </c>
      <c r="R24" s="664" t="s">
        <v>17</v>
      </c>
      <c r="S24" s="665">
        <f>F24</f>
        <v>100</v>
      </c>
      <c r="T24" s="664" t="s">
        <v>17</v>
      </c>
      <c r="U24" s="665">
        <f>H24</f>
        <v>100</v>
      </c>
      <c r="V24" s="664" t="s">
        <v>17</v>
      </c>
      <c r="W24" s="665">
        <f>J24</f>
        <v>100</v>
      </c>
      <c r="X24" s="1384"/>
      <c r="Y24" s="3261"/>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61"/>
      <c r="Q25" s="530">
        <f t="shared" si="11"/>
        <v>111</v>
      </c>
      <c r="R25" s="661" t="s">
        <v>17</v>
      </c>
      <c r="S25" s="662">
        <f>F25</f>
        <v>100</v>
      </c>
      <c r="T25" s="661" t="s">
        <v>17</v>
      </c>
      <c r="U25" s="662">
        <f>H25</f>
        <v>100</v>
      </c>
      <c r="V25" s="661" t="s">
        <v>17</v>
      </c>
      <c r="W25" s="662">
        <f>J25</f>
        <v>100</v>
      </c>
      <c r="X25" s="663"/>
      <c r="Y25" s="3261"/>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62"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63"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63"/>
      <c r="Q27" s="531" t="str">
        <f t="shared" si="11"/>
        <v>成新率</v>
      </c>
      <c r="R27" s="666" t="s">
        <v>17</v>
      </c>
      <c r="S27" s="667" t="e">
        <f t="shared" si="12"/>
        <v>#N/A</v>
      </c>
      <c r="T27" s="666" t="s">
        <v>17</v>
      </c>
      <c r="U27" s="667" t="e">
        <f t="shared" si="13"/>
        <v>#N/A</v>
      </c>
      <c r="V27" s="666" t="s">
        <v>17</v>
      </c>
      <c r="W27" s="667" t="e">
        <f t="shared" si="14"/>
        <v>#N/A</v>
      </c>
      <c r="X27" s="668"/>
      <c r="Y27" s="3263"/>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63"/>
      <c r="Q28" s="1382" t="str">
        <f t="shared" si="11"/>
        <v>物业等级</v>
      </c>
      <c r="R28" s="664" t="s">
        <v>17</v>
      </c>
      <c r="S28" s="665">
        <f t="shared" si="12"/>
        <v>100</v>
      </c>
      <c r="T28" s="664" t="s">
        <v>17</v>
      </c>
      <c r="U28" s="665">
        <f t="shared" si="13"/>
        <v>100</v>
      </c>
      <c r="V28" s="664" t="s">
        <v>17</v>
      </c>
      <c r="W28" s="665">
        <f t="shared" si="14"/>
        <v>100</v>
      </c>
      <c r="X28" s="1384"/>
      <c r="Y28" s="3263"/>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63"/>
      <c r="Q29" s="1382" t="str">
        <f t="shared" si="11"/>
        <v>有无电梯</v>
      </c>
      <c r="R29" s="664" t="s">
        <v>17</v>
      </c>
      <c r="S29" s="665">
        <f t="shared" si="12"/>
        <v>100</v>
      </c>
      <c r="T29" s="664" t="s">
        <v>17</v>
      </c>
      <c r="U29" s="665">
        <f t="shared" si="13"/>
        <v>100</v>
      </c>
      <c r="V29" s="664" t="s">
        <v>17</v>
      </c>
      <c r="W29" s="665">
        <f t="shared" si="14"/>
        <v>100</v>
      </c>
      <c r="X29" s="1384"/>
      <c r="Y29" s="3263"/>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63"/>
      <c r="Q30" s="1382" t="str">
        <f t="shared" si="11"/>
        <v>建筑面积</v>
      </c>
      <c r="R30" s="664" t="s">
        <v>17</v>
      </c>
      <c r="S30" s="665" t="e">
        <f t="shared" si="12"/>
        <v>#N/A</v>
      </c>
      <c r="T30" s="664" t="s">
        <v>17</v>
      </c>
      <c r="U30" s="665" t="e">
        <f t="shared" si="13"/>
        <v>#N/A</v>
      </c>
      <c r="V30" s="664" t="s">
        <v>17</v>
      </c>
      <c r="W30" s="665" t="e">
        <f t="shared" si="14"/>
        <v>#N/A</v>
      </c>
      <c r="X30" s="1384"/>
      <c r="Y30" s="3263"/>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63"/>
      <c r="Q31" s="530" t="str">
        <f t="shared" si="11"/>
        <v>是否封闭</v>
      </c>
      <c r="R31" s="661" t="s">
        <v>17</v>
      </c>
      <c r="S31" s="662">
        <f t="shared" si="12"/>
        <v>100</v>
      </c>
      <c r="T31" s="661" t="s">
        <v>17</v>
      </c>
      <c r="U31" s="662">
        <f t="shared" si="13"/>
        <v>100</v>
      </c>
      <c r="V31" s="661" t="s">
        <v>17</v>
      </c>
      <c r="W31" s="662">
        <f t="shared" si="14"/>
        <v>100</v>
      </c>
      <c r="X31" s="663"/>
      <c r="Y31" s="3263"/>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63" t="s">
        <v>2143</v>
      </c>
      <c r="Q32" s="1382">
        <f t="shared" si="11"/>
        <v>111</v>
      </c>
      <c r="R32" s="664" t="s">
        <v>17</v>
      </c>
      <c r="S32" s="665">
        <f t="shared" si="12"/>
        <v>100</v>
      </c>
      <c r="T32" s="664" t="s">
        <v>17</v>
      </c>
      <c r="U32" s="665">
        <f t="shared" si="13"/>
        <v>100</v>
      </c>
      <c r="V32" s="664" t="s">
        <v>17</v>
      </c>
      <c r="W32" s="665">
        <f t="shared" si="14"/>
        <v>100</v>
      </c>
      <c r="X32" s="1384"/>
      <c r="Y32" s="3263"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63"/>
      <c r="Q33" s="1382">
        <f t="shared" si="11"/>
        <v>111</v>
      </c>
      <c r="R33" s="664" t="s">
        <v>17</v>
      </c>
      <c r="S33" s="665">
        <f t="shared" si="12"/>
        <v>100</v>
      </c>
      <c r="T33" s="664" t="s">
        <v>17</v>
      </c>
      <c r="U33" s="665">
        <f t="shared" si="13"/>
        <v>100</v>
      </c>
      <c r="V33" s="664" t="s">
        <v>17</v>
      </c>
      <c r="W33" s="665">
        <f t="shared" si="14"/>
        <v>100</v>
      </c>
      <c r="X33" s="1384"/>
      <c r="Y33" s="3263"/>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63"/>
      <c r="Q34" s="1382">
        <f t="shared" si="11"/>
        <v>111</v>
      </c>
      <c r="R34" s="664" t="s">
        <v>17</v>
      </c>
      <c r="S34" s="665">
        <f t="shared" si="12"/>
        <v>100</v>
      </c>
      <c r="T34" s="664" t="s">
        <v>17</v>
      </c>
      <c r="U34" s="665">
        <f t="shared" si="13"/>
        <v>100</v>
      </c>
      <c r="V34" s="664" t="s">
        <v>17</v>
      </c>
      <c r="W34" s="665">
        <f t="shared" si="14"/>
        <v>100</v>
      </c>
      <c r="X34" s="1384"/>
      <c r="Y34" s="3263"/>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59" t="str">
        <f>A35</f>
        <v>成交单价（元/平方米）</v>
      </c>
      <c r="Q35" s="3259"/>
      <c r="R35" s="3264">
        <f>E35</f>
        <v>0</v>
      </c>
      <c r="S35" s="3264"/>
      <c r="T35" s="3264">
        <f>G35</f>
        <v>0</v>
      </c>
      <c r="U35" s="3264"/>
      <c r="V35" s="3264">
        <f>I35</f>
        <v>0</v>
      </c>
      <c r="W35" s="3264"/>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59" t="str">
        <f>A36</f>
        <v>比较价值（元/平方米）</v>
      </c>
      <c r="Q36" s="3259"/>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253" t="str">
        <f>A37</f>
        <v>估价对象XX用房的比较价值（楼面单价，元/平方米）</v>
      </c>
      <c r="Q37" s="3254"/>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354" t="s">
        <v>2373</v>
      </c>
      <c r="D6" s="3355"/>
      <c r="E6" s="3356" t="s">
        <v>2373</v>
      </c>
      <c r="F6" s="3357"/>
      <c r="G6" s="3354" t="s">
        <v>2373</v>
      </c>
      <c r="H6" s="3355"/>
      <c r="I6" s="3354" t="s">
        <v>2373</v>
      </c>
      <c r="J6" s="3355"/>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59"/>
      <c r="Q10" s="530" t="str">
        <f t="shared" si="6"/>
        <v>土地使用年限（年）</v>
      </c>
      <c r="R10" s="661" t="s">
        <v>17</v>
      </c>
      <c r="S10" s="662">
        <f t="shared" si="0"/>
        <v>116</v>
      </c>
      <c r="T10" s="661" t="s">
        <v>17</v>
      </c>
      <c r="U10" s="662">
        <f t="shared" si="1"/>
        <v>116</v>
      </c>
      <c r="V10" s="661" t="s">
        <v>17</v>
      </c>
      <c r="W10" s="662">
        <f t="shared" si="2"/>
        <v>116</v>
      </c>
      <c r="X10" s="663"/>
      <c r="Y10" s="3156"/>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59"/>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60" t="s">
        <v>2138</v>
      </c>
      <c r="Q15" s="1382" t="str">
        <f t="shared" si="6"/>
        <v>产业集聚程度</v>
      </c>
      <c r="R15" s="664" t="s">
        <v>17</v>
      </c>
      <c r="S15" s="665">
        <f t="shared" si="0"/>
        <v>100</v>
      </c>
      <c r="T15" s="664" t="s">
        <v>17</v>
      </c>
      <c r="U15" s="665">
        <f t="shared" si="1"/>
        <v>100</v>
      </c>
      <c r="V15" s="664" t="s">
        <v>17</v>
      </c>
      <c r="W15" s="665">
        <f t="shared" si="2"/>
        <v>100</v>
      </c>
      <c r="X15" s="1384"/>
      <c r="Y15" s="3260"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61"/>
      <c r="Q16" s="1382"/>
      <c r="R16" s="664"/>
      <c r="S16" s="665"/>
      <c r="T16" s="664"/>
      <c r="U16" s="665"/>
      <c r="V16" s="664"/>
      <c r="W16" s="665"/>
      <c r="X16" s="1384"/>
      <c r="Y16" s="3261"/>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6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61"/>
      <c r="Q18" s="1382"/>
      <c r="R18" s="664"/>
      <c r="S18" s="665"/>
      <c r="T18" s="664"/>
      <c r="U18" s="665"/>
      <c r="V18" s="664"/>
      <c r="W18" s="665"/>
      <c r="X18" s="1384"/>
      <c r="Y18" s="3261"/>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61"/>
      <c r="Q19" s="1382" t="str">
        <f t="shared" ref="Q19:Q33" si="8">B19</f>
        <v>区域土地利用方向</v>
      </c>
      <c r="R19" s="664" t="s">
        <v>17</v>
      </c>
      <c r="S19" s="665">
        <f>F19</f>
        <v>100</v>
      </c>
      <c r="T19" s="664" t="s">
        <v>17</v>
      </c>
      <c r="U19" s="665">
        <f>H19</f>
        <v>100</v>
      </c>
      <c r="V19" s="664" t="s">
        <v>17</v>
      </c>
      <c r="W19" s="665">
        <f>J19</f>
        <v>100</v>
      </c>
      <c r="X19" s="1384"/>
      <c r="Y19" s="3261"/>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61"/>
      <c r="Q20" s="1382"/>
      <c r="R20" s="664"/>
      <c r="S20" s="665"/>
      <c r="T20" s="664"/>
      <c r="U20" s="665"/>
      <c r="V20" s="664"/>
      <c r="W20" s="665"/>
      <c r="X20" s="1384"/>
      <c r="Y20" s="3261"/>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61"/>
      <c r="Q21" s="1382" t="str">
        <f t="shared" si="8"/>
        <v>环境状况</v>
      </c>
      <c r="R21" s="664" t="s">
        <v>17</v>
      </c>
      <c r="S21" s="665">
        <f>F21</f>
        <v>100</v>
      </c>
      <c r="T21" s="664" t="s">
        <v>17</v>
      </c>
      <c r="U21" s="665">
        <f>H21</f>
        <v>100</v>
      </c>
      <c r="V21" s="664" t="s">
        <v>17</v>
      </c>
      <c r="W21" s="665">
        <f>J21</f>
        <v>100</v>
      </c>
      <c r="X21" s="1384"/>
      <c r="Y21" s="3261"/>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61"/>
      <c r="Q22" s="1382"/>
      <c r="R22" s="664"/>
      <c r="S22" s="665"/>
      <c r="T22" s="664"/>
      <c r="U22" s="665"/>
      <c r="V22" s="664"/>
      <c r="W22" s="665"/>
      <c r="X22" s="1384"/>
      <c r="Y22" s="3261"/>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61"/>
      <c r="Q23" s="530" t="str">
        <f t="shared" si="8"/>
        <v>公共配套设施</v>
      </c>
      <c r="R23" s="661" t="s">
        <v>17</v>
      </c>
      <c r="S23" s="662">
        <f>F23</f>
        <v>100</v>
      </c>
      <c r="T23" s="661" t="s">
        <v>17</v>
      </c>
      <c r="U23" s="662">
        <f>H23</f>
        <v>100</v>
      </c>
      <c r="V23" s="661" t="s">
        <v>17</v>
      </c>
      <c r="W23" s="662">
        <f>J23</f>
        <v>100</v>
      </c>
      <c r="X23" s="663"/>
      <c r="Y23" s="3261"/>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61"/>
      <c r="Q24" s="530"/>
      <c r="R24" s="661"/>
      <c r="S24" s="662"/>
      <c r="T24" s="661"/>
      <c r="U24" s="662"/>
      <c r="V24" s="661"/>
      <c r="W24" s="662"/>
      <c r="X24" s="663"/>
      <c r="Y24" s="3261"/>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61"/>
      <c r="Q25" s="530" t="str">
        <f t="shared" ref="Q25" si="9">B25</f>
        <v>基础设施水平</v>
      </c>
      <c r="R25" s="661" t="s">
        <v>17</v>
      </c>
      <c r="S25" s="662">
        <f>F25</f>
        <v>100</v>
      </c>
      <c r="T25" s="661" t="s">
        <v>17</v>
      </c>
      <c r="U25" s="662">
        <f>H25</f>
        <v>100</v>
      </c>
      <c r="V25" s="661" t="s">
        <v>17</v>
      </c>
      <c r="W25" s="662">
        <f>J25</f>
        <v>100</v>
      </c>
      <c r="X25" s="663"/>
      <c r="Y25" s="3261"/>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61"/>
      <c r="Q26" s="530"/>
      <c r="R26" s="661"/>
      <c r="S26" s="662"/>
      <c r="T26" s="661"/>
      <c r="U26" s="662"/>
      <c r="V26" s="661"/>
      <c r="W26" s="662"/>
      <c r="X26" s="663"/>
      <c r="Y26" s="3261"/>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61"/>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61"/>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61"/>
      <c r="Q28" s="1382" t="str">
        <f t="shared" si="8"/>
        <v>毗邻道路的类型与等级</v>
      </c>
      <c r="R28" s="664" t="s">
        <v>17</v>
      </c>
      <c r="S28" s="665">
        <f t="shared" si="10"/>
        <v>100</v>
      </c>
      <c r="T28" s="664" t="s">
        <v>17</v>
      </c>
      <c r="U28" s="665">
        <f t="shared" si="11"/>
        <v>100</v>
      </c>
      <c r="V28" s="664" t="s">
        <v>17</v>
      </c>
      <c r="W28" s="665">
        <f t="shared" si="12"/>
        <v>100</v>
      </c>
      <c r="X28" s="1384"/>
      <c r="Y28" s="3261"/>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61"/>
      <c r="Q29" s="1382"/>
      <c r="R29" s="664"/>
      <c r="S29" s="665"/>
      <c r="T29" s="664"/>
      <c r="U29" s="665"/>
      <c r="V29" s="664"/>
      <c r="W29" s="665"/>
      <c r="X29" s="1384"/>
      <c r="Y29" s="3261"/>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61"/>
      <c r="Q30" s="1382" t="str">
        <f t="shared" si="8"/>
        <v>土地级别</v>
      </c>
      <c r="R30" s="664" t="s">
        <v>17</v>
      </c>
      <c r="S30" s="665">
        <f t="shared" si="10"/>
        <v>100</v>
      </c>
      <c r="T30" s="664" t="s">
        <v>17</v>
      </c>
      <c r="U30" s="665">
        <f t="shared" si="11"/>
        <v>100</v>
      </c>
      <c r="V30" s="664" t="s">
        <v>17</v>
      </c>
      <c r="W30" s="665">
        <f t="shared" si="12"/>
        <v>100</v>
      </c>
      <c r="X30" s="1384"/>
      <c r="Y30" s="3261"/>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61"/>
      <c r="Q31" s="1382">
        <f t="shared" si="8"/>
        <v>111</v>
      </c>
      <c r="R31" s="664" t="s">
        <v>17</v>
      </c>
      <c r="S31" s="665">
        <f t="shared" si="10"/>
        <v>100</v>
      </c>
      <c r="T31" s="664" t="s">
        <v>17</v>
      </c>
      <c r="U31" s="665">
        <f t="shared" si="11"/>
        <v>100</v>
      </c>
      <c r="V31" s="664" t="s">
        <v>17</v>
      </c>
      <c r="W31" s="665">
        <f t="shared" si="12"/>
        <v>100</v>
      </c>
      <c r="X31" s="1384"/>
      <c r="Y31" s="3261"/>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62" t="s">
        <v>2143</v>
      </c>
      <c r="Q32" s="1382">
        <f t="shared" si="8"/>
        <v>111</v>
      </c>
      <c r="R32" s="664" t="s">
        <v>17</v>
      </c>
      <c r="S32" s="665">
        <f t="shared" si="10"/>
        <v>100</v>
      </c>
      <c r="T32" s="664" t="s">
        <v>17</v>
      </c>
      <c r="U32" s="665">
        <f t="shared" si="11"/>
        <v>100</v>
      </c>
      <c r="V32" s="664" t="s">
        <v>17</v>
      </c>
      <c r="W32" s="665">
        <f t="shared" si="12"/>
        <v>100</v>
      </c>
      <c r="X32" s="1384"/>
      <c r="Y32" s="3263"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63"/>
      <c r="Q33" s="1382">
        <f t="shared" si="8"/>
        <v>111</v>
      </c>
      <c r="R33" s="666" t="s">
        <v>17</v>
      </c>
      <c r="S33" s="667">
        <f t="shared" si="10"/>
        <v>100</v>
      </c>
      <c r="T33" s="666" t="s">
        <v>17</v>
      </c>
      <c r="U33" s="667">
        <f t="shared" si="11"/>
        <v>100</v>
      </c>
      <c r="V33" s="666" t="s">
        <v>17</v>
      </c>
      <c r="W33" s="667">
        <f t="shared" si="12"/>
        <v>100</v>
      </c>
      <c r="X33" s="668"/>
      <c r="Y33" s="3263"/>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63"/>
      <c r="Q34" s="1382" t="str">
        <f>B34</f>
        <v>宗地面积</v>
      </c>
      <c r="R34" s="664" t="s">
        <v>17</v>
      </c>
      <c r="S34" s="665" t="e">
        <f t="shared" si="10"/>
        <v>#N/A</v>
      </c>
      <c r="T34" s="664" t="s">
        <v>17</v>
      </c>
      <c r="U34" s="665" t="e">
        <f t="shared" si="11"/>
        <v>#N/A</v>
      </c>
      <c r="V34" s="664" t="s">
        <v>17</v>
      </c>
      <c r="W34" s="665" t="e">
        <f t="shared" si="12"/>
        <v>#N/A</v>
      </c>
      <c r="X34" s="1384"/>
      <c r="Y34" s="3263"/>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63"/>
      <c r="Q35" s="1382" t="str">
        <f t="shared" ref="Q35:Q40" si="14">B35</f>
        <v>宗地形状</v>
      </c>
      <c r="R35" s="664" t="s">
        <v>17</v>
      </c>
      <c r="S35" s="665">
        <f t="shared" si="10"/>
        <v>100</v>
      </c>
      <c r="T35" s="664" t="s">
        <v>17</v>
      </c>
      <c r="U35" s="665">
        <f t="shared" si="11"/>
        <v>100</v>
      </c>
      <c r="V35" s="664" t="s">
        <v>17</v>
      </c>
      <c r="W35" s="665">
        <f t="shared" si="12"/>
        <v>100</v>
      </c>
      <c r="X35" s="1384"/>
      <c r="Y35" s="3263"/>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63"/>
      <c r="Q36" s="1382" t="str">
        <f t="shared" si="14"/>
        <v>宗地开发程度</v>
      </c>
      <c r="R36" s="661" t="s">
        <v>17</v>
      </c>
      <c r="S36" s="662">
        <f t="shared" si="10"/>
        <v>100</v>
      </c>
      <c r="T36" s="661" t="s">
        <v>17</v>
      </c>
      <c r="U36" s="662">
        <f t="shared" si="11"/>
        <v>100</v>
      </c>
      <c r="V36" s="661" t="s">
        <v>17</v>
      </c>
      <c r="W36" s="662">
        <f t="shared" si="12"/>
        <v>100</v>
      </c>
      <c r="X36" s="663"/>
      <c r="Y36" s="3263"/>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63" t="s">
        <v>2143</v>
      </c>
      <c r="Q37" s="1382" t="str">
        <f t="shared" si="14"/>
        <v>工程地质条件</v>
      </c>
      <c r="R37" s="664" t="s">
        <v>17</v>
      </c>
      <c r="S37" s="665">
        <f t="shared" si="10"/>
        <v>100</v>
      </c>
      <c r="T37" s="664" t="s">
        <v>17</v>
      </c>
      <c r="U37" s="665">
        <f t="shared" si="11"/>
        <v>100</v>
      </c>
      <c r="V37" s="664" t="s">
        <v>17</v>
      </c>
      <c r="W37" s="665">
        <f t="shared" si="12"/>
        <v>100</v>
      </c>
      <c r="X37" s="1384"/>
      <c r="Y37" s="3263"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63"/>
      <c r="Q38" s="1382">
        <f t="shared" si="14"/>
        <v>111</v>
      </c>
      <c r="R38" s="664" t="s">
        <v>17</v>
      </c>
      <c r="S38" s="665">
        <f t="shared" si="10"/>
        <v>100</v>
      </c>
      <c r="T38" s="664" t="s">
        <v>17</v>
      </c>
      <c r="U38" s="665">
        <f t="shared" si="11"/>
        <v>100</v>
      </c>
      <c r="V38" s="664" t="s">
        <v>17</v>
      </c>
      <c r="W38" s="665">
        <f t="shared" si="12"/>
        <v>100</v>
      </c>
      <c r="X38" s="1384"/>
      <c r="Y38" s="3263"/>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63"/>
      <c r="Q39" s="1382">
        <f t="shared" si="14"/>
        <v>111</v>
      </c>
      <c r="R39" s="664" t="s">
        <v>17</v>
      </c>
      <c r="S39" s="665">
        <f t="shared" si="10"/>
        <v>100</v>
      </c>
      <c r="T39" s="664" t="s">
        <v>17</v>
      </c>
      <c r="U39" s="665">
        <f t="shared" si="11"/>
        <v>100</v>
      </c>
      <c r="V39" s="664" t="s">
        <v>17</v>
      </c>
      <c r="W39" s="665">
        <f t="shared" si="12"/>
        <v>100</v>
      </c>
      <c r="X39" s="1384"/>
      <c r="Y39" s="3263"/>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63"/>
      <c r="Q40" s="1382">
        <f t="shared" si="14"/>
        <v>111</v>
      </c>
      <c r="R40" s="666" t="s">
        <v>17</v>
      </c>
      <c r="S40" s="667">
        <f t="shared" si="10"/>
        <v>100</v>
      </c>
      <c r="T40" s="666" t="s">
        <v>17</v>
      </c>
      <c r="U40" s="667">
        <f t="shared" si="11"/>
        <v>100</v>
      </c>
      <c r="V40" s="666" t="s">
        <v>17</v>
      </c>
      <c r="W40" s="667">
        <f t="shared" si="12"/>
        <v>100</v>
      </c>
      <c r="X40" s="668"/>
      <c r="Y40" s="3263"/>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59" t="str">
        <f>A41</f>
        <v>成交单价</v>
      </c>
      <c r="Q41" s="3259"/>
      <c r="R41" s="3264">
        <f>E41</f>
        <v>0</v>
      </c>
      <c r="S41" s="3264"/>
      <c r="T41" s="3264">
        <f>G41</f>
        <v>0</v>
      </c>
      <c r="U41" s="3264"/>
      <c r="V41" s="3264">
        <f>I41</f>
        <v>0</v>
      </c>
      <c r="W41" s="3264"/>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59" t="str">
        <f>A42</f>
        <v>比较价值（元/平方米）</v>
      </c>
      <c r="Q42" s="3259"/>
      <c r="R42" s="3252" t="e">
        <f>ROUND(PRODUCT(R41,AA7:AA40),0)</f>
        <v>#DIV/0!</v>
      </c>
      <c r="S42" s="3252"/>
      <c r="T42" s="3252" t="e">
        <f>ROUND(PRODUCT(T41,AB7:AB40),0)</f>
        <v>#DIV/0!</v>
      </c>
      <c r="U42" s="3252"/>
      <c r="V42" s="3252" t="e">
        <f>ROUND(PRODUCT(V41,AC7:AC40),0)</f>
        <v>#DIV/0!</v>
      </c>
      <c r="W42" s="3252"/>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253" t="str">
        <f>A43</f>
        <v>估价对象XX用房的比较价值（楼面单价，元/平方米）</v>
      </c>
      <c r="Q43" s="3254"/>
      <c r="R43" s="3255" t="e">
        <f>ROUND(IF(D42="简单平均",AVERAGE(R42:W42),R42*F42+T42*H42+V42*J42),0)</f>
        <v>#DIV/0!</v>
      </c>
      <c r="S43" s="3255"/>
      <c r="T43" s="3255"/>
      <c r="U43" s="3255"/>
      <c r="V43" s="3255"/>
      <c r="W43" s="3255"/>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56" t="s">
        <v>2341</v>
      </c>
      <c r="H50" s="3257"/>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58"/>
      <c r="H51" s="3259"/>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61"/>
      <c r="B4" s="3362"/>
      <c r="C4" s="3362"/>
      <c r="D4" s="3363"/>
      <c r="E4" s="3363"/>
      <c r="F4" s="3363"/>
      <c r="G4" s="3363"/>
      <c r="H4" s="3363"/>
      <c r="I4" s="3363"/>
      <c r="J4" s="3364"/>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65"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66"/>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58" t="s">
        <v>2416</v>
      </c>
      <c r="X8" s="3359"/>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66"/>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60"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66"/>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60"/>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66"/>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60"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65"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60"/>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67"/>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60"/>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67"/>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368"/>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65" t="s">
        <v>2459</v>
      </c>
      <c r="B16" s="1987" t="s">
        <v>2460</v>
      </c>
      <c r="C16" s="2138" t="e">
        <f>ROUND(IF(F17="与级别开发程度一致",0,(G17-E17)/C17),0)</f>
        <v>#DIV/0!</v>
      </c>
      <c r="D16" s="3381" t="s">
        <v>2464</v>
      </c>
      <c r="E16" s="3382"/>
      <c r="F16" s="3381" t="s">
        <v>2461</v>
      </c>
      <c r="G16" s="3382"/>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69"/>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78"/>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83"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79"/>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79"/>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79"/>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79"/>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80"/>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80"/>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70" t="s">
        <v>2547</v>
      </c>
      <c r="B90" s="3370"/>
      <c r="C90" s="3370"/>
      <c r="D90" s="3370"/>
      <c r="E90" s="3370"/>
      <c r="F90" s="3370"/>
      <c r="G90" s="3370"/>
      <c r="H90" s="3370"/>
      <c r="I90" s="3370"/>
      <c r="J90" s="3370"/>
      <c r="K90" s="2112"/>
      <c r="L90" s="2112"/>
      <c r="M90" s="2112"/>
      <c r="N90" s="2112"/>
    </row>
    <row r="91" spans="1:37">
      <c r="A91" s="3372" t="s">
        <v>2548</v>
      </c>
      <c r="B91" s="3372" t="s">
        <v>2549</v>
      </c>
      <c r="C91" s="2070" t="s">
        <v>2550</v>
      </c>
      <c r="D91" s="2071"/>
      <c r="E91" s="2071"/>
      <c r="F91" s="2071"/>
      <c r="G91" s="2071"/>
      <c r="H91" s="2071"/>
      <c r="I91" s="2071"/>
      <c r="J91" s="2113"/>
      <c r="K91" s="2114"/>
      <c r="L91" s="2114"/>
      <c r="M91" s="2114"/>
      <c r="N91" s="2114"/>
    </row>
    <row r="92" spans="1:37">
      <c r="A92" s="3372"/>
      <c r="B92" s="3372"/>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73"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74"/>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74"/>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74"/>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74"/>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74"/>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74"/>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75"/>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73"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74"/>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74"/>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74"/>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74"/>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74"/>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74"/>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74"/>
      <c r="B108" s="3376"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75"/>
      <c r="B109" s="3377"/>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71" t="s">
        <v>2555</v>
      </c>
      <c r="B110" s="3371"/>
      <c r="C110" s="3371"/>
      <c r="D110" s="3371"/>
      <c r="E110" s="3371"/>
      <c r="F110" s="3371"/>
      <c r="G110" s="3371"/>
      <c r="H110" s="3371"/>
      <c r="I110" s="3371"/>
      <c r="J110" s="3371"/>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511"/>
      <c r="B4" s="3067" t="s">
        <v>1354</v>
      </c>
      <c r="C4" s="3067"/>
      <c r="D4" s="3067"/>
      <c r="E4" s="1511"/>
    </row>
    <row r="5" spans="1:5" ht="16.5" thickTop="1">
      <c r="B5" s="3065" t="s">
        <v>1346</v>
      </c>
      <c r="C5" s="1512" t="s">
        <v>1347</v>
      </c>
      <c r="D5" s="871">
        <f ca="1">结果表!H101</f>
        <v>271407</v>
      </c>
    </row>
    <row r="6" spans="1:5" ht="15.75">
      <c r="B6" s="3065"/>
      <c r="C6" s="1512" t="s">
        <v>1348</v>
      </c>
      <c r="D6" s="871" t="str">
        <f ca="1">NUMBERSTRING(INT(D5*10000),2)&amp;"元整"</f>
        <v>贰拾柒亿壹仟肆佰零柒万元整</v>
      </c>
    </row>
    <row r="7" spans="1:5" ht="15.75">
      <c r="B7" s="3070"/>
      <c r="C7" s="1513" t="s">
        <v>1349</v>
      </c>
      <c r="D7" s="872">
        <f ca="1">结果表!H102</f>
        <v>50611</v>
      </c>
    </row>
    <row r="8" spans="1:5" ht="15.75">
      <c r="B8" s="3071" t="str">
        <f>结果表!E103</f>
        <v>2.估价师知悉的法定优先受偿款</v>
      </c>
      <c r="C8" s="1514" t="s">
        <v>1350</v>
      </c>
      <c r="D8" s="872">
        <f>结果表!H103</f>
        <v>0</v>
      </c>
    </row>
    <row r="9" spans="1:5" ht="15.75">
      <c r="B9" s="3073"/>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64" t="str">
        <f>结果表!E107</f>
        <v>3.房地产抵押价值</v>
      </c>
      <c r="C13" s="1517" t="s">
        <v>1347</v>
      </c>
      <c r="D13" s="874">
        <f ca="1">结果表!H107</f>
        <v>271407</v>
      </c>
    </row>
    <row r="14" spans="1:5" ht="15.75">
      <c r="B14" s="3065"/>
      <c r="C14" s="1512" t="s">
        <v>1348</v>
      </c>
      <c r="D14" s="871" t="str">
        <f ca="1">NUMBERSTRING(INT(D13*10000),2)&amp;"元整"</f>
        <v>贰拾柒亿壹仟肆佰零柒万元整</v>
      </c>
    </row>
    <row r="15" spans="1:5" ht="15">
      <c r="B15" s="3070"/>
      <c r="C15" s="1513" t="s">
        <v>1358</v>
      </c>
      <c r="D15" s="880">
        <f ca="1">结果表!H108</f>
        <v>50611</v>
      </c>
    </row>
    <row r="16" spans="1:5" ht="15">
      <c r="B16" s="3071" t="str">
        <f>结果表!E109</f>
        <v>——</v>
      </c>
      <c r="C16" s="1517" t="s">
        <v>1359</v>
      </c>
      <c r="D16" s="1518" t="str">
        <f>结果表!H109</f>
        <v>——</v>
      </c>
    </row>
    <row r="17" spans="1:5" ht="15.75">
      <c r="B17" s="3072"/>
      <c r="C17" s="1512" t="s">
        <v>1360</v>
      </c>
      <c r="D17" s="871" t="e">
        <f>NUMBERSTRING(INT(D16*10000),2)&amp;"元整"</f>
        <v>#VALUE!</v>
      </c>
    </row>
    <row r="18" spans="1:5" ht="15">
      <c r="B18" s="3073"/>
      <c r="C18" s="1513" t="s">
        <v>1349</v>
      </c>
      <c r="D18" s="880" t="str">
        <f>结果表!H110</f>
        <v>——</v>
      </c>
    </row>
    <row r="19" spans="1:5" ht="15.75">
      <c r="B19" s="3064" t="str">
        <f>结果表!E111</f>
        <v>——</v>
      </c>
      <c r="C19" s="1517" t="s">
        <v>1347</v>
      </c>
      <c r="D19" s="872" t="str">
        <f>结果表!H111</f>
        <v>——</v>
      </c>
    </row>
    <row r="20" spans="1:5" ht="15.75">
      <c r="B20" s="3065"/>
      <c r="C20" s="1512" t="s">
        <v>1360</v>
      </c>
      <c r="D20" s="871" t="e">
        <f>NUMBERSTRING(INT(D19*10000),2)&amp;"元整"</f>
        <v>#VALUE!</v>
      </c>
    </row>
    <row r="21" spans="1:5" ht="15.75" thickBot="1">
      <c r="B21" s="3066"/>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3" t="s">
        <v>2946</v>
      </c>
      <c r="B20" s="3388" t="s">
        <v>2947</v>
      </c>
      <c r="C20" s="2932" t="s">
        <v>2948</v>
      </c>
      <c r="D20" s="2933"/>
      <c r="E20" s="2934">
        <v>1</v>
      </c>
      <c r="F20" s="2935" t="s">
        <v>2949</v>
      </c>
      <c r="G20" s="752"/>
    </row>
    <row r="21" spans="1:13" ht="19.5" customHeight="1">
      <c r="A21" s="3394"/>
      <c r="B21" s="3387"/>
      <c r="C21" s="750" t="s">
        <v>2950</v>
      </c>
      <c r="D21" s="751"/>
      <c r="E21" s="2936">
        <v>1</v>
      </c>
      <c r="F21" s="2935" t="s">
        <v>2951</v>
      </c>
      <c r="G21" s="752"/>
    </row>
    <row r="22" spans="1:13" ht="19.5" customHeight="1">
      <c r="A22" s="3394"/>
      <c r="B22" s="3387"/>
      <c r="C22" s="750" t="s">
        <v>2952</v>
      </c>
      <c r="D22" s="751"/>
      <c r="E22" s="2936">
        <v>0.9</v>
      </c>
      <c r="F22" s="2935" t="s">
        <v>2953</v>
      </c>
      <c r="G22" s="752"/>
    </row>
    <row r="23" spans="1:13" ht="19.5" customHeight="1">
      <c r="A23" s="3394"/>
      <c r="B23" s="3387"/>
      <c r="C23" s="750" t="s">
        <v>2954</v>
      </c>
      <c r="D23" s="751"/>
      <c r="E23" s="2936">
        <v>0.9</v>
      </c>
      <c r="F23" s="2935" t="s">
        <v>2955</v>
      </c>
      <c r="G23" s="752"/>
    </row>
    <row r="24" spans="1:13" ht="19.5" customHeight="1">
      <c r="A24" s="3394"/>
      <c r="B24" s="3387"/>
      <c r="C24" s="750" t="s">
        <v>2956</v>
      </c>
      <c r="D24" s="751"/>
      <c r="E24" s="2936">
        <v>0.8</v>
      </c>
      <c r="F24" s="2935" t="s">
        <v>2957</v>
      </c>
      <c r="G24" s="752"/>
    </row>
    <row r="25" spans="1:13" ht="19.5" customHeight="1" thickBot="1">
      <c r="A25" s="3395"/>
      <c r="B25" s="3389"/>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90" t="s">
        <v>2963</v>
      </c>
      <c r="B27" s="3388" t="s">
        <v>2963</v>
      </c>
      <c r="C27" s="2932" t="s">
        <v>2964</v>
      </c>
      <c r="D27" s="2933"/>
      <c r="E27" s="2934">
        <v>1</v>
      </c>
      <c r="F27" s="2935" t="s">
        <v>2965</v>
      </c>
      <c r="G27" s="752"/>
    </row>
    <row r="28" spans="1:13" ht="19.5" customHeight="1">
      <c r="A28" s="3391"/>
      <c r="B28" s="3387"/>
      <c r="C28" s="750" t="s">
        <v>2966</v>
      </c>
      <c r="D28" s="751"/>
      <c r="E28" s="2936">
        <v>1</v>
      </c>
      <c r="F28" s="2935" t="s">
        <v>2967</v>
      </c>
      <c r="G28" s="752"/>
    </row>
    <row r="29" spans="1:13" ht="19.5" customHeight="1">
      <c r="A29" s="3391"/>
      <c r="B29" s="3387"/>
      <c r="C29" s="750" t="s">
        <v>2968</v>
      </c>
      <c r="D29" s="751"/>
      <c r="E29" s="2936">
        <v>0.8</v>
      </c>
      <c r="F29" s="2935" t="s">
        <v>2969</v>
      </c>
      <c r="G29" s="752"/>
    </row>
    <row r="30" spans="1:13" ht="19.5" customHeight="1">
      <c r="A30" s="3391"/>
      <c r="B30" s="3387"/>
      <c r="C30" s="750" t="s">
        <v>2970</v>
      </c>
      <c r="D30" s="751"/>
      <c r="E30" s="2936">
        <v>0.8</v>
      </c>
      <c r="F30" s="2935" t="s">
        <v>2971</v>
      </c>
      <c r="G30" s="752"/>
    </row>
    <row r="31" spans="1:13" ht="19.5" customHeight="1">
      <c r="A31" s="3391"/>
      <c r="B31" s="3387"/>
      <c r="C31" s="750" t="s">
        <v>2972</v>
      </c>
      <c r="D31" s="751"/>
      <c r="E31" s="2936">
        <v>0.8</v>
      </c>
      <c r="F31" s="2935" t="s">
        <v>2973</v>
      </c>
      <c r="G31" s="752"/>
    </row>
    <row r="32" spans="1:13" ht="19.5" customHeight="1">
      <c r="A32" s="3391"/>
      <c r="B32" s="3387"/>
      <c r="C32" s="750" t="s">
        <v>2974</v>
      </c>
      <c r="D32" s="751"/>
      <c r="E32" s="2936">
        <v>0.7</v>
      </c>
      <c r="F32" s="2935" t="s">
        <v>2975</v>
      </c>
      <c r="G32" s="752"/>
    </row>
    <row r="33" spans="1:7" ht="19.5" customHeight="1">
      <c r="A33" s="3391"/>
      <c r="B33" s="3387"/>
      <c r="C33" s="750" t="s">
        <v>2976</v>
      </c>
      <c r="D33" s="751"/>
      <c r="E33" s="2936">
        <v>0.8</v>
      </c>
      <c r="F33" s="2935" t="s">
        <v>2977</v>
      </c>
      <c r="G33" s="752"/>
    </row>
    <row r="34" spans="1:7" ht="19.5" customHeight="1">
      <c r="A34" s="3391"/>
      <c r="B34" s="3387"/>
      <c r="C34" s="750" t="s">
        <v>2978</v>
      </c>
      <c r="D34" s="751"/>
      <c r="E34" s="2936">
        <v>0.6</v>
      </c>
      <c r="F34" s="2935" t="s">
        <v>2979</v>
      </c>
      <c r="G34" s="752"/>
    </row>
    <row r="35" spans="1:7" ht="19.5" customHeight="1">
      <c r="A35" s="3391"/>
      <c r="B35" s="3387"/>
      <c r="C35" s="750" t="s">
        <v>2980</v>
      </c>
      <c r="D35" s="751"/>
      <c r="E35" s="2936">
        <v>0.2</v>
      </c>
      <c r="F35" s="2935" t="s">
        <v>2981</v>
      </c>
      <c r="G35" s="752"/>
    </row>
    <row r="36" spans="1:7" ht="19.5" customHeight="1">
      <c r="A36" s="3391"/>
      <c r="B36" s="3387"/>
      <c r="C36" s="750" t="s">
        <v>2982</v>
      </c>
      <c r="D36" s="751"/>
      <c r="E36" s="2936">
        <v>0.2</v>
      </c>
      <c r="F36" s="2935" t="s">
        <v>2983</v>
      </c>
      <c r="G36" s="752"/>
    </row>
    <row r="37" spans="1:7" ht="19.5" customHeight="1">
      <c r="A37" s="3391"/>
      <c r="B37" s="3385" t="s">
        <v>2984</v>
      </c>
      <c r="C37" s="750" t="s">
        <v>2985</v>
      </c>
      <c r="D37" s="751"/>
      <c r="E37" s="2936">
        <v>0.6</v>
      </c>
      <c r="F37" s="2935" t="s">
        <v>2986</v>
      </c>
      <c r="G37" s="752"/>
    </row>
    <row r="38" spans="1:7" ht="19.5" customHeight="1">
      <c r="A38" s="3391"/>
      <c r="B38" s="3387"/>
      <c r="C38" s="750" t="s">
        <v>2987</v>
      </c>
      <c r="D38" s="751"/>
      <c r="E38" s="2936">
        <v>0.6</v>
      </c>
      <c r="F38" s="2935" t="s">
        <v>2988</v>
      </c>
      <c r="G38" s="752"/>
    </row>
    <row r="39" spans="1:7" ht="19.5" customHeight="1" thickBot="1">
      <c r="A39" s="3392"/>
      <c r="B39" s="3389"/>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3" t="s">
        <v>2994</v>
      </c>
      <c r="B41" s="3388" t="s">
        <v>2995</v>
      </c>
      <c r="C41" s="2932" t="s">
        <v>2996</v>
      </c>
      <c r="D41" s="2933"/>
      <c r="E41" s="2934">
        <v>1</v>
      </c>
      <c r="F41" s="2935" t="s">
        <v>2997</v>
      </c>
      <c r="G41" s="752"/>
    </row>
    <row r="42" spans="1:7" ht="19.5" customHeight="1">
      <c r="A42" s="3394"/>
      <c r="B42" s="3387"/>
      <c r="C42" s="750" t="s">
        <v>2998</v>
      </c>
      <c r="D42" s="751"/>
      <c r="E42" s="2936">
        <v>1</v>
      </c>
      <c r="F42" s="2935" t="s">
        <v>2999</v>
      </c>
      <c r="G42" s="752"/>
    </row>
    <row r="43" spans="1:7" ht="19.5" customHeight="1">
      <c r="A43" s="3394"/>
      <c r="B43" s="3386"/>
      <c r="C43" s="750" t="s">
        <v>3000</v>
      </c>
      <c r="D43" s="751"/>
      <c r="E43" s="2936">
        <v>1.5</v>
      </c>
      <c r="F43" s="2935" t="s">
        <v>3001</v>
      </c>
      <c r="G43" s="752"/>
    </row>
    <row r="44" spans="1:7" ht="19.5" customHeight="1">
      <c r="A44" s="3394"/>
      <c r="B44" s="2945" t="s">
        <v>2963</v>
      </c>
      <c r="C44" s="750" t="s">
        <v>3002</v>
      </c>
      <c r="D44" s="751"/>
      <c r="E44" s="2936">
        <v>2</v>
      </c>
      <c r="F44" s="2935" t="s">
        <v>3003</v>
      </c>
      <c r="G44" s="752"/>
    </row>
    <row r="45" spans="1:7" ht="19.5" customHeight="1">
      <c r="A45" s="3394"/>
      <c r="B45" s="3385" t="s">
        <v>3004</v>
      </c>
      <c r="C45" s="750" t="s">
        <v>3005</v>
      </c>
      <c r="D45" s="751"/>
      <c r="E45" s="2936">
        <v>1</v>
      </c>
      <c r="F45" s="2935" t="s">
        <v>3006</v>
      </c>
      <c r="G45" s="752"/>
    </row>
    <row r="46" spans="1:7" ht="19.5" customHeight="1">
      <c r="A46" s="3394"/>
      <c r="B46" s="3387"/>
      <c r="C46" s="750" t="s">
        <v>3007</v>
      </c>
      <c r="D46" s="751"/>
      <c r="E46" s="2936">
        <v>1</v>
      </c>
      <c r="F46" s="2935" t="s">
        <v>3008</v>
      </c>
      <c r="G46" s="752"/>
    </row>
    <row r="47" spans="1:7" ht="19.5" customHeight="1">
      <c r="A47" s="3394"/>
      <c r="B47" s="3387"/>
      <c r="C47" s="750" t="s">
        <v>3009</v>
      </c>
      <c r="D47" s="751"/>
      <c r="E47" s="2936">
        <v>1</v>
      </c>
      <c r="F47" s="2935" t="s">
        <v>3010</v>
      </c>
      <c r="G47" s="752"/>
    </row>
    <row r="48" spans="1:7" ht="19.5" customHeight="1">
      <c r="A48" s="3394"/>
      <c r="B48" s="3387"/>
      <c r="C48" s="750" t="s">
        <v>3011</v>
      </c>
      <c r="D48" s="751"/>
      <c r="E48" s="2936">
        <v>1</v>
      </c>
      <c r="F48" s="2935" t="s">
        <v>3012</v>
      </c>
      <c r="G48" s="752"/>
    </row>
    <row r="49" spans="1:9" ht="19.5" customHeight="1">
      <c r="A49" s="3394"/>
      <c r="B49" s="3387"/>
      <c r="C49" s="750" t="s">
        <v>3013</v>
      </c>
      <c r="D49" s="751"/>
      <c r="E49" s="2936">
        <v>1</v>
      </c>
      <c r="F49" s="2935" t="s">
        <v>3014</v>
      </c>
      <c r="G49" s="752"/>
    </row>
    <row r="50" spans="1:9" ht="19.5" customHeight="1">
      <c r="A50" s="3394"/>
      <c r="B50" s="3387"/>
      <c r="C50" s="750" t="s">
        <v>3015</v>
      </c>
      <c r="D50" s="751"/>
      <c r="E50" s="2936">
        <v>1</v>
      </c>
      <c r="F50" s="2935" t="s">
        <v>3016</v>
      </c>
      <c r="G50" s="752"/>
    </row>
    <row r="51" spans="1:9" ht="19.5" customHeight="1" thickBot="1">
      <c r="A51" s="3395"/>
      <c r="B51" s="3389"/>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385" t="s">
        <v>3020</v>
      </c>
      <c r="C73" s="2925" t="s">
        <v>3021</v>
      </c>
      <c r="D73" s="2925" t="s">
        <v>3022</v>
      </c>
      <c r="E73" s="2946">
        <v>0.2</v>
      </c>
      <c r="F73" s="2945">
        <v>25</v>
      </c>
    </row>
    <row r="74" spans="1:7" s="746" customFormat="1" ht="24">
      <c r="A74" s="2945">
        <v>2</v>
      </c>
      <c r="B74" s="3387"/>
      <c r="C74" s="2925" t="s">
        <v>3023</v>
      </c>
      <c r="D74" s="2925" t="s">
        <v>3024</v>
      </c>
      <c r="E74" s="2946">
        <v>0.2</v>
      </c>
      <c r="F74" s="2945">
        <v>25</v>
      </c>
    </row>
    <row r="75" spans="1:7" s="746" customFormat="1" ht="24">
      <c r="A75" s="2945">
        <v>3</v>
      </c>
      <c r="B75" s="3387"/>
      <c r="C75" s="2925" t="s">
        <v>3025</v>
      </c>
      <c r="D75" s="2925" t="s">
        <v>3026</v>
      </c>
      <c r="E75" s="2946">
        <v>0.2</v>
      </c>
      <c r="F75" s="2945">
        <v>25</v>
      </c>
    </row>
    <row r="76" spans="1:7" s="746" customFormat="1" ht="13.5">
      <c r="A76" s="2945">
        <v>4</v>
      </c>
      <c r="B76" s="3387"/>
      <c r="C76" s="2925" t="s">
        <v>3027</v>
      </c>
      <c r="D76" s="2925" t="s">
        <v>3028</v>
      </c>
      <c r="E76" s="2946">
        <v>0.15</v>
      </c>
      <c r="F76" s="2945">
        <v>20</v>
      </c>
    </row>
    <row r="77" spans="1:7" s="746" customFormat="1" ht="24">
      <c r="A77" s="2945">
        <v>5</v>
      </c>
      <c r="B77" s="3387"/>
      <c r="C77" s="2925" t="s">
        <v>3029</v>
      </c>
      <c r="D77" s="2925" t="s">
        <v>3030</v>
      </c>
      <c r="E77" s="2946">
        <v>0.15</v>
      </c>
      <c r="F77" s="2945">
        <v>20</v>
      </c>
    </row>
    <row r="78" spans="1:7" s="746" customFormat="1" ht="24">
      <c r="A78" s="2945">
        <v>6</v>
      </c>
      <c r="B78" s="3387"/>
      <c r="C78" s="2925" t="s">
        <v>3031</v>
      </c>
      <c r="D78" s="2925" t="s">
        <v>3032</v>
      </c>
      <c r="E78" s="2946">
        <v>0.15</v>
      </c>
      <c r="F78" s="2945">
        <v>20</v>
      </c>
    </row>
    <row r="79" spans="1:7" s="746" customFormat="1" ht="24">
      <c r="A79" s="2945">
        <v>7</v>
      </c>
      <c r="B79" s="3387"/>
      <c r="C79" s="2925" t="s">
        <v>3033</v>
      </c>
      <c r="D79" s="2925" t="s">
        <v>3034</v>
      </c>
      <c r="E79" s="2946">
        <v>0.15</v>
      </c>
      <c r="F79" s="2945">
        <v>20</v>
      </c>
    </row>
    <row r="80" spans="1:7" s="746" customFormat="1" ht="24">
      <c r="A80" s="2945">
        <v>8</v>
      </c>
      <c r="B80" s="3387"/>
      <c r="C80" s="2925" t="s">
        <v>3035</v>
      </c>
      <c r="D80" s="2925" t="s">
        <v>3036</v>
      </c>
      <c r="E80" s="2946">
        <v>0.1</v>
      </c>
      <c r="F80" s="2945">
        <v>15</v>
      </c>
    </row>
    <row r="81" spans="1:6" s="746" customFormat="1" ht="24">
      <c r="A81" s="2945">
        <v>9</v>
      </c>
      <c r="B81" s="3387"/>
      <c r="C81" s="2925" t="s">
        <v>3037</v>
      </c>
      <c r="D81" s="2925" t="s">
        <v>3038</v>
      </c>
      <c r="E81" s="2946">
        <v>0.1</v>
      </c>
      <c r="F81" s="2945">
        <v>15</v>
      </c>
    </row>
    <row r="82" spans="1:6" s="746" customFormat="1" ht="24">
      <c r="A82" s="2945">
        <v>10</v>
      </c>
      <c r="B82" s="3387"/>
      <c r="C82" s="2925" t="s">
        <v>3039</v>
      </c>
      <c r="D82" s="2925" t="s">
        <v>3040</v>
      </c>
      <c r="E82" s="2946">
        <v>0.1</v>
      </c>
      <c r="F82" s="2945">
        <v>15</v>
      </c>
    </row>
    <row r="83" spans="1:6" s="746" customFormat="1" ht="24">
      <c r="A83" s="2945">
        <v>11</v>
      </c>
      <c r="B83" s="3387"/>
      <c r="C83" s="2925" t="s">
        <v>3041</v>
      </c>
      <c r="D83" s="2925" t="s">
        <v>3042</v>
      </c>
      <c r="E83" s="2946">
        <v>0.1</v>
      </c>
      <c r="F83" s="2945">
        <v>15</v>
      </c>
    </row>
    <row r="84" spans="1:6" s="746" customFormat="1" ht="24">
      <c r="A84" s="2945">
        <v>12</v>
      </c>
      <c r="B84" s="3387"/>
      <c r="C84" s="2925" t="s">
        <v>3043</v>
      </c>
      <c r="D84" s="2925" t="s">
        <v>3044</v>
      </c>
      <c r="E84" s="2946">
        <v>0.1</v>
      </c>
      <c r="F84" s="2945">
        <v>15</v>
      </c>
    </row>
    <row r="85" spans="1:6" s="746" customFormat="1" ht="13.5">
      <c r="A85" s="2945">
        <v>13</v>
      </c>
      <c r="B85" s="3387"/>
      <c r="C85" s="2925" t="s">
        <v>3045</v>
      </c>
      <c r="D85" s="2925" t="s">
        <v>3046</v>
      </c>
      <c r="E85" s="2946">
        <v>0.1</v>
      </c>
      <c r="F85" s="2945">
        <v>15</v>
      </c>
    </row>
    <row r="86" spans="1:6" s="746" customFormat="1" ht="13.5">
      <c r="A86" s="2945">
        <v>14</v>
      </c>
      <c r="B86" s="3387"/>
      <c r="C86" s="2925" t="s">
        <v>3047</v>
      </c>
      <c r="D86" s="2925" t="s">
        <v>3048</v>
      </c>
      <c r="E86" s="2946">
        <v>0.1</v>
      </c>
      <c r="F86" s="2945">
        <v>15</v>
      </c>
    </row>
    <row r="87" spans="1:6" s="746" customFormat="1" ht="13.5">
      <c r="A87" s="2945">
        <v>15</v>
      </c>
      <c r="B87" s="3387"/>
      <c r="C87" s="2925" t="s">
        <v>3049</v>
      </c>
      <c r="D87" s="2925" t="s">
        <v>3050</v>
      </c>
      <c r="E87" s="2946">
        <v>0.1</v>
      </c>
      <c r="F87" s="2945">
        <v>15</v>
      </c>
    </row>
    <row r="88" spans="1:6" s="746" customFormat="1" ht="24">
      <c r="A88" s="2945">
        <v>16</v>
      </c>
      <c r="B88" s="3387"/>
      <c r="C88" s="2925" t="s">
        <v>3051</v>
      </c>
      <c r="D88" s="2925" t="s">
        <v>3052</v>
      </c>
      <c r="E88" s="2946">
        <v>0.1</v>
      </c>
      <c r="F88" s="2945">
        <v>15</v>
      </c>
    </row>
    <row r="89" spans="1:6" s="746" customFormat="1" ht="24">
      <c r="A89" s="2945">
        <v>17</v>
      </c>
      <c r="B89" s="3386"/>
      <c r="C89" s="2925" t="s">
        <v>3053</v>
      </c>
      <c r="D89" s="2925" t="s">
        <v>3054</v>
      </c>
      <c r="E89" s="2946">
        <v>0.1</v>
      </c>
      <c r="F89" s="2945">
        <v>15</v>
      </c>
    </row>
    <row r="90" spans="1:6" s="746" customFormat="1" ht="13.5">
      <c r="A90" s="2945">
        <v>18</v>
      </c>
      <c r="B90" s="3385" t="s">
        <v>3055</v>
      </c>
      <c r="C90" s="2925" t="s">
        <v>3056</v>
      </c>
      <c r="D90" s="2925" t="s">
        <v>3057</v>
      </c>
      <c r="E90" s="2946">
        <v>0.2</v>
      </c>
      <c r="F90" s="2945">
        <v>25</v>
      </c>
    </row>
    <row r="91" spans="1:6" s="746" customFormat="1" ht="24">
      <c r="A91" s="2945">
        <v>19</v>
      </c>
      <c r="B91" s="3387"/>
      <c r="C91" s="2925" t="s">
        <v>3058</v>
      </c>
      <c r="D91" s="2925" t="s">
        <v>3059</v>
      </c>
      <c r="E91" s="2946">
        <v>0.2</v>
      </c>
      <c r="F91" s="2945">
        <v>25</v>
      </c>
    </row>
    <row r="92" spans="1:6" s="746" customFormat="1" ht="13.5">
      <c r="A92" s="2945">
        <v>20</v>
      </c>
      <c r="B92" s="3387"/>
      <c r="C92" s="2925" t="s">
        <v>3060</v>
      </c>
      <c r="D92" s="2925" t="s">
        <v>3061</v>
      </c>
      <c r="E92" s="2946">
        <v>0.15</v>
      </c>
      <c r="F92" s="2945">
        <v>20</v>
      </c>
    </row>
    <row r="93" spans="1:6" s="746" customFormat="1" ht="24">
      <c r="A93" s="2945">
        <v>21</v>
      </c>
      <c r="B93" s="3387"/>
      <c r="C93" s="2925" t="s">
        <v>3062</v>
      </c>
      <c r="D93" s="2925" t="s">
        <v>3063</v>
      </c>
      <c r="E93" s="2946">
        <v>0.15</v>
      </c>
      <c r="F93" s="2945">
        <v>20</v>
      </c>
    </row>
    <row r="94" spans="1:6" s="746" customFormat="1" ht="24">
      <c r="A94" s="2945">
        <v>22</v>
      </c>
      <c r="B94" s="3387"/>
      <c r="C94" s="2925" t="s">
        <v>3064</v>
      </c>
      <c r="D94" s="2925" t="s">
        <v>3065</v>
      </c>
      <c r="E94" s="2946">
        <v>0.15</v>
      </c>
      <c r="F94" s="2945">
        <v>20</v>
      </c>
    </row>
    <row r="95" spans="1:6" s="746" customFormat="1" ht="36">
      <c r="A95" s="2945">
        <v>23</v>
      </c>
      <c r="B95" s="3387"/>
      <c r="C95" s="2925" t="s">
        <v>3066</v>
      </c>
      <c r="D95" s="2925" t="s">
        <v>3067</v>
      </c>
      <c r="E95" s="2946">
        <v>0.15</v>
      </c>
      <c r="F95" s="2945">
        <v>20</v>
      </c>
    </row>
    <row r="96" spans="1:6" s="746" customFormat="1" ht="13.5">
      <c r="A96" s="2945">
        <v>24</v>
      </c>
      <c r="B96" s="3387"/>
      <c r="C96" s="2925" t="s">
        <v>3068</v>
      </c>
      <c r="D96" s="2925" t="s">
        <v>3069</v>
      </c>
      <c r="E96" s="2946">
        <v>0.1</v>
      </c>
      <c r="F96" s="2945">
        <v>15</v>
      </c>
    </row>
    <row r="97" spans="1:6" s="746" customFormat="1" ht="24">
      <c r="A97" s="2945">
        <v>25</v>
      </c>
      <c r="B97" s="3387"/>
      <c r="C97" s="2925" t="s">
        <v>3070</v>
      </c>
      <c r="D97" s="2925" t="s">
        <v>3071</v>
      </c>
      <c r="E97" s="2946">
        <v>0.1</v>
      </c>
      <c r="F97" s="2945">
        <v>15</v>
      </c>
    </row>
    <row r="98" spans="1:6" s="746" customFormat="1" ht="24">
      <c r="A98" s="2945">
        <v>26</v>
      </c>
      <c r="B98" s="3387"/>
      <c r="C98" s="2925" t="s">
        <v>3072</v>
      </c>
      <c r="D98" s="2925" t="s">
        <v>3073</v>
      </c>
      <c r="E98" s="2946">
        <v>0.1</v>
      </c>
      <c r="F98" s="2945">
        <v>15</v>
      </c>
    </row>
    <row r="99" spans="1:6" s="746" customFormat="1" ht="24">
      <c r="A99" s="2945">
        <v>27</v>
      </c>
      <c r="B99" s="3387"/>
      <c r="C99" s="2925" t="s">
        <v>3074</v>
      </c>
      <c r="D99" s="2925" t="s">
        <v>3075</v>
      </c>
      <c r="E99" s="2946">
        <v>0.1</v>
      </c>
      <c r="F99" s="2945">
        <v>15</v>
      </c>
    </row>
    <row r="100" spans="1:6" s="746" customFormat="1" ht="24">
      <c r="A100" s="2945">
        <v>28</v>
      </c>
      <c r="B100" s="3387"/>
      <c r="C100" s="2925" t="s">
        <v>3076</v>
      </c>
      <c r="D100" s="2925" t="s">
        <v>3077</v>
      </c>
      <c r="E100" s="2946">
        <v>0.1</v>
      </c>
      <c r="F100" s="2945">
        <v>15</v>
      </c>
    </row>
    <row r="101" spans="1:6" s="746" customFormat="1" ht="24">
      <c r="A101" s="2945">
        <v>29</v>
      </c>
      <c r="B101" s="3387"/>
      <c r="C101" s="2925" t="s">
        <v>3078</v>
      </c>
      <c r="D101" s="2925" t="s">
        <v>3079</v>
      </c>
      <c r="E101" s="2946">
        <v>0.1</v>
      </c>
      <c r="F101" s="2945">
        <v>15</v>
      </c>
    </row>
    <row r="102" spans="1:6" s="746" customFormat="1" ht="24">
      <c r="A102" s="2945">
        <v>30</v>
      </c>
      <c r="B102" s="3387"/>
      <c r="C102" s="2925" t="s">
        <v>3080</v>
      </c>
      <c r="D102" s="2925" t="s">
        <v>3081</v>
      </c>
      <c r="E102" s="2946">
        <v>0.1</v>
      </c>
      <c r="F102" s="2945">
        <v>15</v>
      </c>
    </row>
    <row r="103" spans="1:6" s="746" customFormat="1" ht="24">
      <c r="A103" s="2945">
        <v>31</v>
      </c>
      <c r="B103" s="3387"/>
      <c r="C103" s="2925" t="s">
        <v>3082</v>
      </c>
      <c r="D103" s="2925" t="s">
        <v>3083</v>
      </c>
      <c r="E103" s="2946">
        <v>0.1</v>
      </c>
      <c r="F103" s="2945">
        <v>15</v>
      </c>
    </row>
    <row r="104" spans="1:6" s="746" customFormat="1" ht="24">
      <c r="A104" s="2945">
        <v>32</v>
      </c>
      <c r="B104" s="3387"/>
      <c r="C104" s="2925" t="s">
        <v>3084</v>
      </c>
      <c r="D104" s="2925" t="s">
        <v>3085</v>
      </c>
      <c r="E104" s="2946">
        <v>0.1</v>
      </c>
      <c r="F104" s="2945">
        <v>15</v>
      </c>
    </row>
    <row r="105" spans="1:6" s="746" customFormat="1" ht="24">
      <c r="A105" s="2945">
        <v>33</v>
      </c>
      <c r="B105" s="3387"/>
      <c r="C105" s="2925" t="s">
        <v>3086</v>
      </c>
      <c r="D105" s="2925" t="s">
        <v>3087</v>
      </c>
      <c r="E105" s="2946">
        <v>0.1</v>
      </c>
      <c r="F105" s="2945">
        <v>15</v>
      </c>
    </row>
    <row r="106" spans="1:6" s="746" customFormat="1" ht="24">
      <c r="A106" s="2945">
        <v>34</v>
      </c>
      <c r="B106" s="3386"/>
      <c r="C106" s="2925" t="s">
        <v>3088</v>
      </c>
      <c r="D106" s="2925" t="s">
        <v>3089</v>
      </c>
      <c r="E106" s="2946">
        <v>0.1</v>
      </c>
      <c r="F106" s="2945">
        <v>15</v>
      </c>
    </row>
    <row r="107" spans="1:6" s="746" customFormat="1" ht="24">
      <c r="A107" s="2945">
        <v>35</v>
      </c>
      <c r="B107" s="3385" t="s">
        <v>3090</v>
      </c>
      <c r="C107" s="2945" t="s">
        <v>3091</v>
      </c>
      <c r="D107" s="2925" t="s">
        <v>3092</v>
      </c>
      <c r="E107" s="2946">
        <v>0.15</v>
      </c>
      <c r="F107" s="2945">
        <v>20</v>
      </c>
    </row>
    <row r="108" spans="1:6" s="746" customFormat="1" ht="24">
      <c r="A108" s="2945">
        <v>36</v>
      </c>
      <c r="B108" s="3387"/>
      <c r="C108" s="2945" t="s">
        <v>3093</v>
      </c>
      <c r="D108" s="2925" t="s">
        <v>3094</v>
      </c>
      <c r="E108" s="2946">
        <v>0.15</v>
      </c>
      <c r="F108" s="2945">
        <v>20</v>
      </c>
    </row>
    <row r="109" spans="1:6" s="746" customFormat="1" ht="24">
      <c r="A109" s="2945">
        <v>37</v>
      </c>
      <c r="B109" s="3387"/>
      <c r="C109" s="2945" t="s">
        <v>3095</v>
      </c>
      <c r="D109" s="2925" t="s">
        <v>3096</v>
      </c>
      <c r="E109" s="2946">
        <v>0.15</v>
      </c>
      <c r="F109" s="2945">
        <v>20</v>
      </c>
    </row>
    <row r="110" spans="1:6" s="746" customFormat="1" ht="13.5">
      <c r="A110" s="2945">
        <v>38</v>
      </c>
      <c r="B110" s="3387"/>
      <c r="C110" s="2945" t="s">
        <v>3097</v>
      </c>
      <c r="D110" s="2925" t="s">
        <v>3098</v>
      </c>
      <c r="E110" s="2946">
        <v>0.1</v>
      </c>
      <c r="F110" s="2945">
        <v>15</v>
      </c>
    </row>
    <row r="111" spans="1:6" s="746" customFormat="1" ht="24">
      <c r="A111" s="2945">
        <v>39</v>
      </c>
      <c r="B111" s="3387"/>
      <c r="C111" s="2945" t="s">
        <v>3099</v>
      </c>
      <c r="D111" s="2925" t="s">
        <v>3100</v>
      </c>
      <c r="E111" s="2946">
        <v>0.1</v>
      </c>
      <c r="F111" s="2945">
        <v>15</v>
      </c>
    </row>
    <row r="112" spans="1:6" s="746" customFormat="1" ht="24">
      <c r="A112" s="2945">
        <v>40</v>
      </c>
      <c r="B112" s="3386"/>
      <c r="C112" s="2945" t="s">
        <v>3101</v>
      </c>
      <c r="D112" s="2925" t="s">
        <v>3102</v>
      </c>
      <c r="E112" s="2946">
        <v>0.1</v>
      </c>
      <c r="F112" s="2945">
        <v>15</v>
      </c>
    </row>
    <row r="113" spans="1:6" s="746" customFormat="1" ht="24">
      <c r="A113" s="2945">
        <v>41</v>
      </c>
      <c r="B113" s="3384" t="s">
        <v>3103</v>
      </c>
      <c r="C113" s="2945" t="s">
        <v>3104</v>
      </c>
      <c r="D113" s="2925" t="s">
        <v>3105</v>
      </c>
      <c r="E113" s="2946">
        <v>0.1</v>
      </c>
      <c r="F113" s="2945">
        <v>15</v>
      </c>
    </row>
    <row r="114" spans="1:6" s="746" customFormat="1" ht="13.5">
      <c r="A114" s="2945">
        <v>42</v>
      </c>
      <c r="B114" s="3384"/>
      <c r="C114" s="2945" t="s">
        <v>3106</v>
      </c>
      <c r="D114" s="2925" t="s">
        <v>3107</v>
      </c>
      <c r="E114" s="2946">
        <v>0.1</v>
      </c>
      <c r="F114" s="2945">
        <v>15</v>
      </c>
    </row>
    <row r="115" spans="1:6" s="746" customFormat="1" ht="24">
      <c r="A115" s="2945">
        <v>43</v>
      </c>
      <c r="B115" s="3384"/>
      <c r="C115" s="2945" t="s">
        <v>3108</v>
      </c>
      <c r="D115" s="2925" t="s">
        <v>3109</v>
      </c>
      <c r="E115" s="2946">
        <v>0.1</v>
      </c>
      <c r="F115" s="2945">
        <v>15</v>
      </c>
    </row>
    <row r="116" spans="1:6" s="746" customFormat="1" ht="24">
      <c r="A116" s="2945">
        <v>44</v>
      </c>
      <c r="B116" s="3385" t="s">
        <v>3110</v>
      </c>
      <c r="C116" s="2945" t="s">
        <v>3111</v>
      </c>
      <c r="D116" s="2925" t="s">
        <v>3112</v>
      </c>
      <c r="E116" s="2946">
        <v>0.1</v>
      </c>
      <c r="F116" s="2945">
        <v>15</v>
      </c>
    </row>
    <row r="117" spans="1:6" s="746" customFormat="1" ht="24">
      <c r="A117" s="2945">
        <v>45</v>
      </c>
      <c r="B117" s="3386"/>
      <c r="C117" s="2925" t="s">
        <v>3113</v>
      </c>
      <c r="D117" s="2925" t="s">
        <v>3114</v>
      </c>
      <c r="E117" s="2946">
        <v>0.1</v>
      </c>
      <c r="F117" s="2945">
        <v>15</v>
      </c>
    </row>
    <row r="118" spans="1:6" s="746" customFormat="1" ht="24">
      <c r="A118" s="2945">
        <v>46</v>
      </c>
      <c r="B118" s="3385" t="s">
        <v>3115</v>
      </c>
      <c r="C118" s="2945" t="s">
        <v>3116</v>
      </c>
      <c r="D118" s="2925" t="s">
        <v>3117</v>
      </c>
      <c r="E118" s="2946">
        <v>0.1</v>
      </c>
      <c r="F118" s="2945">
        <v>15</v>
      </c>
    </row>
    <row r="119" spans="1:6" s="746" customFormat="1" ht="24">
      <c r="A119" s="2945">
        <v>47</v>
      </c>
      <c r="B119" s="3386"/>
      <c r="C119" s="2945" t="s">
        <v>3118</v>
      </c>
      <c r="D119" s="2925" t="s">
        <v>3119</v>
      </c>
      <c r="E119" s="2946">
        <v>0.1</v>
      </c>
      <c r="F119" s="2945">
        <v>15</v>
      </c>
    </row>
    <row r="120" spans="1:6" s="746" customFormat="1" ht="24">
      <c r="A120" s="2945">
        <v>48</v>
      </c>
      <c r="B120" s="3385" t="s">
        <v>3120</v>
      </c>
      <c r="C120" s="2945" t="s">
        <v>3121</v>
      </c>
      <c r="D120" s="2925" t="s">
        <v>3122</v>
      </c>
      <c r="E120" s="2946">
        <v>0.1</v>
      </c>
      <c r="F120" s="2945">
        <v>15</v>
      </c>
    </row>
    <row r="121" spans="1:6" s="746" customFormat="1" ht="13.5">
      <c r="A121" s="2945">
        <v>49</v>
      </c>
      <c r="B121" s="3386"/>
      <c r="C121" s="2945" t="s">
        <v>3123</v>
      </c>
      <c r="D121" s="2925" t="s">
        <v>3124</v>
      </c>
      <c r="E121" s="2946">
        <v>0.1</v>
      </c>
      <c r="F121" s="2945">
        <v>15</v>
      </c>
    </row>
    <row r="122" spans="1:6" s="746" customFormat="1" ht="24">
      <c r="A122" s="2945">
        <v>50</v>
      </c>
      <c r="B122" s="3384" t="s">
        <v>3125</v>
      </c>
      <c r="C122" s="2945" t="s">
        <v>3126</v>
      </c>
      <c r="D122" s="2925" t="s">
        <v>3127</v>
      </c>
      <c r="E122" s="2946">
        <v>0.1</v>
      </c>
      <c r="F122" s="2945">
        <v>15</v>
      </c>
    </row>
    <row r="123" spans="1:6" s="746" customFormat="1" ht="24">
      <c r="A123" s="2945">
        <v>51</v>
      </c>
      <c r="B123" s="3384"/>
      <c r="C123" s="2945" t="s">
        <v>3128</v>
      </c>
      <c r="D123" s="2925" t="s">
        <v>3129</v>
      </c>
      <c r="E123" s="2946">
        <v>0.1</v>
      </c>
      <c r="F123" s="2945">
        <v>15</v>
      </c>
    </row>
    <row r="124" spans="1:6" s="746" customFormat="1" ht="24">
      <c r="A124" s="2945">
        <v>52</v>
      </c>
      <c r="B124" s="3384" t="s">
        <v>3130</v>
      </c>
      <c r="C124" s="2945" t="s">
        <v>3131</v>
      </c>
      <c r="D124" s="2925" t="s">
        <v>3132</v>
      </c>
      <c r="E124" s="2946">
        <v>0.1</v>
      </c>
      <c r="F124" s="2945">
        <v>15</v>
      </c>
    </row>
    <row r="125" spans="1:6" s="746" customFormat="1" ht="24">
      <c r="A125" s="2945">
        <v>53</v>
      </c>
      <c r="B125" s="3384"/>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384" t="s">
        <v>3138</v>
      </c>
      <c r="C127" s="2945" t="s">
        <v>3139</v>
      </c>
      <c r="D127" s="2925" t="s">
        <v>3140</v>
      </c>
      <c r="E127" s="2946">
        <v>0.1</v>
      </c>
      <c r="F127" s="2945">
        <v>15</v>
      </c>
    </row>
    <row r="128" spans="1:6" ht="13.5">
      <c r="A128" s="2945">
        <v>56</v>
      </c>
      <c r="B128" s="3384"/>
      <c r="C128" s="2945" t="s">
        <v>3141</v>
      </c>
      <c r="D128" s="2925" t="s">
        <v>3142</v>
      </c>
      <c r="E128" s="2946">
        <v>0.1</v>
      </c>
      <c r="F128" s="2945">
        <v>15</v>
      </c>
    </row>
    <row r="129" spans="1:6" ht="24">
      <c r="A129" s="2945">
        <v>57</v>
      </c>
      <c r="B129" s="3384"/>
      <c r="C129" s="2945" t="s">
        <v>3143</v>
      </c>
      <c r="D129" s="2925" t="s">
        <v>3144</v>
      </c>
      <c r="E129" s="2946">
        <v>0.1</v>
      </c>
      <c r="F129" s="2945">
        <v>15</v>
      </c>
    </row>
    <row r="130" spans="1:6" ht="24">
      <c r="A130" s="2945">
        <v>58</v>
      </c>
      <c r="B130" s="3384" t="s">
        <v>3145</v>
      </c>
      <c r="C130" s="2945" t="s">
        <v>3146</v>
      </c>
      <c r="D130" s="2925" t="s">
        <v>3147</v>
      </c>
      <c r="E130" s="2946">
        <v>0.1</v>
      </c>
      <c r="F130" s="2945">
        <v>15</v>
      </c>
    </row>
    <row r="131" spans="1:6" ht="24">
      <c r="A131" s="2945">
        <v>59</v>
      </c>
      <c r="B131" s="3384"/>
      <c r="C131" s="2945" t="s">
        <v>3148</v>
      </c>
      <c r="D131" s="2925" t="s">
        <v>3149</v>
      </c>
      <c r="E131" s="2946">
        <v>0.1</v>
      </c>
      <c r="F131" s="2945">
        <v>15</v>
      </c>
    </row>
    <row r="132" spans="1:6" ht="24">
      <c r="A132" s="2945">
        <v>60</v>
      </c>
      <c r="B132" s="3385" t="s">
        <v>3150</v>
      </c>
      <c r="C132" s="2945" t="s">
        <v>3151</v>
      </c>
      <c r="D132" s="2925" t="s">
        <v>3152</v>
      </c>
      <c r="E132" s="2946">
        <v>0.1</v>
      </c>
      <c r="F132" s="2945">
        <v>15</v>
      </c>
    </row>
    <row r="133" spans="1:6" ht="24">
      <c r="A133" s="2945">
        <v>61</v>
      </c>
      <c r="B133" s="3386"/>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84" t="s">
        <v>3158</v>
      </c>
      <c r="C135" s="2945" t="s">
        <v>3159</v>
      </c>
      <c r="D135" s="2925" t="s">
        <v>3160</v>
      </c>
      <c r="E135" s="2946">
        <v>0.1</v>
      </c>
      <c r="F135" s="2945">
        <v>15</v>
      </c>
    </row>
    <row r="136" spans="1:6" ht="13.5">
      <c r="A136" s="2945">
        <v>64</v>
      </c>
      <c r="B136" s="3384"/>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3" sqref="I3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10457</v>
      </c>
      <c r="C2" s="1408" t="s">
        <v>1240</v>
      </c>
      <c r="D2" s="1408"/>
      <c r="E2" s="1414"/>
      <c r="F2" s="1415"/>
      <c r="G2" s="2632"/>
      <c r="H2" s="2622"/>
      <c r="I2" s="2622"/>
      <c r="J2" s="2622"/>
      <c r="K2" s="2623"/>
      <c r="L2" s="2622"/>
      <c r="M2" s="2622"/>
    </row>
    <row r="3" spans="1:37" ht="18" customHeight="1" thickBot="1">
      <c r="A3" s="1416" t="s">
        <v>1241</v>
      </c>
      <c r="B3" s="1417">
        <f ca="1">IF(ISERROR(B2*10000/F43),0,ROUND(B2*10000/F43,0))</f>
        <v>23070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745</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744</v>
      </c>
      <c r="D6" s="144" t="s">
        <v>2604</v>
      </c>
      <c r="E6" s="292" t="s">
        <v>1129</v>
      </c>
      <c r="F6" s="293">
        <f ca="1">INDIRECT("'数据-取费表'!u"&amp;$G$1)</f>
        <v>5</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2987" t="s">
        <v>1130</v>
      </c>
      <c r="F7" s="293">
        <f ca="1">IF(INDIRECT("'数据-取费表'!ah"&amp;$G$1)="",INDIRECT("'数据-取费表'!k"&amp;$G$1),INDIRECT("'数据-取费表'!ah"&amp;$G$1))</f>
        <v>4532.6899999999996</v>
      </c>
      <c r="G7" s="1411"/>
      <c r="H7" s="294"/>
      <c r="I7" s="3325"/>
      <c r="J7" s="296"/>
      <c r="K7" s="297"/>
      <c r="L7" s="292" t="s">
        <v>1130</v>
      </c>
      <c r="M7" s="293">
        <f ca="1">F7</f>
        <v>4532.6899999999996</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2937</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2493</v>
      </c>
      <c r="D14" s="2990" t="s">
        <v>1142</v>
      </c>
      <c r="E14" s="2989"/>
      <c r="F14" s="309"/>
      <c r="G14" s="1411"/>
      <c r="H14" s="1024" t="s">
        <v>822</v>
      </c>
      <c r="I14" s="292" t="s">
        <v>1143</v>
      </c>
      <c r="J14" s="23">
        <f ca="1">C29</f>
        <v>3539</v>
      </c>
      <c r="K14" s="2986"/>
      <c r="L14" s="833"/>
      <c r="M14" s="834"/>
    </row>
    <row r="15" spans="1:37" s="1423" customFormat="1" ht="18" customHeight="1" thickBot="1">
      <c r="A15" s="1024" t="s">
        <v>823</v>
      </c>
      <c r="B15" s="292" t="s">
        <v>1144</v>
      </c>
      <c r="C15" s="23">
        <f ca="1">ROUND(C14*F15,0)</f>
        <v>75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84</v>
      </c>
      <c r="K16" s="1122" t="s">
        <v>1149</v>
      </c>
      <c r="L16" s="2993"/>
      <c r="M16" s="1107"/>
    </row>
    <row r="17" spans="1:37" s="1423" customFormat="1" ht="18" customHeight="1">
      <c r="A17" s="1024" t="s">
        <v>1114</v>
      </c>
      <c r="B17" s="292" t="s">
        <v>1150</v>
      </c>
      <c r="C17" s="23">
        <f ca="1">ROUND(F17*(F43+INDIRECT("'数据-取费表'!S"&amp;$G$1))/10000,0)</f>
        <v>82</v>
      </c>
      <c r="D17" s="292" t="s">
        <v>1151</v>
      </c>
      <c r="E17" s="292" t="s">
        <v>1152</v>
      </c>
      <c r="F17" s="25">
        <f>'数据-取费表'!B35</f>
        <v>180</v>
      </c>
      <c r="G17" s="1422"/>
      <c r="H17" s="1024" t="s">
        <v>822</v>
      </c>
      <c r="I17" s="292" t="s">
        <v>1153</v>
      </c>
      <c r="J17" s="2287">
        <f ca="1">ROUND(IF(AND(项目基本情况!B11="自然人",项目基本情况!B10="北京市"),J6*M17/(1+'数据-取费表'!C42),J18+J19+J20),0)</f>
        <v>31</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37</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2687</v>
      </c>
      <c r="D19" s="120" t="s">
        <v>1160</v>
      </c>
      <c r="E19" s="2995"/>
      <c r="F19" s="25"/>
      <c r="G19" s="1411"/>
      <c r="H19" s="1024" t="s">
        <v>823</v>
      </c>
      <c r="I19" s="292" t="s">
        <v>1161</v>
      </c>
      <c r="J19" s="23">
        <f ca="1">IF(K19="按租金收入计税",ROUND(J6*M19/(1+'数据-取费表'!C42),2),ROUND(C29*M19*0.7,2))</f>
        <v>29.73</v>
      </c>
      <c r="K19" s="1397" t="s">
        <v>1162</v>
      </c>
      <c r="L19" s="292" t="s">
        <v>1146</v>
      </c>
      <c r="M19" s="312">
        <f>IF(K19="按租金收入计税",'数据-取费表'!B51,'数据-取费表'!B50)</f>
        <v>1.2E-2</v>
      </c>
    </row>
    <row r="20" spans="1:37" s="1423" customFormat="1" ht="18" customHeight="1">
      <c r="A20" s="1024" t="s">
        <v>826</v>
      </c>
      <c r="B20" s="292" t="s">
        <v>1163</v>
      </c>
      <c r="C20" s="23">
        <f ca="1">ROUND(C19*F20,0)</f>
        <v>54</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53.1</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114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-84</v>
      </c>
      <c r="K25" s="1130" t="s">
        <v>1188</v>
      </c>
      <c r="L25" s="1131"/>
      <c r="M25" s="1132"/>
    </row>
    <row r="26" spans="1:37">
      <c r="A26" s="1024" t="s">
        <v>821</v>
      </c>
      <c r="B26" s="292" t="s">
        <v>1189</v>
      </c>
      <c r="C26" s="23">
        <f ca="1">ROUND((C19+C20)*F26,0)</f>
        <v>411</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3539</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206</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126</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39.68</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85.03</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53.1</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4.4000000000000004</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22.4</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539</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10457</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23070</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-15458</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10457</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3539</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5972</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10457</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2937</v>
      </c>
      <c r="D56" s="1471"/>
      <c r="E56" s="1472"/>
      <c r="F56" s="1464"/>
      <c r="I56" s="1473" t="s">
        <v>1278</v>
      </c>
      <c r="J56" s="1474" t="s">
        <v>3484</v>
      </c>
      <c r="K56" s="1447" t="s">
        <v>1279</v>
      </c>
      <c r="L56" s="1450" t="str">
        <f ca="1">IF(L48&lt;J51,"——",L48-J53)</f>
        <v>——</v>
      </c>
      <c r="O56" s="1444" t="s">
        <v>827</v>
      </c>
      <c r="P56" s="1445" t="s">
        <v>1252</v>
      </c>
      <c r="Q56" s="1446">
        <f ca="1">C40+J29</f>
        <v>10457</v>
      </c>
      <c r="R56" s="1446" t="s">
        <v>1253</v>
      </c>
    </row>
    <row r="57" spans="1:18" s="1411" customFormat="1" ht="24.75" thickBot="1">
      <c r="A57" s="1475"/>
      <c r="B57" s="992" t="s">
        <v>1202</v>
      </c>
      <c r="C57" s="228">
        <f ca="1">C29</f>
        <v>3539</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356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298</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297.27999999999997</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10457</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53.1</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4.4000000000000004</v>
      </c>
      <c r="D65" s="1006" t="s">
        <v>1178</v>
      </c>
      <c r="E65" s="992" t="s">
        <v>1146</v>
      </c>
      <c r="F65" s="319">
        <f t="shared" ca="1" si="0"/>
        <v>1.5E-3</v>
      </c>
      <c r="I65" s="1486" t="s">
        <v>1303</v>
      </c>
      <c r="J65" s="610">
        <v>40</v>
      </c>
      <c r="K65" s="610">
        <v>30</v>
      </c>
      <c r="L65" s="610">
        <v>50</v>
      </c>
      <c r="M65" s="1488">
        <v>0.02</v>
      </c>
      <c r="O65" s="1444" t="s">
        <v>827</v>
      </c>
      <c r="P65" s="1445" t="s">
        <v>1252</v>
      </c>
      <c r="Q65" s="1446">
        <f ca="1">C40+J29</f>
        <v>10457</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-356</v>
      </c>
      <c r="D67" s="1005" t="s">
        <v>1188</v>
      </c>
      <c r="E67" s="1010"/>
      <c r="F67" s="1011"/>
      <c r="O67" s="1453" t="s">
        <v>829</v>
      </c>
      <c r="P67" s="1445" t="s">
        <v>1286</v>
      </c>
      <c r="Q67" s="1489">
        <f ca="1">L51</f>
        <v>5972</v>
      </c>
      <c r="R67" s="1446" t="s">
        <v>1306</v>
      </c>
    </row>
    <row r="68" spans="1:18" s="1411" customFormat="1" ht="16.5" thickBot="1">
      <c r="A68" s="989" t="s">
        <v>819</v>
      </c>
      <c r="B68" s="990" t="s">
        <v>1209</v>
      </c>
      <c r="C68" s="291">
        <f ca="1">ROUND(C67*(1-((1+F70)/(1+F68))^F69)/(F68-F70),0)</f>
        <v>-5001</v>
      </c>
      <c r="D68" s="1007" t="s">
        <v>1193</v>
      </c>
      <c r="E68" s="992" t="s">
        <v>1194</v>
      </c>
      <c r="F68" s="302">
        <f ca="1">F40</f>
        <v>5.5E-2</v>
      </c>
      <c r="O68" s="1453" t="s">
        <v>830</v>
      </c>
      <c r="P68" s="1490" t="s">
        <v>1307</v>
      </c>
      <c r="Q68" s="1446">
        <f ca="1">ROUND(Q69-Q70*Q71,0)</f>
        <v>289</v>
      </c>
      <c r="R68" s="1446" t="s">
        <v>838</v>
      </c>
    </row>
    <row r="69" spans="1:18" s="1411" customFormat="1" ht="13.5" thickBot="1">
      <c r="A69" s="993"/>
      <c r="B69" s="994"/>
      <c r="C69" s="296"/>
      <c r="D69" s="1012" t="s">
        <v>1197</v>
      </c>
      <c r="E69" s="992" t="s">
        <v>1198</v>
      </c>
      <c r="F69" s="322">
        <f ca="1">F41</f>
        <v>27.67</v>
      </c>
      <c r="O69" s="1453" t="s">
        <v>835</v>
      </c>
      <c r="P69" s="1490" t="s">
        <v>1308</v>
      </c>
      <c r="Q69" s="1446">
        <f ca="1">C39</f>
        <v>539</v>
      </c>
      <c r="R69" s="1446" t="s">
        <v>1253</v>
      </c>
    </row>
    <row r="70" spans="1:18" s="1411" customFormat="1" ht="13.5" thickBot="1">
      <c r="A70" s="996"/>
      <c r="B70" s="997"/>
      <c r="C70" s="300"/>
      <c r="D70" s="1008"/>
      <c r="E70" s="992" t="s">
        <v>1201</v>
      </c>
      <c r="F70" s="1088"/>
      <c r="O70" s="1453" t="s">
        <v>836</v>
      </c>
      <c r="P70" s="1490" t="s">
        <v>1309</v>
      </c>
      <c r="Q70" s="1446">
        <f ca="1">C13</f>
        <v>2937</v>
      </c>
      <c r="R70" s="1446" t="s">
        <v>1253</v>
      </c>
    </row>
    <row r="71" spans="1:18" s="1411" customFormat="1" ht="13.5" thickBot="1">
      <c r="A71" s="1013" t="s">
        <v>820</v>
      </c>
      <c r="B71" s="1014" t="s">
        <v>1211</v>
      </c>
      <c r="C71" s="325">
        <f ca="1">ROUND(C68*10000/F71,0)</f>
        <v>-11033</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250</v>
      </c>
      <c r="D75" s="1411"/>
      <c r="E75" s="1411"/>
      <c r="F75" s="1411"/>
      <c r="K75" s="1428"/>
      <c r="L75" s="1411"/>
      <c r="O75" s="1444" t="s">
        <v>833</v>
      </c>
      <c r="P75" s="1445" t="s">
        <v>1273</v>
      </c>
      <c r="Q75" s="1446">
        <f ca="1">Q65+Q66</f>
        <v>10457</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0.53600000000000003</v>
      </c>
    </row>
    <row r="80" spans="1:18">
      <c r="B80" s="329" t="s">
        <v>1235</v>
      </c>
      <c r="C80" s="264">
        <f ca="1">ROUND(C75/C39,3)</f>
        <v>0.46400000000000002</v>
      </c>
    </row>
    <row r="81" spans="2:3">
      <c r="B81" s="260" t="s">
        <v>1236</v>
      </c>
      <c r="C81" s="228"/>
    </row>
    <row r="82" spans="2:3">
      <c r="B82" s="263" t="s">
        <v>1237</v>
      </c>
      <c r="C82" s="265">
        <f ca="1">1-C83</f>
        <v>0.71899999999999997</v>
      </c>
    </row>
    <row r="83" spans="2:3">
      <c r="B83" s="263" t="s">
        <v>1238</v>
      </c>
      <c r="C83" s="264">
        <f ca="1">ROUND(C13/C40,3)</f>
        <v>0.28100000000000003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01" t="s">
        <v>877</v>
      </c>
      <c r="C1" s="3401"/>
      <c r="D1" s="3401"/>
      <c r="E1" s="3401"/>
      <c r="F1" s="3401"/>
      <c r="G1" s="3400" t="s">
        <v>878</v>
      </c>
      <c r="H1" s="3400"/>
      <c r="I1" s="3400"/>
      <c r="J1" s="3400"/>
      <c r="K1" s="3400"/>
      <c r="L1" s="3400"/>
      <c r="N1" s="3400" t="s">
        <v>879</v>
      </c>
      <c r="O1" s="3400"/>
      <c r="P1" s="3400"/>
      <c r="Q1" s="3400"/>
      <c r="S1" s="3400" t="s">
        <v>880</v>
      </c>
      <c r="T1" s="3400"/>
      <c r="U1" s="3400"/>
      <c r="V1" s="3400"/>
      <c r="X1" s="3399" t="s">
        <v>881</v>
      </c>
      <c r="Y1" s="3400"/>
      <c r="Z1" s="3400"/>
      <c r="AA1" s="3400"/>
      <c r="AB1" s="3400"/>
      <c r="AD1" s="3399" t="s">
        <v>882</v>
      </c>
      <c r="AE1" s="3400"/>
      <c r="AF1" s="3400"/>
      <c r="AG1" s="3400"/>
      <c r="AH1" s="3400"/>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397">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397"/>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397"/>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6"/>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2">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397"/>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397"/>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6"/>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2">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397"/>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397"/>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398"/>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396">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397"/>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397"/>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398"/>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396">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397"/>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397"/>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398"/>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03">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4"/>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4"/>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5"/>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396">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397"/>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397"/>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398"/>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396">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397">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397">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398">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396">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397">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397">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398">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396">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397">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397">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398">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396">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397">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397">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398">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396">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397">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397">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398">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396">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397">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397">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398">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396">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397">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397">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398">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396">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397">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397">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398">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396">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397">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397">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398">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396">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397">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397">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398">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65518</v>
      </c>
      <c r="C2" s="2" t="s">
        <v>133</v>
      </c>
      <c r="D2" s="189"/>
      <c r="E2" s="189"/>
      <c r="F2" s="189"/>
      <c r="G2" s="189"/>
    </row>
    <row r="3" spans="1:7" s="190" customFormat="1" ht="18" customHeight="1" thickBot="1">
      <c r="A3" s="193" t="s">
        <v>85</v>
      </c>
      <c r="B3" s="194">
        <f ca="1">ROUND(B2*10000/'数据-汇总表'!E3,0)</f>
        <v>12217</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0</v>
      </c>
      <c r="D19" s="202">
        <f>'数据-汇总表'!E3</f>
        <v>53626.59</v>
      </c>
      <c r="E19" s="201">
        <f>'数据-取费表'!B31</f>
        <v>0</v>
      </c>
      <c r="F19" s="221"/>
      <c r="G19" s="1" t="s">
        <v>861</v>
      </c>
    </row>
    <row r="20" spans="1:7" s="204" customFormat="1" ht="13.5" customHeight="1">
      <c r="A20" s="804" t="s">
        <v>844</v>
      </c>
      <c r="B20" s="200" t="s">
        <v>104</v>
      </c>
      <c r="C20" s="222">
        <f>ROUND((C5+C19)*F20,0)</f>
        <v>412</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1763</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0</v>
      </c>
      <c r="D24" s="228"/>
      <c r="E24" s="228"/>
      <c r="F24" s="229"/>
      <c r="G24" s="230" t="s">
        <v>109</v>
      </c>
    </row>
    <row r="25" spans="1:7" s="204" customFormat="1" ht="24">
      <c r="A25" s="807" t="s">
        <v>612</v>
      </c>
      <c r="B25" s="205" t="s">
        <v>845</v>
      </c>
      <c r="C25" s="1140">
        <f ca="1">ROUND(IF('数据-取费表'!B22&lt;=1,C20*F22*'数据-取费表'!B23/2,C20*(POWER((1+F22),'数据-取费表'!B23/2)-1)),0)</f>
        <v>17</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4204</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4204</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29276</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31787</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29495</v>
      </c>
      <c r="D34" s="207"/>
      <c r="E34" s="210"/>
      <c r="F34" s="247">
        <f>IF('数据-取费表'!B24=0,1,'数据-取费表'!N16)</f>
        <v>1</v>
      </c>
      <c r="G34" s="209" t="s">
        <v>116</v>
      </c>
    </row>
    <row r="35" spans="1:7" ht="13.5" customHeight="1">
      <c r="A35" s="807" t="s">
        <v>615</v>
      </c>
      <c r="B35" s="205" t="s">
        <v>60</v>
      </c>
      <c r="C35" s="210">
        <f>ROUND(C34*F35,0)</f>
        <v>885</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965</v>
      </c>
      <c r="D37" s="207">
        <f>'数据-汇总表'!E3</f>
        <v>53626.59</v>
      </c>
      <c r="E37" s="239">
        <f>'数据-取费表'!B35</f>
        <v>180</v>
      </c>
      <c r="F37" s="249"/>
      <c r="G37" s="251" t="s">
        <v>119</v>
      </c>
    </row>
    <row r="38" spans="1:7" ht="13.5" customHeight="1">
      <c r="A38" s="807" t="s">
        <v>618</v>
      </c>
      <c r="B38" s="205" t="s">
        <v>63</v>
      </c>
      <c r="C38" s="210">
        <f>ROUND(C34*F38,0)</f>
        <v>442</v>
      </c>
      <c r="D38" s="210"/>
      <c r="E38" s="210"/>
      <c r="F38" s="249">
        <f>'数据-取费表'!B36</f>
        <v>1.4999999999999999E-2</v>
      </c>
      <c r="G38" s="209" t="s">
        <v>117</v>
      </c>
    </row>
    <row r="39" spans="1:7" s="204" customFormat="1" ht="13.5" customHeight="1">
      <c r="A39" s="804" t="s">
        <v>602</v>
      </c>
      <c r="B39" s="200" t="s">
        <v>104</v>
      </c>
      <c r="C39" s="222">
        <f>ROUND(C33*F20,0)</f>
        <v>636</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1345</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1319</v>
      </c>
      <c r="D42" s="228"/>
      <c r="E42" s="228"/>
      <c r="F42" s="229"/>
      <c r="G42" s="3294" t="s">
        <v>121</v>
      </c>
    </row>
    <row r="43" spans="1:7" ht="13.5" customHeight="1">
      <c r="A43" s="807" t="s">
        <v>611</v>
      </c>
      <c r="B43" s="205" t="s">
        <v>851</v>
      </c>
      <c r="C43" s="228">
        <f ca="1">ROUND(IF('数据-取费表'!B22&lt;=1,C39*F22*'数据-取费表'!B21/2,C39*(POWER((1+F22),'数据-取费表'!B21/2)-1)),0)</f>
        <v>26</v>
      </c>
      <c r="D43" s="228"/>
      <c r="E43" s="228"/>
      <c r="F43" s="229"/>
      <c r="G43" s="3295"/>
    </row>
    <row r="44" spans="1:7" ht="13.5" customHeight="1">
      <c r="A44" s="807" t="s">
        <v>612</v>
      </c>
      <c r="B44" s="205" t="s">
        <v>853</v>
      </c>
      <c r="C44" s="228">
        <f ca="1">ROUND(IF('数据-取费表'!B22&lt;=1,C40*F22*'数据-取费表'!B21/2,C40*(POWER((1+F22),'数据-取费表'!B21/2)-1)),4)</f>
        <v>8.0000000000000004E-4</v>
      </c>
      <c r="D44" s="228"/>
      <c r="E44" s="228"/>
      <c r="F44" s="229"/>
      <c r="G44" s="3296"/>
    </row>
    <row r="45" spans="1:7" s="204" customFormat="1" ht="13.5" customHeight="1">
      <c r="A45" s="804" t="s">
        <v>605</v>
      </c>
      <c r="B45" s="234" t="s">
        <v>112</v>
      </c>
      <c r="C45" s="235">
        <f>C46</f>
        <v>6485</v>
      </c>
      <c r="D45" s="225">
        <f>C47</f>
        <v>4.0000000000000001E-3</v>
      </c>
      <c r="E45" s="226" t="s">
        <v>129</v>
      </c>
      <c r="F45" s="236"/>
      <c r="G45" s="237" t="s">
        <v>859</v>
      </c>
    </row>
    <row r="46" spans="1:7" s="204" customFormat="1" ht="13.5" customHeight="1">
      <c r="A46" s="807" t="s">
        <v>613</v>
      </c>
      <c r="B46" s="238" t="s">
        <v>852</v>
      </c>
      <c r="C46" s="239">
        <f>ROUND((C33+C39)*F27,0)</f>
        <v>6485</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43665</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36242</v>
      </c>
      <c r="D51" s="222"/>
      <c r="E51" s="222"/>
      <c r="F51" s="254"/>
      <c r="G51" s="224" t="s">
        <v>64</v>
      </c>
    </row>
    <row r="52" spans="1:7" s="198" customFormat="1" ht="16.5" thickBot="1">
      <c r="A52" s="255" t="s">
        <v>65</v>
      </c>
      <c r="B52" s="256"/>
      <c r="C52" s="257">
        <f ca="1">C31+C51</f>
        <v>65518</v>
      </c>
      <c r="D52" s="256"/>
      <c r="E52" s="256"/>
      <c r="F52" s="256"/>
      <c r="G52" s="258"/>
    </row>
    <row r="55" spans="1:7" ht="15">
      <c r="B55" s="260" t="s">
        <v>66</v>
      </c>
      <c r="C55" s="261"/>
    </row>
    <row r="56" spans="1:7">
      <c r="B56" s="263" t="s">
        <v>67</v>
      </c>
      <c r="C56" s="264">
        <f ca="1">ROUND(C51/C52,3)</f>
        <v>0.55300000000000005</v>
      </c>
    </row>
    <row r="57" spans="1:7">
      <c r="B57" s="263" t="s">
        <v>68</v>
      </c>
      <c r="C57" s="265">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07" t="s">
        <v>156</v>
      </c>
      <c r="B1" s="3407"/>
      <c r="C1" s="3407"/>
      <c r="D1" s="3407"/>
      <c r="E1" s="3407"/>
      <c r="F1" s="3407"/>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08" t="s">
        <v>169</v>
      </c>
      <c r="B2" s="3408"/>
      <c r="C2" s="3408"/>
      <c r="D2" s="3408"/>
      <c r="E2" s="3408"/>
      <c r="F2" s="3408"/>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09"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0"/>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07" t="s">
        <v>658</v>
      </c>
      <c r="B1" s="3407"/>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1365</v>
      </c>
      <c r="B2" s="3084" t="s">
        <v>1366</v>
      </c>
      <c r="C2" s="3084" t="s">
        <v>1367</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233681</v>
      </c>
      <c r="E4" s="875">
        <f ca="1">结果表!E118</f>
        <v>43576</v>
      </c>
      <c r="F4" s="875">
        <f ca="1">结果表!F118</f>
        <v>37726</v>
      </c>
      <c r="G4" s="875">
        <f ca="1">结果表!G118</f>
        <v>7035</v>
      </c>
      <c r="H4" s="875">
        <f ca="1">结果表!H118</f>
        <v>271407</v>
      </c>
      <c r="I4" s="875">
        <f ca="1">结果表!I118</f>
        <v>50611</v>
      </c>
    </row>
    <row r="5" spans="1:9" ht="30" customHeight="1">
      <c r="A5" s="3078" t="s">
        <v>1364</v>
      </c>
      <c r="B5" s="3078"/>
      <c r="C5" s="3078"/>
      <c r="D5" s="3079" t="str">
        <f ca="1">结果表!D119</f>
        <v>贰拾叁亿叁仟陆佰捌拾壹万元整</v>
      </c>
      <c r="E5" s="3079"/>
      <c r="F5" s="3079" t="str">
        <f ca="1">结果表!F119</f>
        <v>叁亿柒仟柒佰贰拾陆万元整</v>
      </c>
      <c r="G5" s="3079"/>
      <c r="H5" s="3079" t="str">
        <f ca="1">结果表!H119</f>
        <v>贰拾柒亿壹仟肆佰零柒万元整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1364</v>
      </c>
      <c r="B7" s="3078"/>
      <c r="C7" s="3078"/>
      <c r="D7" s="3080" t="str">
        <f>结果表!D121</f>
        <v>零元整</v>
      </c>
      <c r="E7" s="3081"/>
      <c r="F7" s="3081"/>
      <c r="G7" s="3081"/>
      <c r="H7" s="3081"/>
      <c r="I7" s="3082"/>
    </row>
    <row r="8" spans="1:9" ht="15.75">
      <c r="A8" s="3077" t="str">
        <f>结果表!A122</f>
        <v>房地产抵押价值</v>
      </c>
      <c r="B8" s="3077"/>
      <c r="C8" s="3077"/>
      <c r="D8" s="3077">
        <f ca="1">结果表!D122</f>
        <v>271407</v>
      </c>
      <c r="E8" s="3077"/>
      <c r="F8" s="3077"/>
      <c r="G8" s="3077"/>
      <c r="H8" s="3077"/>
      <c r="I8" s="3077"/>
    </row>
    <row r="9" spans="1:9" ht="15">
      <c r="A9" s="3078" t="s">
        <v>1364</v>
      </c>
      <c r="B9" s="3078"/>
      <c r="C9" s="3078"/>
      <c r="D9" s="3079" t="str">
        <f ca="1">结果表!D123</f>
        <v>贰拾柒亿壹仟肆佰零柒万元整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1364</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1364</v>
      </c>
      <c r="B13" s="3074"/>
      <c r="C13" s="3074"/>
      <c r="D13" s="3075" t="e">
        <f>结果表!D127</f>
        <v>#VALUE!</v>
      </c>
      <c r="E13" s="3075"/>
      <c r="F13" s="3075"/>
      <c r="G13" s="3075"/>
      <c r="H13" s="3075"/>
      <c r="I13" s="3075"/>
    </row>
    <row r="14" spans="1:9" ht="15" thickTop="1">
      <c r="A14" s="3076" t="s">
        <v>1369</v>
      </c>
      <c r="B14" s="3076"/>
      <c r="C14" s="3076"/>
      <c r="D14" s="3076"/>
      <c r="E14" s="3076"/>
      <c r="F14" s="3076"/>
      <c r="G14" s="3076"/>
      <c r="H14" s="3076"/>
      <c r="I14" s="3076"/>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3.5"/>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091" t="s">
        <v>1386</v>
      </c>
      <c r="B1" s="3091"/>
      <c r="C1" s="3091"/>
      <c r="D1" s="3091"/>
    </row>
    <row r="2" spans="1:4" ht="18">
      <c r="A2" s="3092" t="s">
        <v>1370</v>
      </c>
      <c r="B2" s="3092"/>
      <c r="C2" s="3092"/>
      <c r="D2" s="3092"/>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092" t="s">
        <v>1376</v>
      </c>
      <c r="B6" s="3092"/>
      <c r="C6" s="3092"/>
      <c r="D6" s="3092"/>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093" t="s">
        <v>1379</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1380</v>
      </c>
      <c r="B16" s="3087"/>
      <c r="C16" s="3087"/>
      <c r="D16" s="3087"/>
    </row>
    <row r="17" spans="1:4" ht="144" customHeight="1">
      <c r="A17" s="3087" t="s">
        <v>1381</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1382</v>
      </c>
      <c r="B22" s="3089"/>
      <c r="C22" s="3089"/>
      <c r="D22" s="3089"/>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099" t="s">
        <v>1393</v>
      </c>
      <c r="B15" s="3094" t="s">
        <v>136</v>
      </c>
      <c r="C15" s="3095"/>
    </row>
    <row r="16" spans="1:7" ht="13.5">
      <c r="A16" s="3100"/>
      <c r="B16" s="3094" t="s">
        <v>69</v>
      </c>
      <c r="C16" s="3095"/>
    </row>
    <row r="17" spans="1:3" ht="13.5">
      <c r="A17" s="3100"/>
      <c r="B17" s="3097" t="s">
        <v>1394</v>
      </c>
      <c r="C17" s="1549" t="s">
        <v>1393</v>
      </c>
    </row>
    <row r="18" spans="1:3" ht="13.5">
      <c r="A18" s="3100"/>
      <c r="B18" s="3097"/>
      <c r="C18" s="1549" t="s">
        <v>1395</v>
      </c>
    </row>
    <row r="19" spans="1:3" ht="13.5">
      <c r="A19" s="3100"/>
      <c r="B19" s="3097"/>
      <c r="C19" s="1549" t="s">
        <v>1396</v>
      </c>
    </row>
    <row r="20" spans="1:3" ht="13.5">
      <c r="A20" s="3101"/>
      <c r="B20" s="3096" t="s">
        <v>1397</v>
      </c>
      <c r="C20" s="3095"/>
    </row>
    <row r="21" spans="1:3" ht="13.5">
      <c r="A21" s="1550" t="s">
        <v>1398</v>
      </c>
      <c r="B21" s="1551"/>
      <c r="C21" s="1552"/>
    </row>
    <row r="22" spans="1:3" ht="13.5">
      <c r="A22" s="3098" t="s">
        <v>1399</v>
      </c>
      <c r="B22" s="3096" t="s">
        <v>1400</v>
      </c>
      <c r="C22" s="3095"/>
    </row>
    <row r="23" spans="1:3" ht="13.5">
      <c r="A23" s="3098"/>
      <c r="B23" s="3096" t="s">
        <v>1401</v>
      </c>
      <c r="C23" s="3095"/>
    </row>
    <row r="24" spans="1:3" ht="13.5">
      <c r="A24" s="3098"/>
      <c r="B24" s="3096" t="s">
        <v>1402</v>
      </c>
      <c r="C24" s="3095"/>
    </row>
    <row r="25" spans="1:3" ht="13.5">
      <c r="A25" s="3098"/>
      <c r="B25" s="3097" t="s">
        <v>1403</v>
      </c>
      <c r="C25" s="1549" t="s">
        <v>1404</v>
      </c>
    </row>
    <row r="26" spans="1:3" ht="13.5">
      <c r="A26" s="3098"/>
      <c r="B26" s="3097"/>
      <c r="C26" s="1549" t="s">
        <v>1405</v>
      </c>
    </row>
    <row r="27" spans="1:3" ht="13.5">
      <c r="A27" s="3098"/>
      <c r="B27" s="3097"/>
      <c r="C27" s="1549" t="s">
        <v>1406</v>
      </c>
    </row>
    <row r="28" spans="1:3" ht="13.5">
      <c r="A28" s="3098"/>
      <c r="B28" s="3097"/>
      <c r="C28" s="1549" t="s">
        <v>1407</v>
      </c>
    </row>
    <row r="29" spans="1:3" ht="13.5">
      <c r="A29" s="3098"/>
      <c r="B29" s="3097"/>
      <c r="C29" s="1549" t="s">
        <v>1408</v>
      </c>
    </row>
    <row r="30" spans="1:3" ht="13.5">
      <c r="A30" s="3098"/>
      <c r="B30" s="3097"/>
      <c r="C30" s="1549" t="s">
        <v>1409</v>
      </c>
    </row>
    <row r="31" spans="1:3" ht="13.5">
      <c r="A31" s="3098"/>
      <c r="B31" s="3097"/>
      <c r="C31" s="1549" t="s">
        <v>1410</v>
      </c>
    </row>
    <row r="32" spans="1:3" ht="13.5">
      <c r="A32" s="3098"/>
      <c r="B32" s="3097"/>
      <c r="C32" s="1549" t="s">
        <v>1411</v>
      </c>
    </row>
    <row r="33" spans="1:3" ht="13.5">
      <c r="A33" s="3098"/>
      <c r="B33" s="3097"/>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44812</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2" t="s">
        <v>2656</v>
      </c>
      <c r="B17" s="3102"/>
      <c r="C17" s="3102"/>
      <c r="D17" s="3102"/>
      <c r="E17" s="3102"/>
      <c r="F17" s="3102"/>
      <c r="G17" s="3102"/>
      <c r="H17" s="3102"/>
    </row>
    <row r="18" spans="1:8" ht="24" customHeight="1">
      <c r="A18" s="3103" t="s">
        <v>2657</v>
      </c>
      <c r="B18" s="3103"/>
      <c r="C18" s="3103"/>
      <c r="D18" s="2312"/>
      <c r="E18" s="3104" t="s">
        <v>2658</v>
      </c>
      <c r="F18" s="3103"/>
      <c r="G18" s="3103"/>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2022-09-08T01:56:36Z</dcterms:modified>
</cp:coreProperties>
</file>