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0845" tabRatio="875" firstSheet="13" activeTab="17"/>
  </bookViews>
  <sheets>
    <sheet name="预评函-封皮" sheetId="50" state="hidden" r:id="rId1"/>
    <sheet name="预评函-1" sheetId="51" state="hidden" r:id="rId2"/>
    <sheet name="预评函-1 (储备)" sheetId="64" state="hidden" r:id="rId3"/>
    <sheet name="预评函-2" sheetId="54" state="hidden" r:id="rId4"/>
    <sheet name="预评函-3" sheetId="55" state="hidden" r:id="rId5"/>
    <sheet name="使用说明" sheetId="41" state="hidden" r:id="rId6"/>
    <sheet name="估价师及机构信息" sheetId="52" state="hidden" r:id="rId7"/>
    <sheet name="致函链接" sheetId="63"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收益法-综合楼" sheetId="70" state="hidden" r:id="rId34"/>
    <sheet name="不动产收益法-商业" sheetId="71" state="hidden" r:id="rId35"/>
    <sheet name="土地案例" sheetId="75" r:id="rId36"/>
    <sheet name="典型户型修正-洋房" sheetId="31" r:id="rId37"/>
    <sheet name="不动产收益法-底商" sheetId="73" state="hidden" r:id="rId38"/>
    <sheet name="不动产收益法-公寓" sheetId="72" state="hidden" r:id="rId39"/>
    <sheet name="不动产比较法-中高层"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不动产比较法-联排" sheetId="76" r:id="rId47"/>
    <sheet name="典型户型修正-叠拼" sheetId="74" r:id="rId48"/>
    <sheet name="不动产收益法-车位" sheetId="69" r:id="rId49"/>
    <sheet name="Sheet2" sheetId="77" r:id="rId50"/>
  </sheet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6" hidden="1">'不动产比较法-联排'!$A$1:$L$49</definedName>
    <definedName name="_xlnm._FilterDatabase" localSheetId="40" hidden="1">'不动产比较法-商业'!$A$1:$L$49</definedName>
    <definedName name="_xlnm._FilterDatabase" localSheetId="39" hidden="1">'不动产比较法-中高层'!$A$1:$L$49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7">'典型户型修正-叠拼'!$5:$5</definedName>
    <definedName name="一修多修正项2">'典型户型修正-洋房'!$5:$5</definedName>
    <definedName name="一修多修正项3" localSheetId="47">'典型户型修正-叠拼'!$7:$7</definedName>
    <definedName name="一修多修正项3">'典型户型修正-洋房'!$7:$7</definedName>
    <definedName name="一修多修正项4" localSheetId="47">'典型户型修正-叠拼'!$9:$9</definedName>
    <definedName name="一修多修正项4">'典型户型修正-洋房'!$9:$9</definedName>
    <definedName name="一修多修正项5" localSheetId="47">'典型户型修正-叠拼'!$11:$11</definedName>
    <definedName name="一修多修正项5">'典型户型修正-洋房'!$11:$11</definedName>
    <definedName name="一修多修正项6" localSheetId="47">'典型户型修正-叠拼'!$13:$13</definedName>
    <definedName name="一修多修正项6">'典型户型修正-洋房'!$13:$13</definedName>
    <definedName name="一修多修正项7" localSheetId="47">'典型户型修正-叠拼'!$15:$15</definedName>
    <definedName name="一修多修正项7">'典型户型修正-洋房'!$15:$15</definedName>
    <definedName name="一修多修正项8" localSheetId="47">'典型户型修正-叠拼'!$17:$17</definedName>
    <definedName name="一修多修正项8">'典型户型修正-洋房'!$17:$17</definedName>
    <definedName name="用途类型">定义!$A$1:$A$50</definedName>
    <definedName name="有无电梯">'不动产比较法-仓储'!$B$84:$M$84</definedName>
    <definedName name="主用途">定义!$F$1:$F$10</definedName>
    <definedName name="住宅朝向" localSheetId="46">'不动产比较法-联排'!$B$88:$M$88</definedName>
    <definedName name="住宅朝向">'不动产比较法-中高层'!$B$88:$M$88</definedName>
    <definedName name="住宅房型" localSheetId="46">'不动产比较法-联排'!$B$118:$M$118</definedName>
    <definedName name="住宅房型">'不动产比较法-中高层'!$B$118:$M$118</definedName>
    <definedName name="住宅公共部分装修" localSheetId="46">'不动产比较法-联排'!$B$109:$M$109</definedName>
    <definedName name="住宅公共部分装修">'不动产比较法-中高层'!$B$109:$M$109</definedName>
    <definedName name="住宅基础设施水平" localSheetId="46">'不动产比较法-联排'!$B$116:$M$116</definedName>
    <definedName name="住宅基础设施水平">'不动产比较法-中高层'!$B$116:$M$116</definedName>
    <definedName name="住宅建筑结构" localSheetId="46">'不动产比较法-联排'!$B$105:$M$105</definedName>
    <definedName name="住宅建筑结构">'不动产比较法-中高层'!$B$105:$M$105</definedName>
    <definedName name="住宅建筑类型" localSheetId="46">'不动产比较法-联排'!$B$100:$M$100</definedName>
    <definedName name="住宅建筑类型">'不动产比较法-中高层'!$B$100:$M$100</definedName>
    <definedName name="住宅建筑品质" localSheetId="46">'不动产比较法-联排'!$B$107:$M$107</definedName>
    <definedName name="住宅建筑品质">'不动产比较法-中高层'!$B$107:$M$107</definedName>
    <definedName name="住宅交易情况" localSheetId="46">'不动产比较法-联排'!$A$61:$M$61</definedName>
    <definedName name="住宅交易情况">'不动产比较法-中高层'!$A$61:$M$61</definedName>
    <definedName name="住宅楼层" localSheetId="46">'不动产比较法-联排'!$B$86:$M$86</definedName>
    <definedName name="住宅楼层">'不动产比较法-中高层'!$B$86:$M$86</definedName>
    <definedName name="住宅内部装修" localSheetId="46">'不动产比较法-联排'!$B$122:$M$122</definedName>
    <definedName name="住宅内部装修">'不动产比较法-中高层'!$B$122:$M$122</definedName>
    <definedName name="住宅物业管理" localSheetId="46">'不动产比较法-联排'!$B$114:$M$114</definedName>
    <definedName name="住宅物业管理">'不动产比较法-中高层'!$B$114:$M$114</definedName>
    <definedName name="住宅用途" localSheetId="46">'不动产比较法-联排'!$B$63:$M$63</definedName>
    <definedName name="住宅用途">'不动产比较法-中高层'!$B$63:$M$63</definedName>
    <definedName name="住宅主力户型面积" localSheetId="46">'不动产比较法-联排'!$B$120:$M$120</definedName>
    <definedName name="住宅主力户型面积">'不动产比较法-中高层'!$B$120:$M$120</definedName>
    <definedName name="注册房地产估价师">估价师及机构信息!$A$3:$A$24</definedName>
  </definedNames>
  <calcPr calcId="144525"/>
</workbook>
</file>

<file path=xl/calcChain.xml><?xml version="1.0" encoding="utf-8"?>
<calcChain xmlns="http://schemas.openxmlformats.org/spreadsheetml/2006/main">
  <c r="B25" i="31" l="1"/>
  <c r="B24" i="31"/>
  <c r="K24" i="1" l="1"/>
  <c r="K23" i="1"/>
  <c r="I47" i="21" l="1"/>
  <c r="G47" i="21"/>
  <c r="E47" i="21"/>
  <c r="I40" i="39" l="1"/>
  <c r="G40" i="39"/>
  <c r="E40" i="39"/>
  <c r="I48" i="39"/>
  <c r="G48" i="39"/>
  <c r="E48" i="39"/>
  <c r="E9" i="6" l="1"/>
  <c r="G8" i="68"/>
  <c r="G33" i="68"/>
  <c r="G7" i="68"/>
  <c r="G3" i="68"/>
  <c r="G2" i="68"/>
  <c r="I11" i="76" l="1"/>
  <c r="G11" i="76"/>
  <c r="E11" i="76"/>
  <c r="I37" i="76"/>
  <c r="G37" i="76"/>
  <c r="I5" i="76"/>
  <c r="G5" i="76"/>
  <c r="E5" i="76"/>
  <c r="I33" i="76"/>
  <c r="G33" i="76"/>
  <c r="E33" i="76"/>
  <c r="I47" i="76"/>
  <c r="G47" i="76"/>
  <c r="E47" i="76"/>
  <c r="I5" i="21" l="1"/>
  <c r="G5" i="21"/>
  <c r="E5" i="21"/>
  <c r="I33" i="21"/>
  <c r="G33" i="21"/>
  <c r="E33" i="21"/>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D81" i="76"/>
  <c r="E81" i="76" s="1"/>
  <c r="F81" i="76" s="1"/>
  <c r="G81" i="76" s="1"/>
  <c r="D79" i="76"/>
  <c r="E79" i="76" s="1"/>
  <c r="D77" i="76"/>
  <c r="E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W45" i="76" s="1"/>
  <c r="H45" i="76"/>
  <c r="AB45" i="76" s="1"/>
  <c r="F45" i="76"/>
  <c r="AA45" i="76" s="1"/>
  <c r="U44" i="76"/>
  <c r="Q44" i="76"/>
  <c r="Z44" i="76" s="1"/>
  <c r="J44" i="76"/>
  <c r="AC44" i="76" s="1"/>
  <c r="H44" i="76"/>
  <c r="AB44" i="76" s="1"/>
  <c r="F44" i="76"/>
  <c r="AA44" i="76" s="1"/>
  <c r="Q43" i="76"/>
  <c r="Z43" i="76" s="1"/>
  <c r="J43" i="76"/>
  <c r="W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C17" i="76"/>
  <c r="Q15" i="76"/>
  <c r="Z15" i="76" s="1"/>
  <c r="C15" i="76"/>
  <c r="Q14" i="76"/>
  <c r="Z14" i="76" s="1"/>
  <c r="J14" i="76"/>
  <c r="W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AC10" i="76" s="1"/>
  <c r="H10" i="76"/>
  <c r="AB10" i="76" s="1"/>
  <c r="F10" i="76"/>
  <c r="AA10" i="76" s="1"/>
  <c r="Q9" i="76"/>
  <c r="Z9" i="76" s="1"/>
  <c r="J9" i="76"/>
  <c r="AC9" i="76" s="1"/>
  <c r="H9" i="76"/>
  <c r="AB9" i="76" s="1"/>
  <c r="F9" i="76"/>
  <c r="AA9" i="76" s="1"/>
  <c r="J8" i="76"/>
  <c r="W8" i="76" s="1"/>
  <c r="H8" i="76"/>
  <c r="AB8" i="76" s="1"/>
  <c r="F8" i="76"/>
  <c r="AA8" i="76" s="1"/>
  <c r="AL18" i="3"/>
  <c r="G6" i="68"/>
  <c r="Q17" i="3" s="1"/>
  <c r="G23" i="6" s="1"/>
  <c r="G5" i="68"/>
  <c r="I13" i="3" s="1"/>
  <c r="F19" i="6" s="1"/>
  <c r="G4" i="68"/>
  <c r="O16" i="3" s="1"/>
  <c r="F20" i="6" s="1"/>
  <c r="M15" i="3"/>
  <c r="F22" i="6" s="1"/>
  <c r="B25" i="74" s="1"/>
  <c r="K14" i="3"/>
  <c r="F21" i="6" s="1"/>
  <c r="B24" i="74" s="1"/>
  <c r="F77" i="76" l="1"/>
  <c r="G77" i="76" s="1"/>
  <c r="J15" i="76"/>
  <c r="AC15" i="76" s="1"/>
  <c r="F15" i="76"/>
  <c r="AA15" i="76" s="1"/>
  <c r="H15" i="76"/>
  <c r="AB15" i="76" s="1"/>
  <c r="F79" i="76"/>
  <c r="G79" i="76" s="1"/>
  <c r="H17" i="76"/>
  <c r="AB17" i="76" s="1"/>
  <c r="J17" i="76"/>
  <c r="AC17" i="76" s="1"/>
  <c r="F17" i="76"/>
  <c r="AA17" i="76" s="1"/>
  <c r="AC45" i="76"/>
  <c r="AN18" i="3"/>
  <c r="U8" i="76"/>
  <c r="AC14" i="76"/>
  <c r="AC8" i="76"/>
  <c r="S8" i="76"/>
  <c r="S9" i="76"/>
  <c r="W9" i="76"/>
  <c r="U10" i="76"/>
  <c r="S12" i="76"/>
  <c r="W12" i="76"/>
  <c r="U13" i="76"/>
  <c r="S14" i="76"/>
  <c r="U9" i="76"/>
  <c r="S10" i="76"/>
  <c r="W10" i="76"/>
  <c r="U12" i="76"/>
  <c r="S13" i="76"/>
  <c r="W13" i="76"/>
  <c r="U14" i="76"/>
  <c r="S15" i="76"/>
  <c r="W17" i="76"/>
  <c r="S19"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3" i="76"/>
  <c r="AC43" i="76"/>
  <c r="S45" i="76"/>
  <c r="U46"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S44" i="76"/>
  <c r="W44" i="76"/>
  <c r="U45" i="76"/>
  <c r="S46" i="76"/>
  <c r="W46" i="76"/>
  <c r="K141" i="76"/>
  <c r="K143" i="76"/>
  <c r="K144" i="76"/>
  <c r="S17" i="76" l="1"/>
  <c r="U17" i="76"/>
  <c r="W15" i="76"/>
  <c r="G7" i="39"/>
  <c r="I7" i="39"/>
  <c r="E7" i="39"/>
  <c r="I9" i="39"/>
  <c r="G9" i="39"/>
  <c r="E9" i="39"/>
  <c r="C40" i="39" l="1"/>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R29" i="74"/>
  <c r="S29" i="74" s="1"/>
  <c r="Q29" i="74"/>
  <c r="O29" i="74"/>
  <c r="M29" i="74"/>
  <c r="K29" i="74"/>
  <c r="I29" i="74"/>
  <c r="G29" i="74"/>
  <c r="E29" i="74"/>
  <c r="C29" i="74"/>
  <c r="R28" i="74"/>
  <c r="S28" i="74" s="1"/>
  <c r="Q28" i="74"/>
  <c r="O28" i="74"/>
  <c r="M28" i="74"/>
  <c r="K28" i="74"/>
  <c r="I28" i="74"/>
  <c r="G28" i="74"/>
  <c r="E28" i="74"/>
  <c r="C28" i="74"/>
  <c r="R27" i="74"/>
  <c r="S27" i="74" s="1"/>
  <c r="Q27" i="74"/>
  <c r="O27" i="74"/>
  <c r="M27" i="74"/>
  <c r="K27" i="74"/>
  <c r="I27" i="74"/>
  <c r="G27" i="74"/>
  <c r="E27" i="74"/>
  <c r="C27" i="74"/>
  <c r="R26" i="74"/>
  <c r="S26" i="74" s="1"/>
  <c r="Q26" i="74"/>
  <c r="O26" i="74"/>
  <c r="M26" i="74"/>
  <c r="K26" i="74"/>
  <c r="I26" i="74"/>
  <c r="G26" i="74"/>
  <c r="E26" i="74"/>
  <c r="C26" i="74"/>
  <c r="Q25" i="74"/>
  <c r="O25" i="74"/>
  <c r="M25" i="74"/>
  <c r="K25" i="74"/>
  <c r="I25" i="74"/>
  <c r="G25" i="74"/>
  <c r="C25" i="74"/>
  <c r="P23" i="74"/>
  <c r="N23" i="74"/>
  <c r="L23" i="74"/>
  <c r="J23" i="74"/>
  <c r="H23" i="74"/>
  <c r="F23" i="74"/>
  <c r="D23" i="74"/>
  <c r="B22"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6" i="74" s="1"/>
  <c r="F6" i="74" s="1"/>
  <c r="G6" i="74" s="1"/>
  <c r="H6" i="74" s="1"/>
  <c r="I6" i="74" s="1"/>
  <c r="J6" i="74" s="1"/>
  <c r="K6" i="74" s="1"/>
  <c r="L6" i="74" s="1"/>
  <c r="M6" i="74" s="1"/>
  <c r="N6" i="74" s="1"/>
  <c r="O6" i="74" s="1"/>
  <c r="P6" i="74" s="1"/>
  <c r="Q6" i="74" s="1"/>
  <c r="R6" i="74" s="1"/>
  <c r="S6" i="74" s="1"/>
  <c r="S2" i="74"/>
  <c r="R2" i="74"/>
  <c r="Q2" i="74"/>
  <c r="P2" i="74"/>
  <c r="O2" i="74"/>
  <c r="N2" i="74"/>
  <c r="M2" i="74"/>
  <c r="L2" i="74"/>
  <c r="K2" i="74"/>
  <c r="J2" i="74"/>
  <c r="I2" i="74"/>
  <c r="H2" i="74"/>
  <c r="G2" i="74"/>
  <c r="F2" i="74"/>
  <c r="E2" i="74"/>
  <c r="D2" i="74"/>
  <c r="C2" i="74"/>
  <c r="Q73" i="73"/>
  <c r="Q60" i="73"/>
  <c r="D60" i="73"/>
  <c r="Q59" i="73"/>
  <c r="K59" i="73"/>
  <c r="P75" i="73" s="1"/>
  <c r="F58" i="73"/>
  <c r="Q52" i="73"/>
  <c r="E25" i="74" l="1"/>
  <c r="P62" i="73"/>
  <c r="J50" i="73"/>
  <c r="J51" i="73" s="1"/>
  <c r="M47" i="73"/>
  <c r="F33" i="73"/>
  <c r="F60" i="73" s="1"/>
  <c r="F31" i="73"/>
  <c r="F23" i="73"/>
  <c r="D24" i="73" s="1"/>
  <c r="F21" i="73"/>
  <c r="F20" i="73"/>
  <c r="M19" i="73"/>
  <c r="F18" i="73"/>
  <c r="M17" i="73"/>
  <c r="F17" i="73"/>
  <c r="F15" i="73"/>
  <c r="Q73" i="72"/>
  <c r="Q60" i="72"/>
  <c r="D60" i="72"/>
  <c r="Q59" i="72"/>
  <c r="K59" i="72"/>
  <c r="P75" i="72" s="1"/>
  <c r="F58" i="72"/>
  <c r="Q52" i="72"/>
  <c r="D22" i="73" l="1"/>
  <c r="D23" i="73"/>
  <c r="P62" i="72"/>
  <c r="J50" i="72"/>
  <c r="J51" i="72" s="1"/>
  <c r="M47" i="72"/>
  <c r="F33" i="72"/>
  <c r="F60" i="72" s="1"/>
  <c r="F31" i="72"/>
  <c r="F23" i="72"/>
  <c r="D24" i="72" s="1"/>
  <c r="D23" i="72" l="1"/>
  <c r="D22" i="72"/>
  <c r="F21" i="72"/>
  <c r="F20" i="72"/>
  <c r="M19" i="72"/>
  <c r="F18" i="72"/>
  <c r="M17" i="72"/>
  <c r="F17" i="72"/>
  <c r="F15" i="72"/>
  <c r="Q73" i="71"/>
  <c r="Q60" i="71"/>
  <c r="D60" i="71"/>
  <c r="Q59" i="71"/>
  <c r="K59" i="71"/>
  <c r="P75" i="71" s="1"/>
  <c r="F58" i="71"/>
  <c r="Q52" i="71"/>
  <c r="P62" i="71" l="1"/>
  <c r="J50" i="71"/>
  <c r="J51" i="71" s="1"/>
  <c r="M47" i="71"/>
  <c r="F33" i="71"/>
  <c r="F60" i="71" s="1"/>
  <c r="F31" i="71"/>
  <c r="F23" i="71"/>
  <c r="D24" i="71" s="1"/>
  <c r="D23" i="71" l="1"/>
  <c r="D22" i="71"/>
  <c r="F21" i="71"/>
  <c r="F20" i="71"/>
  <c r="M19" i="71"/>
  <c r="F18" i="71"/>
  <c r="M17" i="71"/>
  <c r="F17" i="71"/>
  <c r="F15" i="71"/>
  <c r="Q73" i="70"/>
  <c r="Q60" i="70"/>
  <c r="D60" i="70"/>
  <c r="Q59" i="70"/>
  <c r="K59" i="70"/>
  <c r="P75" i="70" s="1"/>
  <c r="F58" i="70"/>
  <c r="Q52" i="70"/>
  <c r="P62" i="70" l="1"/>
  <c r="J50" i="70"/>
  <c r="J51" i="70" s="1"/>
  <c r="M47" i="70"/>
  <c r="F33" i="70"/>
  <c r="F60" i="70" s="1"/>
  <c r="F31" i="70"/>
  <c r="F23" i="70"/>
  <c r="D24" i="70" s="1"/>
  <c r="D23" i="70" l="1"/>
  <c r="D22" i="70"/>
  <c r="F21" i="70"/>
  <c r="F20" i="70"/>
  <c r="M19" i="70"/>
  <c r="F18" i="70"/>
  <c r="M17" i="70"/>
  <c r="F17" i="70"/>
  <c r="F15" i="70"/>
  <c r="Q73" i="69"/>
  <c r="Q60" i="69"/>
  <c r="D60" i="69"/>
  <c r="Q59" i="69"/>
  <c r="K59" i="69"/>
  <c r="P75" i="69" s="1"/>
  <c r="F58" i="69"/>
  <c r="Q52" i="69"/>
  <c r="P62" i="69" l="1"/>
  <c r="J50" i="69"/>
  <c r="J51" i="69" l="1"/>
  <c r="M47" i="69"/>
  <c r="F33" i="69" l="1"/>
  <c r="F60" i="69" s="1"/>
  <c r="F31" i="69"/>
  <c r="F23" i="69"/>
  <c r="D24" i="69" s="1"/>
  <c r="D23" i="69" l="1"/>
  <c r="D22" i="69"/>
  <c r="F21" i="69"/>
  <c r="F20" i="69"/>
  <c r="M19" i="69"/>
  <c r="F18" i="69"/>
  <c r="M17" i="69"/>
  <c r="F17" i="69"/>
  <c r="F15" i="69"/>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9" i="67"/>
  <c r="E8" i="67"/>
  <c r="E10" i="67"/>
  <c r="E11" i="67"/>
  <c r="B14" i="67"/>
  <c r="F13" i="67"/>
  <c r="E12" i="67"/>
  <c r="F8" i="67"/>
  <c r="B8" i="67"/>
  <c r="E13" i="67"/>
  <c r="E9" i="67"/>
  <c r="F12" i="67"/>
  <c r="B10" i="67"/>
  <c r="B13" i="67"/>
  <c r="F10" i="67"/>
  <c r="F14" i="67"/>
  <c r="F9" i="67"/>
  <c r="F11" i="67"/>
  <c r="E14"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J6" i="65"/>
  <c r="N3" i="65"/>
  <c r="N4" i="65"/>
  <c r="N5" i="65"/>
  <c r="C4" i="65" l="1"/>
  <c r="B39" i="1" s="1"/>
  <c r="J5" i="65"/>
  <c r="I4" i="65"/>
  <c r="I3" i="65"/>
  <c r="I7" i="65"/>
  <c r="I5" i="65"/>
  <c r="J4" i="65"/>
  <c r="J3" i="65"/>
  <c r="I6" i="65"/>
  <c r="J7" i="65"/>
  <c r="E20" i="46" l="1"/>
  <c r="J1" i="65"/>
  <c r="M11" i="73"/>
  <c r="J10" i="73" s="1"/>
  <c r="F11" i="73"/>
  <c r="M11" i="72"/>
  <c r="J10" i="72" s="1"/>
  <c r="F11" i="72"/>
  <c r="F11" i="71"/>
  <c r="M11" i="71"/>
  <c r="J10" i="71" s="1"/>
  <c r="F11" i="70"/>
  <c r="M11" i="70"/>
  <c r="J10" i="70" s="1"/>
  <c r="M11" i="69"/>
  <c r="J10" i="69" s="1"/>
  <c r="F11" i="69"/>
  <c r="M5" i="54"/>
  <c r="A23" i="51"/>
  <c r="E3" i="65"/>
  <c r="F17" i="11" l="1"/>
  <c r="C52" i="73"/>
  <c r="C52" i="72"/>
  <c r="C52" i="7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O16" i="59"/>
  <c r="N16" i="59"/>
  <c r="Q15" i="59"/>
  <c r="P15" i="59"/>
  <c r="O15" i="59"/>
  <c r="N15" i="59"/>
  <c r="Q14" i="59"/>
  <c r="P14" i="59"/>
  <c r="O14" i="59"/>
  <c r="N14" i="59"/>
  <c r="Q13" i="59"/>
  <c r="P13" i="59"/>
  <c r="O13" i="59"/>
  <c r="N13" i="59"/>
  <c r="D13" i="59"/>
  <c r="Q12" i="59"/>
  <c r="P12" i="59"/>
  <c r="O12" i="59"/>
  <c r="N12" i="59"/>
  <c r="Q11" i="59"/>
  <c r="P11" i="59"/>
  <c r="O11" i="59"/>
  <c r="N11" i="59"/>
  <c r="Q10" i="59"/>
  <c r="P10" i="59"/>
  <c r="O10" i="59"/>
  <c r="N10" i="59"/>
  <c r="Q9" i="59"/>
  <c r="P9" i="59"/>
  <c r="O9" i="59"/>
  <c r="N9" i="59"/>
  <c r="D9" i="59"/>
  <c r="Y10" i="59" l="1"/>
  <c r="Z10" i="59" s="1"/>
  <c r="AB10" i="59"/>
  <c r="Y11" i="59"/>
  <c r="Z11" i="59" s="1"/>
  <c r="AB11" i="59"/>
  <c r="Y12" i="59"/>
  <c r="Z12" i="59" s="1"/>
  <c r="AB12" i="59"/>
  <c r="X14" i="59"/>
  <c r="AA14" i="59"/>
  <c r="X15" i="59"/>
  <c r="AA15" i="59"/>
  <c r="X16" i="59"/>
  <c r="AA16" i="59"/>
  <c r="C10" i="59"/>
  <c r="Y9" i="59"/>
  <c r="Z9" i="59" s="1"/>
  <c r="F10" i="59"/>
  <c r="AB9" i="59"/>
  <c r="B14" i="59"/>
  <c r="B15" i="59" s="1"/>
  <c r="B16" i="59" s="1"/>
  <c r="S16" i="59" s="1"/>
  <c r="X13" i="59"/>
  <c r="E14" i="59"/>
  <c r="E15" i="59" s="1"/>
  <c r="E16" i="59" s="1"/>
  <c r="U16" i="59" s="1"/>
  <c r="AA13" i="59"/>
  <c r="C18" i="59"/>
  <c r="Y17" i="59"/>
  <c r="Z17" i="59" s="1"/>
  <c r="F18" i="59"/>
  <c r="AB17" i="59"/>
  <c r="B10" i="59"/>
  <c r="X9" i="59"/>
  <c r="AA9" i="59"/>
  <c r="X10" i="59"/>
  <c r="AA10" i="59"/>
  <c r="X11" i="59"/>
  <c r="AA11" i="59"/>
  <c r="X12" i="59"/>
  <c r="AA12" i="59"/>
  <c r="C14" i="59"/>
  <c r="D14" i="59" s="1"/>
  <c r="Y13" i="59"/>
  <c r="Z13" i="59" s="1"/>
  <c r="F14" i="59"/>
  <c r="F15" i="59" s="1"/>
  <c r="F16" i="59" s="1"/>
  <c r="V16" i="59" s="1"/>
  <c r="AB13" i="59"/>
  <c r="Y14" i="59"/>
  <c r="Z14" i="59" s="1"/>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R12" i="1" s="1"/>
  <c r="A13" i="1"/>
  <c r="B13" i="1"/>
  <c r="E13" i="1" s="1"/>
  <c r="A7" i="1"/>
  <c r="A8" i="1"/>
  <c r="A9" i="1"/>
  <c r="A10" i="1"/>
  <c r="A11" i="1"/>
  <c r="A6" i="1"/>
  <c r="G1" i="72"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7" i="1" s="1"/>
  <c r="E21" i="6"/>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J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C29"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U46" i="21"/>
  <c r="W30" i="21"/>
  <c r="S28" i="21"/>
  <c r="AB14" i="21"/>
  <c r="AC14" i="21"/>
  <c r="W31" i="34"/>
  <c r="U36" i="37"/>
  <c r="AB31"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AZ560" i="3" s="1"/>
  <c r="BQ558" i="3"/>
  <c r="BL558" i="3" s="1"/>
  <c r="AZ558" i="3" s="1"/>
  <c r="BQ556" i="3"/>
  <c r="BL556" i="3" s="1"/>
  <c r="AZ556" i="3" s="1"/>
  <c r="BQ554" i="3"/>
  <c r="BQ552" i="3"/>
  <c r="BL552" i="3"/>
  <c r="BQ550" i="3"/>
  <c r="BL550" i="3"/>
  <c r="AZ550" i="3" s="1"/>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s="1"/>
  <c r="BQ532" i="3"/>
  <c r="BL532" i="3" s="1"/>
  <c r="AZ532" i="3" s="1"/>
  <c r="BQ530" i="3"/>
  <c r="BQ528" i="3"/>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AC36" i="34"/>
  <c r="AB8" i="34"/>
  <c r="AC37" i="33"/>
  <c r="AA13" i="33"/>
  <c r="U19" i="21"/>
  <c r="S39" i="33"/>
  <c r="F43" i="33"/>
  <c r="AA43" i="33" s="1"/>
  <c r="AA23" i="37"/>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L17" i="3"/>
  <c r="BA14" i="3"/>
  <c r="AZ14" i="3" s="1"/>
  <c r="BT5" i="3"/>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31" i="3"/>
  <c r="AZ39" i="3"/>
  <c r="AZ47" i="3"/>
  <c r="AZ55"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4" i="3"/>
  <c r="AZ278" i="3"/>
  <c r="AZ282" i="3"/>
  <c r="AZ286" i="3"/>
  <c r="AZ385" i="3"/>
  <c r="AZ390" i="3"/>
  <c r="AZ422" i="3"/>
  <c r="AZ426" i="3"/>
  <c r="AZ430" i="3"/>
  <c r="AZ442" i="3"/>
  <c r="AZ446" i="3"/>
  <c r="AZ459" i="3"/>
  <c r="AZ463"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S43" i="39" s="1"/>
  <c r="H43" i="39"/>
  <c r="U43" i="39" s="1"/>
  <c r="J43" i="39"/>
  <c r="AC43" i="39" s="1"/>
  <c r="F99" i="37"/>
  <c r="G99" i="37" s="1"/>
  <c r="F33" i="37" s="1"/>
  <c r="AC27" i="37"/>
  <c r="U25" i="35"/>
  <c r="S45" i="34"/>
  <c r="U31" i="34"/>
  <c r="AC40" i="37"/>
  <c r="W40" i="37"/>
  <c r="W27" i="33"/>
  <c r="S28" i="33"/>
  <c r="S14" i="21"/>
  <c r="AA44" i="34"/>
  <c r="AB29" i="35"/>
  <c r="U29" i="35"/>
  <c r="AC19" i="33"/>
  <c r="W19" i="33"/>
  <c r="U43" i="34"/>
  <c r="AB43" i="34"/>
  <c r="AC34" i="37"/>
  <c r="S35" i="37"/>
  <c r="AA35" i="37"/>
  <c r="AB10" i="35"/>
  <c r="AA32" i="21"/>
  <c r="BL571" i="3"/>
  <c r="BA571" i="3"/>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BA547" i="3"/>
  <c r="BL539" i="3"/>
  <c r="BA539" i="3"/>
  <c r="AZ539" i="3"/>
  <c r="BA538" i="3"/>
  <c r="BL537" i="3"/>
  <c r="BA537" i="3"/>
  <c r="AZ537" i="3" s="1"/>
  <c r="BL536" i="3"/>
  <c r="AZ536" i="3"/>
  <c r="BA535" i="3"/>
  <c r="AZ535" i="3"/>
  <c r="BA534" i="3"/>
  <c r="BA533" i="3"/>
  <c r="AZ533" i="3" s="1"/>
  <c r="BL531" i="3"/>
  <c r="AZ531" i="3" s="1"/>
  <c r="BL530" i="3"/>
  <c r="AZ530" i="3" s="1"/>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407" i="3"/>
  <c r="AZ423" i="3"/>
  <c r="AZ431" i="3"/>
  <c r="AZ439" i="3"/>
  <c r="B41" i="1"/>
  <c r="F34" i="44" s="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388" i="3"/>
  <c r="AZ215" i="3"/>
  <c r="AZ220" i="3"/>
  <c r="AZ228" i="3"/>
  <c r="AZ239" i="3"/>
  <c r="AZ244" i="3"/>
  <c r="AZ255" i="3"/>
  <c r="AZ260" i="3"/>
  <c r="AZ273" i="3"/>
  <c r="AZ276" i="3"/>
  <c r="AZ284" i="3"/>
  <c r="AZ124" i="3"/>
  <c r="AZ140" i="3"/>
  <c r="M7" i="46"/>
  <c r="M11" i="46"/>
  <c r="N3" i="46"/>
  <c r="N6" i="46"/>
  <c r="N10" i="46"/>
  <c r="AZ164" i="3"/>
  <c r="AZ177" i="3"/>
  <c r="AZ24" i="3"/>
  <c r="AZ40" i="3"/>
  <c r="AZ56" i="3"/>
  <c r="AZ79" i="3"/>
  <c r="AZ99" i="3"/>
  <c r="AZ112" i="3"/>
  <c r="H47" i="46"/>
  <c r="J13" i="40"/>
  <c r="W13" i="40" s="1"/>
  <c r="W40" i="40"/>
  <c r="F27" i="43"/>
  <c r="AC14" i="40"/>
  <c r="S33" i="40"/>
  <c r="AC47" i="39"/>
  <c r="U37" i="34"/>
  <c r="AC41" i="40"/>
  <c r="U41" i="40"/>
  <c r="J23" i="40"/>
  <c r="AC23" i="40" s="1"/>
  <c r="F23" i="40"/>
  <c r="S23" i="40" s="1"/>
  <c r="AB16" i="39"/>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B38" i="34"/>
  <c r="AZ515" i="3"/>
  <c r="AZ547" i="3"/>
  <c r="AA29" i="35"/>
  <c r="U39" i="39"/>
  <c r="J29" i="39"/>
  <c r="AC29" i="39" s="1"/>
  <c r="AA11" i="36"/>
  <c r="S14" i="35"/>
  <c r="U46" i="34"/>
  <c r="AA14" i="34"/>
  <c r="U29" i="33"/>
  <c r="U17" i="34"/>
  <c r="AA11" i="34"/>
  <c r="W32" i="33"/>
  <c r="H15" i="33"/>
  <c r="U15" i="33" s="1"/>
  <c r="AA11" i="33"/>
  <c r="AA40" i="21"/>
  <c r="U17" i="21"/>
  <c r="AB34" i="40"/>
  <c r="U42" i="40"/>
  <c r="W32" i="40"/>
  <c r="H25" i="40"/>
  <c r="AB25" i="40" s="1"/>
  <c r="F94" i="40"/>
  <c r="G94" i="40" s="1"/>
  <c r="W15" i="39"/>
  <c r="J37" i="34"/>
  <c r="AC37" i="34" s="1"/>
  <c r="J36" i="33"/>
  <c r="W36" i="33" s="1"/>
  <c r="AB23" i="40"/>
  <c r="H23" i="39"/>
  <c r="AB23" i="39" s="1"/>
  <c r="J23" i="39"/>
  <c r="AC23" i="39" s="1"/>
  <c r="F97" i="39"/>
  <c r="G97" i="39" s="1"/>
  <c r="S16" i="39"/>
  <c r="S15" i="34"/>
  <c r="AA15" i="34"/>
  <c r="J34" i="33"/>
  <c r="AC34" i="33" s="1"/>
  <c r="U30" i="40"/>
  <c r="AA37" i="39"/>
  <c r="W29" i="35"/>
  <c r="W39" i="39"/>
  <c r="U11" i="36"/>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W23" i="40"/>
  <c r="D73" i="9"/>
  <c r="N73" i="9" s="1"/>
  <c r="J51" i="15"/>
  <c r="B11" i="1"/>
  <c r="E11" i="1" s="1"/>
  <c r="K11" i="1"/>
  <c r="M11" i="1" s="1"/>
  <c r="B9" i="1"/>
  <c r="E9" i="1" s="1"/>
  <c r="K9" i="1"/>
  <c r="B7" i="1"/>
  <c r="E7" i="1" s="1"/>
  <c r="C20" i="43"/>
  <c r="E2" i="65"/>
  <c r="L47" i="72"/>
  <c r="BA23" i="3" l="1"/>
  <c r="AZ23" i="3" s="1"/>
  <c r="F71" i="9"/>
  <c r="AA12" i="21"/>
  <c r="S12" i="21"/>
  <c r="W12" i="36"/>
  <c r="AC12" i="36"/>
  <c r="AB34" i="36"/>
  <c r="U34" i="36"/>
  <c r="K143" i="21"/>
  <c r="K141" i="21"/>
  <c r="K144" i="21"/>
  <c r="AA31" i="33"/>
  <c r="S31" i="33"/>
  <c r="AA12" i="35"/>
  <c r="S12" i="35"/>
  <c r="U14" i="37"/>
  <c r="AB14" i="37"/>
  <c r="AC39" i="37"/>
  <c r="W39" i="37"/>
  <c r="J30" i="40"/>
  <c r="AC30" i="40" s="1"/>
  <c r="H100" i="40"/>
  <c r="I100" i="40" s="1"/>
  <c r="J100" i="40" s="1"/>
  <c r="K100" i="40" s="1"/>
  <c r="L100" i="40" s="1"/>
  <c r="M100" i="40" s="1"/>
  <c r="AZ510" i="3"/>
  <c r="AZ514" i="3"/>
  <c r="BF5" i="3"/>
  <c r="G567" i="3"/>
  <c r="G563" i="3"/>
  <c r="G552" i="3"/>
  <c r="G540" i="3"/>
  <c r="G531" i="3"/>
  <c r="G525" i="3"/>
  <c r="G516" i="3"/>
  <c r="G504" i="3"/>
  <c r="G496" i="3"/>
  <c r="G487" i="3"/>
  <c r="G19" i="3"/>
  <c r="G16" i="3"/>
  <c r="BA15" i="3"/>
  <c r="BL15" i="3"/>
  <c r="F7" i="1"/>
  <c r="F9" i="1"/>
  <c r="F10" i="1"/>
  <c r="G10" i="1" s="1"/>
  <c r="S39" i="39"/>
  <c r="AA34" i="33"/>
  <c r="AC16" i="40"/>
  <c r="U16" i="40"/>
  <c r="AC13" i="33"/>
  <c r="W12" i="34"/>
  <c r="AC30" i="34"/>
  <c r="AB33" i="36"/>
  <c r="AC15" i="40"/>
  <c r="S47" i="39"/>
  <c r="F72" i="9"/>
  <c r="F66" i="9"/>
  <c r="P72" i="9" s="1"/>
  <c r="AZ486" i="3"/>
  <c r="AZ489" i="3"/>
  <c r="AZ500" i="3"/>
  <c r="AZ513" i="3"/>
  <c r="AZ518" i="3"/>
  <c r="AZ529" i="3"/>
  <c r="AZ571" i="3"/>
  <c r="AZ352" i="3"/>
  <c r="AZ344" i="3"/>
  <c r="AZ304" i="3"/>
  <c r="AZ339" i="3"/>
  <c r="AZ331" i="3"/>
  <c r="AZ323" i="3"/>
  <c r="AZ354" i="3"/>
  <c r="AZ343" i="3"/>
  <c r="AZ327" i="3"/>
  <c r="AZ516" i="3"/>
  <c r="AZ526" i="3"/>
  <c r="AZ534" i="3"/>
  <c r="AZ562" i="3"/>
  <c r="AZ542" i="3"/>
  <c r="AZ493" i="3"/>
  <c r="AZ543" i="3"/>
  <c r="BA570" i="3"/>
  <c r="AZ570" i="3" s="1"/>
  <c r="BG5" i="3"/>
  <c r="H12" i="36"/>
  <c r="U12" i="36" s="1"/>
  <c r="H24" i="36"/>
  <c r="AB24" i="36" s="1"/>
  <c r="F25" i="37"/>
  <c r="K8" i="1"/>
  <c r="M8" i="1" s="1"/>
  <c r="O8" i="1" s="1"/>
  <c r="P8" i="1" s="1"/>
  <c r="D3" i="76"/>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AZ243" i="3"/>
  <c r="AZ272" i="3"/>
  <c r="G283" i="3"/>
  <c r="BL283" i="3"/>
  <c r="G286" i="3"/>
  <c r="G287" i="3"/>
  <c r="BL287" i="3"/>
  <c r="BA288" i="3"/>
  <c r="AZ288" i="3" s="1"/>
  <c r="BA289" i="3"/>
  <c r="AZ289" i="3" s="1"/>
  <c r="BA290" i="3"/>
  <c r="AZ290" i="3" s="1"/>
  <c r="BL292" i="3"/>
  <c r="AZ292" i="3" s="1"/>
  <c r="BA293" i="3"/>
  <c r="AZ293" i="3" s="1"/>
  <c r="BL295" i="3"/>
  <c r="AZ295" i="3" s="1"/>
  <c r="BA296" i="3"/>
  <c r="AZ296" i="3" s="1"/>
  <c r="G115"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BL275" i="3"/>
  <c r="AZ275" i="3" s="1"/>
  <c r="G278" i="3"/>
  <c r="G279" i="3"/>
  <c r="BL279" i="3"/>
  <c r="AZ279" i="3" s="1"/>
  <c r="BA280" i="3"/>
  <c r="AZ280" i="3" s="1"/>
  <c r="BA281" i="3"/>
  <c r="AZ281"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BL32" i="3"/>
  <c r="AZ32" i="3" s="1"/>
  <c r="BA33" i="3"/>
  <c r="AZ33" i="3" s="1"/>
  <c r="BL35" i="3"/>
  <c r="AZ35" i="3" s="1"/>
  <c r="BA36" i="3"/>
  <c r="AZ36" i="3" s="1"/>
  <c r="G39" i="3"/>
  <c r="G40" i="3"/>
  <c r="G41" i="3"/>
  <c r="BL41" i="3"/>
  <c r="AZ41" i="3" s="1"/>
  <c r="BA42" i="3"/>
  <c r="AZ42" i="3" s="1"/>
  <c r="BA43" i="3"/>
  <c r="AZ43" i="3" s="1"/>
  <c r="G46" i="3"/>
  <c r="BL46" i="3"/>
  <c r="BL48" i="3"/>
  <c r="AZ48" i="3" s="1"/>
  <c r="BA49" i="3"/>
  <c r="AZ49" i="3" s="1"/>
  <c r="BL51" i="3"/>
  <c r="AZ51" i="3" s="1"/>
  <c r="BA52" i="3"/>
  <c r="AZ52" i="3" s="1"/>
  <c r="G55" i="3"/>
  <c r="G56" i="3"/>
  <c r="G57" i="3"/>
  <c r="AZ129" i="3"/>
  <c r="AZ145" i="3"/>
  <c r="AZ25" i="3"/>
  <c r="AZ46" i="3"/>
  <c r="G59" i="3"/>
  <c r="G60" i="3"/>
  <c r="BL60" i="3"/>
  <c r="BA61" i="3"/>
  <c r="AZ61" i="3" s="1"/>
  <c r="BL63" i="3"/>
  <c r="AZ63" i="3" s="1"/>
  <c r="BA64" i="3"/>
  <c r="AZ64" i="3" s="1"/>
  <c r="BL66" i="3"/>
  <c r="AZ66" i="3" s="1"/>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111" i="3" s="1"/>
  <c r="C42" i="1"/>
  <c r="C7" i="76"/>
  <c r="C58" i="76" s="1"/>
  <c r="E26" i="57"/>
  <c r="I10" i="57"/>
  <c r="AB17" i="39"/>
  <c r="S17" i="39"/>
  <c r="AA9" i="21"/>
  <c r="U9" i="21"/>
  <c r="AC40" i="21"/>
  <c r="U43" i="21"/>
  <c r="AA43" i="21"/>
  <c r="AC36" i="21"/>
  <c r="AA36" i="21"/>
  <c r="AB34" i="21"/>
  <c r="S34" i="21"/>
  <c r="U42" i="21"/>
  <c r="U38" i="21"/>
  <c r="AB36" i="21"/>
  <c r="G12" i="1"/>
  <c r="AZ484" i="3"/>
  <c r="S17" i="34"/>
  <c r="AC13" i="40"/>
  <c r="AB46" i="39"/>
  <c r="AA41" i="33"/>
  <c r="S41" i="40"/>
  <c r="U47" i="39"/>
  <c r="W34" i="40"/>
  <c r="AB37" i="39"/>
  <c r="W14" i="39"/>
  <c r="AB32" i="40"/>
  <c r="W35" i="40"/>
  <c r="AB14" i="40"/>
  <c r="F32" i="73"/>
  <c r="F59" i="73" s="1"/>
  <c r="F28" i="73"/>
  <c r="C28" i="73" s="1"/>
  <c r="M18" i="73"/>
  <c r="F32" i="72"/>
  <c r="F59" i="72" s="1"/>
  <c r="F28" i="72"/>
  <c r="C28" i="72" s="1"/>
  <c r="M18" i="72"/>
  <c r="F32" i="71"/>
  <c r="F59" i="71" s="1"/>
  <c r="F28" i="71"/>
  <c r="C28" i="71" s="1"/>
  <c r="M18" i="71"/>
  <c r="F32" i="70"/>
  <c r="F59" i="70" s="1"/>
  <c r="F28" i="70"/>
  <c r="C28" i="70" s="1"/>
  <c r="M18" i="70"/>
  <c r="F32" i="69"/>
  <c r="F59" i="69" s="1"/>
  <c r="F28" i="69"/>
  <c r="C28" i="69" s="1"/>
  <c r="M18" i="69"/>
  <c r="AB15" i="37"/>
  <c r="U12" i="37"/>
  <c r="AC23" i="37"/>
  <c r="AC41" i="34"/>
  <c r="AZ520" i="3"/>
  <c r="AZ572" i="3"/>
  <c r="AZ561" i="3"/>
  <c r="S19" i="21"/>
  <c r="AB28" i="36"/>
  <c r="W28" i="33"/>
  <c r="AC28" i="33"/>
  <c r="AA46" i="21"/>
  <c r="S46" i="21"/>
  <c r="U44" i="21"/>
  <c r="AB44" i="21"/>
  <c r="U30" i="21"/>
  <c r="AB30" i="21"/>
  <c r="G572" i="3"/>
  <c r="H5" i="3"/>
  <c r="W35" i="21"/>
  <c r="AC35" i="21"/>
  <c r="AB9" i="33"/>
  <c r="U9" i="33"/>
  <c r="AA33" i="33"/>
  <c r="S33" i="33"/>
  <c r="AB38" i="33"/>
  <c r="U38" i="33"/>
  <c r="J9" i="33"/>
  <c r="F9" i="33"/>
  <c r="AA9" i="33" s="1"/>
  <c r="F28" i="34"/>
  <c r="J28" i="34"/>
  <c r="H45" i="33"/>
  <c r="J45" i="33"/>
  <c r="H12" i="35"/>
  <c r="J12" i="35"/>
  <c r="AC24" i="35"/>
  <c r="W24" i="35"/>
  <c r="J35" i="35"/>
  <c r="H35" i="35"/>
  <c r="J17" i="40"/>
  <c r="F86" i="40"/>
  <c r="G86" i="40" s="1"/>
  <c r="AZ492" i="3"/>
  <c r="AA46" i="33"/>
  <c r="S46" i="33"/>
  <c r="AC42" i="21"/>
  <c r="W42" i="21"/>
  <c r="S38" i="21"/>
  <c r="AA38" i="21"/>
  <c r="H13" i="21"/>
  <c r="F13" i="21"/>
  <c r="AA13" i="21" s="1"/>
  <c r="J29" i="21"/>
  <c r="AC29" i="21" s="1"/>
  <c r="F29" i="21"/>
  <c r="S29" i="21" s="1"/>
  <c r="U31" i="21"/>
  <c r="AB31" i="21"/>
  <c r="J45" i="21"/>
  <c r="H45" i="21"/>
  <c r="U45" i="21" s="1"/>
  <c r="B70" i="46"/>
  <c r="C23" i="39"/>
  <c r="H27" i="33"/>
  <c r="F27" i="33"/>
  <c r="AA34" i="35"/>
  <c r="S34" i="35"/>
  <c r="H36" i="35"/>
  <c r="J36" i="35"/>
  <c r="W27" i="35"/>
  <c r="AC27" i="35"/>
  <c r="W13" i="36"/>
  <c r="AC13" i="36"/>
  <c r="F34" i="15"/>
  <c r="F61" i="15" s="1"/>
  <c r="M20" i="73"/>
  <c r="F34" i="73"/>
  <c r="F61" i="73" s="1"/>
  <c r="F34" i="72"/>
  <c r="F61" i="72" s="1"/>
  <c r="M20" i="72"/>
  <c r="F34" i="71"/>
  <c r="F61" i="71" s="1"/>
  <c r="M20" i="71"/>
  <c r="F34" i="70"/>
  <c r="F61" i="70" s="1"/>
  <c r="M20" i="70"/>
  <c r="F34" i="69"/>
  <c r="F61" i="69" s="1"/>
  <c r="M20" i="69"/>
  <c r="AZ420" i="3"/>
  <c r="BL13" i="3"/>
  <c r="S10" i="36"/>
  <c r="U24" i="36"/>
  <c r="AC24" i="36"/>
  <c r="W31" i="35"/>
  <c r="AC31" i="36"/>
  <c r="W22" i="36"/>
  <c r="BI5" i="3"/>
  <c r="F26" i="37"/>
  <c r="AA26" i="37" s="1"/>
  <c r="AZ392" i="3"/>
  <c r="AZ397" i="3"/>
  <c r="AZ408" i="3"/>
  <c r="AZ413" i="3"/>
  <c r="BE5" i="3"/>
  <c r="F8" i="1"/>
  <c r="G8" i="1" s="1"/>
  <c r="AZ259" i="3"/>
  <c r="C92" i="9"/>
  <c r="A14" i="55"/>
  <c r="B65" i="63" s="1"/>
  <c r="AZ424" i="3"/>
  <c r="AZ427" i="3"/>
  <c r="AZ432" i="3"/>
  <c r="AZ443" i="3"/>
  <c r="AZ447" i="3"/>
  <c r="AZ462" i="3"/>
  <c r="AZ465" i="3"/>
  <c r="AZ478" i="3"/>
  <c r="AZ387" i="3"/>
  <c r="AZ216" i="3"/>
  <c r="AZ219" i="3"/>
  <c r="AZ232" i="3"/>
  <c r="AZ235" i="3"/>
  <c r="AZ248" i="3"/>
  <c r="AZ251" i="3"/>
  <c r="AZ264" i="3"/>
  <c r="AZ267" i="3"/>
  <c r="AZ271" i="3"/>
  <c r="AZ283" i="3"/>
  <c r="AZ287" i="3"/>
  <c r="AZ30" i="3"/>
  <c r="AZ156" i="3"/>
  <c r="AZ159" i="3"/>
  <c r="AZ172" i="3"/>
  <c r="AZ175" i="3"/>
  <c r="AZ202" i="3"/>
  <c r="AZ28" i="3"/>
  <c r="AZ34" i="3"/>
  <c r="AZ37" i="3"/>
  <c r="AZ44" i="3"/>
  <c r="AZ50" i="3"/>
  <c r="AZ53" i="3"/>
  <c r="AZ60" i="3"/>
  <c r="BA21" i="3"/>
  <c r="AZ21" i="3" s="1"/>
  <c r="AZ68" i="3"/>
  <c r="AZ72" i="3"/>
  <c r="AZ77" i="3"/>
  <c r="AZ108" i="3"/>
  <c r="AZ75" i="3"/>
  <c r="AZ81" i="3"/>
  <c r="AZ85" i="3"/>
  <c r="AZ88" i="3"/>
  <c r="AZ95" i="3"/>
  <c r="AZ101" i="3"/>
  <c r="AZ104" i="3"/>
  <c r="I21" i="57"/>
  <c r="D1" i="57" s="1"/>
  <c r="E10" i="57" s="1"/>
  <c r="G1" i="70"/>
  <c r="G1" i="73"/>
  <c r="G1" i="71"/>
  <c r="G1" i="69"/>
  <c r="M7" i="1"/>
  <c r="M9" i="1"/>
  <c r="O9" i="1" s="1"/>
  <c r="P9" i="1" s="1"/>
  <c r="H19" i="39"/>
  <c r="O7" i="1"/>
  <c r="P7" i="1" s="1"/>
  <c r="AB25" i="39"/>
  <c r="H42" i="39"/>
  <c r="AB42" i="39" s="1"/>
  <c r="J42" i="39"/>
  <c r="AC42" i="39" s="1"/>
  <c r="F42" i="39"/>
  <c r="AA43" i="39"/>
  <c r="AB44" i="39"/>
  <c r="W43" i="39"/>
  <c r="A30" i="64"/>
  <c r="A30" i="51"/>
  <c r="S40" i="39"/>
  <c r="U34" i="39"/>
  <c r="S33" i="39"/>
  <c r="W33" i="39"/>
  <c r="AB29" i="39"/>
  <c r="U27" i="39"/>
  <c r="W27" i="39"/>
  <c r="S23" i="39"/>
  <c r="F95" i="39"/>
  <c r="G95" i="39" s="1"/>
  <c r="F21" i="39"/>
  <c r="S21" i="39" s="1"/>
  <c r="J21" i="39"/>
  <c r="W21" i="39" s="1"/>
  <c r="H21" i="39"/>
  <c r="AB21" i="39" s="1"/>
  <c r="AA19" i="39"/>
  <c r="AP10" i="1"/>
  <c r="L59" i="72"/>
  <c r="G14" i="3"/>
  <c r="G15" i="3"/>
  <c r="A2" i="55"/>
  <c r="B55" i="63" s="1"/>
  <c r="A11" i="55"/>
  <c r="B62" i="63" s="1"/>
  <c r="J57" i="39"/>
  <c r="N67" i="9"/>
  <c r="D38" i="4"/>
  <c r="C39" i="4" s="1"/>
  <c r="G19" i="46"/>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76" s="1"/>
  <c r="AZ15" i="3"/>
  <c r="G5" i="3"/>
  <c r="B3" i="3" s="1"/>
  <c r="BK5" i="3"/>
  <c r="BO5" i="3"/>
  <c r="BP5" i="3"/>
  <c r="BN5" i="3"/>
  <c r="BL18" i="3"/>
  <c r="AZ18" i="3" s="1"/>
  <c r="BC5" i="3"/>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D58" i="76" l="1"/>
  <c r="E58" i="76" s="1"/>
  <c r="F58" i="76" s="1"/>
  <c r="G58" i="76" s="1"/>
  <c r="H58" i="76" s="1"/>
  <c r="I58" i="76" s="1"/>
  <c r="J58" i="76" s="1"/>
  <c r="K58" i="76" s="1"/>
  <c r="L58" i="76" s="1"/>
  <c r="M58" i="76" s="1"/>
  <c r="N58" i="76" s="1"/>
  <c r="O58" i="76" s="1"/>
  <c r="J7" i="76"/>
  <c r="F7" i="76"/>
  <c r="H7" i="76"/>
  <c r="AA25" i="37"/>
  <c r="S25" i="37"/>
  <c r="C16" i="46"/>
  <c r="C5" i="46" s="1"/>
  <c r="E413" i="3"/>
  <c r="C33" i="21"/>
  <c r="H11" i="76"/>
  <c r="J11" i="76"/>
  <c r="F11" i="76"/>
  <c r="AC23" i="21"/>
  <c r="AA15" i="21"/>
  <c r="E8" i="6"/>
  <c r="G3" i="46"/>
  <c r="H22" i="46" s="1"/>
  <c r="C13" i="39"/>
  <c r="C11" i="21"/>
  <c r="AC21" i="39"/>
  <c r="AA21" i="39"/>
  <c r="AP8" i="1"/>
  <c r="AB11" i="46"/>
  <c r="AB13" i="46" s="1"/>
  <c r="U17" i="40"/>
  <c r="W37" i="40"/>
  <c r="H69" i="46"/>
  <c r="H77" i="46"/>
  <c r="C7" i="46"/>
  <c r="AC36" i="35"/>
  <c r="W36" i="35"/>
  <c r="S27" i="33"/>
  <c r="AA27" i="33"/>
  <c r="AC35" i="35"/>
  <c r="W35" i="35"/>
  <c r="U45" i="33"/>
  <c r="AB45" i="33"/>
  <c r="S28" i="34"/>
  <c r="AA28" i="34"/>
  <c r="AC9" i="33"/>
  <c r="W9" i="33"/>
  <c r="U36" i="35"/>
  <c r="AB36" i="35"/>
  <c r="U27" i="33"/>
  <c r="AB27" i="33"/>
  <c r="W45" i="21"/>
  <c r="AC45" i="21"/>
  <c r="U13" i="21"/>
  <c r="AB13" i="21"/>
  <c r="U35" i="35"/>
  <c r="AB35" i="35"/>
  <c r="W12" i="35"/>
  <c r="AC12" i="35"/>
  <c r="W45" i="33"/>
  <c r="AC45" i="33"/>
  <c r="W28" i="34"/>
  <c r="AC28" i="34"/>
  <c r="M6" i="1"/>
  <c r="O6" i="1" s="1"/>
  <c r="P6" i="1" s="1"/>
  <c r="C15" i="12" s="1"/>
  <c r="M10" i="1"/>
  <c r="O10" i="1" s="1"/>
  <c r="P10" i="1" s="1"/>
  <c r="AB19" i="39"/>
  <c r="U19" i="39"/>
  <c r="C15" i="43"/>
  <c r="AA42" i="39"/>
  <c r="S42" i="39"/>
  <c r="U21" i="39"/>
  <c r="AP6" i="1"/>
  <c r="Q75" i="72"/>
  <c r="Q62" i="72"/>
  <c r="C24" i="73"/>
  <c r="F24" i="71"/>
  <c r="C24" i="71" s="1"/>
  <c r="F24" i="72"/>
  <c r="F24" i="69"/>
  <c r="C24" i="69" s="1"/>
  <c r="F24" i="70"/>
  <c r="G6" i="1"/>
  <c r="G16" i="1" s="1"/>
  <c r="J12" i="40" s="1"/>
  <c r="J53" i="15"/>
  <c r="F1" i="15" s="1"/>
  <c r="E86" i="3"/>
  <c r="F29" i="6"/>
  <c r="F28" i="6"/>
  <c r="F30" i="6" s="1"/>
  <c r="C10" i="15"/>
  <c r="C12" i="44"/>
  <c r="E297" i="3"/>
  <c r="AO6" i="3"/>
  <c r="E561" i="3"/>
  <c r="E476" i="3"/>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E4" i="4"/>
  <c r="C4" i="4"/>
  <c r="G66" i="36"/>
  <c r="J18" i="36"/>
  <c r="M19" i="44"/>
  <c r="M17" i="15"/>
  <c r="F58" i="15"/>
  <c r="F33" i="44"/>
  <c r="F31" i="15"/>
  <c r="AP16" i="1" l="1"/>
  <c r="F22" i="11" s="1"/>
  <c r="AA11" i="76"/>
  <c r="S11" i="76"/>
  <c r="U11" i="76"/>
  <c r="AB11" i="76"/>
  <c r="AB7" i="76"/>
  <c r="U7" i="76"/>
  <c r="W7" i="76"/>
  <c r="AC7" i="76"/>
  <c r="AC11" i="76"/>
  <c r="W11" i="76"/>
  <c r="C33" i="76"/>
  <c r="H33" i="21"/>
  <c r="J33" i="21"/>
  <c r="F33" i="21"/>
  <c r="S7" i="76"/>
  <c r="AA7" i="76"/>
  <c r="K101" i="46"/>
  <c r="K109" i="46" s="1"/>
  <c r="I101" i="46"/>
  <c r="I105" i="46" s="1"/>
  <c r="AD11" i="46"/>
  <c r="AD13" i="46" s="1"/>
  <c r="J101" i="46"/>
  <c r="J104" i="46" s="1"/>
  <c r="M101" i="46"/>
  <c r="M107" i="46" s="1"/>
  <c r="AC11" i="46"/>
  <c r="AC13" i="46" s="1"/>
  <c r="AI11" i="46"/>
  <c r="AI13" i="46" s="1"/>
  <c r="C101" i="46"/>
  <c r="C106" i="46" s="1"/>
  <c r="G22" i="46"/>
  <c r="D101" i="46"/>
  <c r="D106" i="46" s="1"/>
  <c r="H101" i="46"/>
  <c r="H102" i="46" s="1"/>
  <c r="F101" i="46"/>
  <c r="F109" i="46" s="1"/>
  <c r="Y11" i="46"/>
  <c r="Y13" i="46" s="1"/>
  <c r="C23" i="46"/>
  <c r="C21" i="46" s="1"/>
  <c r="C29" i="46" s="1"/>
  <c r="E29" i="46" s="1"/>
  <c r="AJ11" i="46"/>
  <c r="AJ13" i="46" s="1"/>
  <c r="J103" i="46"/>
  <c r="G101" i="46"/>
  <c r="G104" i="46" s="1"/>
  <c r="B113" i="46"/>
  <c r="D118" i="46" s="1"/>
  <c r="E118" i="46" s="1"/>
  <c r="F118" i="46" s="1"/>
  <c r="N104" i="45"/>
  <c r="L101" i="46"/>
  <c r="L106" i="46" s="1"/>
  <c r="F22" i="46"/>
  <c r="E101" i="46"/>
  <c r="E103" i="46" s="1"/>
  <c r="Z7" i="46"/>
  <c r="N101" i="46"/>
  <c r="N109" i="46" s="1"/>
  <c r="E22" i="46"/>
  <c r="AG11" i="46"/>
  <c r="AG13" i="46" s="1"/>
  <c r="Z11" i="46"/>
  <c r="Z13" i="46" s="1"/>
  <c r="AH11" i="46"/>
  <c r="AH13" i="46" s="1"/>
  <c r="AA11" i="46"/>
  <c r="AA13" i="46" s="1"/>
  <c r="AF11" i="46"/>
  <c r="AF13" i="46" s="1"/>
  <c r="AE11" i="46"/>
  <c r="AE13" i="46" s="1"/>
  <c r="F107" i="46"/>
  <c r="K105" i="46"/>
  <c r="C105" i="46"/>
  <c r="J11" i="21"/>
  <c r="F11" i="21"/>
  <c r="H11" i="21"/>
  <c r="J105" i="46"/>
  <c r="C24" i="72"/>
  <c r="C24" i="70"/>
  <c r="F103" i="46"/>
  <c r="C107" i="46"/>
  <c r="J107" i="46"/>
  <c r="F7" i="36"/>
  <c r="AA7" i="36" s="1"/>
  <c r="R36" i="36" s="1"/>
  <c r="E36" i="36" s="1"/>
  <c r="E40" i="36" s="1"/>
  <c r="F40" i="36" s="1"/>
  <c r="F7" i="35"/>
  <c r="S7" i="35" s="1"/>
  <c r="J7" i="34"/>
  <c r="H7" i="36"/>
  <c r="AB7" i="36" s="1"/>
  <c r="T36" i="36" s="1"/>
  <c r="G36" i="36" s="1"/>
  <c r="G40" i="36" s="1"/>
  <c r="H40" i="36" s="1"/>
  <c r="J7" i="35"/>
  <c r="AC7" i="35" s="1"/>
  <c r="V38" i="35" s="1"/>
  <c r="I38" i="35" s="1"/>
  <c r="I42" i="35" s="1"/>
  <c r="J42" i="35" s="1"/>
  <c r="F7" i="34"/>
  <c r="S7" i="34" s="1"/>
  <c r="J7" i="36"/>
  <c r="W7" i="36" s="1"/>
  <c r="H7" i="35"/>
  <c r="AB7" i="35" s="1"/>
  <c r="T38" i="35" s="1"/>
  <c r="G38" i="35" s="1"/>
  <c r="G42" i="35" s="1"/>
  <c r="H42" i="35" s="1"/>
  <c r="H7" i="34"/>
  <c r="AB7" i="34" s="1"/>
  <c r="T49" i="34" s="1"/>
  <c r="G49" i="34" s="1"/>
  <c r="G53" i="34" s="1"/>
  <c r="H53" i="34" s="1"/>
  <c r="I116" i="46"/>
  <c r="J116" i="46" s="1"/>
  <c r="K116" i="46" s="1"/>
  <c r="L116" i="46" s="1"/>
  <c r="M116" i="46" s="1"/>
  <c r="F105" i="46"/>
  <c r="F102" i="46"/>
  <c r="C102" i="46"/>
  <c r="J102" i="46"/>
  <c r="H7" i="37"/>
  <c r="J7" i="37"/>
  <c r="W7" i="37" s="1"/>
  <c r="F7" i="37"/>
  <c r="AA7" i="37" s="1"/>
  <c r="R42" i="37" s="1"/>
  <c r="E42" i="37" s="1"/>
  <c r="N104" i="46"/>
  <c r="H6" i="3"/>
  <c r="I117" i="46"/>
  <c r="J117" i="46" s="1"/>
  <c r="K117" i="46" s="1"/>
  <c r="L117" i="46" s="1"/>
  <c r="M117" i="46" s="1"/>
  <c r="L102" i="46"/>
  <c r="L104" i="46"/>
  <c r="E106" i="46"/>
  <c r="E109" i="46"/>
  <c r="D117" i="46"/>
  <c r="E117" i="46" s="1"/>
  <c r="F117" i="46" s="1"/>
  <c r="G117" i="46" s="1"/>
  <c r="H117" i="46" s="1"/>
  <c r="I102" i="46"/>
  <c r="I109" i="46"/>
  <c r="I107" i="46"/>
  <c r="D102" i="46"/>
  <c r="D104" i="46"/>
  <c r="D109" i="46"/>
  <c r="D103" i="46"/>
  <c r="M104" i="46"/>
  <c r="H105" i="46"/>
  <c r="U7" i="35"/>
  <c r="AC7" i="36"/>
  <c r="V36" i="36" s="1"/>
  <c r="I36" i="36" s="1"/>
  <c r="I40" i="36" s="1"/>
  <c r="J40" i="36" s="1"/>
  <c r="W18" i="36"/>
  <c r="AC18" i="36"/>
  <c r="U7" i="36"/>
  <c r="G41" i="36"/>
  <c r="H41" i="36" s="1"/>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5"/>
  <c r="R38" i="35" s="1"/>
  <c r="R39" i="35" s="1"/>
  <c r="C38" i="35" s="1"/>
  <c r="W7" i="34"/>
  <c r="AC7" i="34"/>
  <c r="V49" i="34" s="1"/>
  <c r="I49" i="34" s="1"/>
  <c r="AA7" i="34"/>
  <c r="R49" i="34" s="1"/>
  <c r="F7" i="21"/>
  <c r="J7" i="21"/>
  <c r="H7" i="2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AE9" i="1"/>
  <c r="AE8" i="1"/>
  <c r="S33" i="21" l="1"/>
  <c r="AA33" i="21"/>
  <c r="U33" i="21"/>
  <c r="AB33" i="21"/>
  <c r="W33" i="21"/>
  <c r="AC33" i="21"/>
  <c r="J33" i="76"/>
  <c r="F33" i="76"/>
  <c r="H33" i="76"/>
  <c r="D22" i="46"/>
  <c r="H109" i="46"/>
  <c r="M105" i="46"/>
  <c r="G109" i="46"/>
  <c r="G107" i="46"/>
  <c r="G102" i="46"/>
  <c r="H106" i="46"/>
  <c r="H104" i="46"/>
  <c r="M103" i="46"/>
  <c r="G105" i="46"/>
  <c r="K103" i="46"/>
  <c r="H103" i="46"/>
  <c r="H107" i="46"/>
  <c r="M106" i="46"/>
  <c r="M109" i="46"/>
  <c r="M102" i="46"/>
  <c r="G106" i="46"/>
  <c r="G103" i="46"/>
  <c r="K106" i="46"/>
  <c r="K102" i="46"/>
  <c r="K107" i="46"/>
  <c r="K104" i="46"/>
  <c r="C30" i="46"/>
  <c r="E30" i="46" s="1"/>
  <c r="D107" i="46"/>
  <c r="D105" i="46"/>
  <c r="I106" i="46"/>
  <c r="I103" i="46"/>
  <c r="I104" i="46"/>
  <c r="B116" i="46"/>
  <c r="C116" i="46" s="1"/>
  <c r="E105" i="46"/>
  <c r="E104" i="46"/>
  <c r="L105" i="46"/>
  <c r="B115" i="46"/>
  <c r="C115" i="46" s="1"/>
  <c r="B117" i="46"/>
  <c r="C117" i="46" s="1"/>
  <c r="I115" i="46"/>
  <c r="J115" i="46" s="1"/>
  <c r="K115" i="46" s="1"/>
  <c r="L115" i="46" s="1"/>
  <c r="M115" i="46" s="1"/>
  <c r="N106" i="46"/>
  <c r="N103" i="46"/>
  <c r="J106" i="46"/>
  <c r="C103" i="46"/>
  <c r="C109" i="46"/>
  <c r="F104" i="46"/>
  <c r="C104" i="46"/>
  <c r="F106" i="46"/>
  <c r="J109" i="46"/>
  <c r="B118" i="46"/>
  <c r="C118" i="46" s="1"/>
  <c r="G118" i="46"/>
  <c r="H118" i="46" s="1"/>
  <c r="D116" i="46"/>
  <c r="E116" i="46" s="1"/>
  <c r="F116" i="46" s="1"/>
  <c r="G116" i="46" s="1"/>
  <c r="H116" i="46" s="1"/>
  <c r="E102" i="46"/>
  <c r="E107" i="46"/>
  <c r="L103" i="46"/>
  <c r="L109" i="46"/>
  <c r="L107" i="46"/>
  <c r="I118" i="46"/>
  <c r="J118" i="46" s="1"/>
  <c r="K118" i="46" s="1"/>
  <c r="L118" i="46" s="1"/>
  <c r="M118" i="46" s="1"/>
  <c r="D115" i="46"/>
  <c r="E115" i="46" s="1"/>
  <c r="F115" i="46" s="1"/>
  <c r="G115" i="46" s="1"/>
  <c r="H115" i="46" s="1"/>
  <c r="N107" i="46"/>
  <c r="N102" i="46"/>
  <c r="N105" i="46"/>
  <c r="S11" i="21"/>
  <c r="AA11" i="21"/>
  <c r="U11" i="21"/>
  <c r="AB11" i="21"/>
  <c r="W11" i="21"/>
  <c r="AC11" i="21"/>
  <c r="AB12" i="39"/>
  <c r="S7" i="37"/>
  <c r="M23" i="6"/>
  <c r="I23" i="6" s="1"/>
  <c r="S23" i="6" s="1"/>
  <c r="S10" i="1"/>
  <c r="S6" i="46"/>
  <c r="T6" i="46" s="1"/>
  <c r="V6" i="46" s="1"/>
  <c r="S7" i="46"/>
  <c r="T7" i="46" s="1"/>
  <c r="V7" i="46" s="1"/>
  <c r="S4" i="46"/>
  <c r="T4" i="46" s="1"/>
  <c r="V4" i="46" s="1"/>
  <c r="S5" i="46"/>
  <c r="T5" i="46" s="1"/>
  <c r="V5" i="46" s="1"/>
  <c r="S2" i="46"/>
  <c r="T2" i="46" s="1"/>
  <c r="V2" i="46" s="1"/>
  <c r="S3" i="46"/>
  <c r="T3" i="46" s="1"/>
  <c r="V3" i="46" s="1"/>
  <c r="AC7" i="37"/>
  <c r="V42" i="37" s="1"/>
  <c r="I42" i="37" s="1"/>
  <c r="I46" i="37" s="1"/>
  <c r="J46" i="37" s="1"/>
  <c r="G43" i="35"/>
  <c r="H43" i="35" s="1"/>
  <c r="G54" i="34"/>
  <c r="H54" i="34" s="1"/>
  <c r="W7" i="35"/>
  <c r="U7" i="37"/>
  <c r="AB7" i="37"/>
  <c r="T42" i="37" s="1"/>
  <c r="G42" i="37" s="1"/>
  <c r="G47" i="37" s="1"/>
  <c r="H47" i="37" s="1"/>
  <c r="S12" i="40"/>
  <c r="S12" i="39"/>
  <c r="E6" i="3"/>
  <c r="W12" i="39"/>
  <c r="U12" i="40"/>
  <c r="E41" i="36"/>
  <c r="F41" i="36"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M8" i="70"/>
  <c r="M26" i="73"/>
  <c r="F11" i="44"/>
  <c r="F8" i="71"/>
  <c r="L48" i="69"/>
  <c r="F16" i="71"/>
  <c r="C19" i="44"/>
  <c r="M8" i="72"/>
  <c r="F36" i="71"/>
  <c r="L48" i="70"/>
  <c r="F9" i="71"/>
  <c r="F40" i="71"/>
  <c r="M29" i="71"/>
  <c r="M27" i="15"/>
  <c r="M6" i="73"/>
  <c r="M11" i="44"/>
  <c r="M6" i="72"/>
  <c r="F6" i="73"/>
  <c r="F40" i="15"/>
  <c r="E7" i="67"/>
  <c r="F43" i="44"/>
  <c r="M26" i="15"/>
  <c r="M27" i="72"/>
  <c r="F40" i="69"/>
  <c r="F38" i="44"/>
  <c r="M29" i="15"/>
  <c r="F38" i="69"/>
  <c r="J15" i="72"/>
  <c r="M23" i="73"/>
  <c r="M8" i="44"/>
  <c r="M22" i="70"/>
  <c r="F15" i="44"/>
  <c r="M24" i="44"/>
  <c r="F9" i="15"/>
  <c r="M27" i="71"/>
  <c r="F16" i="15"/>
  <c r="F7" i="15"/>
  <c r="M25" i="44"/>
  <c r="M27" i="73"/>
  <c r="F36" i="69"/>
  <c r="F7" i="72"/>
  <c r="M27" i="70"/>
  <c r="F7" i="70"/>
  <c r="F16" i="69"/>
  <c r="J15" i="73"/>
  <c r="F37" i="73"/>
  <c r="F38" i="15"/>
  <c r="L48" i="72"/>
  <c r="F9" i="72"/>
  <c r="M6" i="15"/>
  <c r="F9" i="44"/>
  <c r="F37" i="15"/>
  <c r="F13" i="70"/>
  <c r="M22" i="73"/>
  <c r="M23" i="70"/>
  <c r="M23" i="71"/>
  <c r="F37" i="69"/>
  <c r="F42" i="73"/>
  <c r="M28" i="71"/>
  <c r="F37" i="71"/>
  <c r="M23" i="72"/>
  <c r="F7" i="73"/>
  <c r="F41" i="73"/>
  <c r="F26" i="69"/>
  <c r="M29" i="70"/>
  <c r="M24" i="72"/>
  <c r="F9" i="70"/>
  <c r="M10" i="44"/>
  <c r="M6" i="71"/>
  <c r="M9" i="72"/>
  <c r="F13" i="15"/>
  <c r="F39" i="44"/>
  <c r="F45" i="44"/>
  <c r="F26" i="71"/>
  <c r="M8" i="69"/>
  <c r="M28" i="69"/>
  <c r="F37" i="70"/>
  <c r="J36" i="73"/>
  <c r="J17" i="44"/>
  <c r="F16" i="72"/>
  <c r="M28" i="70"/>
  <c r="F41" i="71"/>
  <c r="F8" i="44"/>
  <c r="F8" i="70"/>
  <c r="F42" i="70"/>
  <c r="L47" i="69"/>
  <c r="L47" i="73"/>
  <c r="L48" i="44"/>
  <c r="M8" i="71"/>
  <c r="F36" i="70"/>
  <c r="F13" i="69"/>
  <c r="F16" i="73"/>
  <c r="M28" i="72"/>
  <c r="F18" i="44"/>
  <c r="F42" i="72"/>
  <c r="J15" i="71"/>
  <c r="F8" i="72"/>
  <c r="M22" i="15"/>
  <c r="F43" i="70"/>
  <c r="F36" i="73"/>
  <c r="J36" i="15"/>
  <c r="M26" i="69"/>
  <c r="F42" i="69"/>
  <c r="F41" i="15"/>
  <c r="M29" i="72"/>
  <c r="F8" i="15"/>
  <c r="M30" i="44"/>
  <c r="F13" i="71"/>
  <c r="F40" i="44"/>
  <c r="M22" i="71"/>
  <c r="F26" i="72"/>
  <c r="F41" i="70"/>
  <c r="F10" i="44"/>
  <c r="F6" i="70"/>
  <c r="F6" i="72"/>
  <c r="J36" i="70"/>
  <c r="M6" i="70"/>
  <c r="F7" i="67"/>
  <c r="M9" i="71"/>
  <c r="F40" i="72"/>
  <c r="M29" i="73"/>
  <c r="M9" i="69"/>
  <c r="L47" i="71"/>
  <c r="F9" i="69"/>
  <c r="M22" i="72"/>
  <c r="F26" i="15"/>
  <c r="J15" i="69"/>
  <c r="M26" i="70"/>
  <c r="M8" i="15"/>
  <c r="F38" i="70"/>
  <c r="M26" i="44"/>
  <c r="M26" i="71"/>
  <c r="F13" i="73"/>
  <c r="M29" i="69"/>
  <c r="J36" i="72"/>
  <c r="F13" i="72"/>
  <c r="F9" i="73"/>
  <c r="M28" i="15"/>
  <c r="M23" i="69"/>
  <c r="M22" i="69"/>
  <c r="F43" i="73"/>
  <c r="L48" i="15"/>
  <c r="L48" i="73"/>
  <c r="F40" i="70"/>
  <c r="M9" i="15"/>
  <c r="M6" i="69"/>
  <c r="J36" i="71"/>
  <c r="F43" i="69"/>
  <c r="F43" i="71"/>
  <c r="M9" i="70"/>
  <c r="F6" i="15"/>
  <c r="M27" i="69"/>
  <c r="M28" i="73"/>
  <c r="J15" i="70"/>
  <c r="F6" i="71"/>
  <c r="F36" i="15"/>
  <c r="F6" i="69"/>
  <c r="M24" i="73"/>
  <c r="F7" i="71"/>
  <c r="F37" i="72"/>
  <c r="L47" i="70"/>
  <c r="F42" i="71"/>
  <c r="M24" i="69"/>
  <c r="J15" i="15"/>
  <c r="F8" i="73"/>
  <c r="M23" i="15"/>
  <c r="M24" i="71"/>
  <c r="F42" i="15"/>
  <c r="M8" i="73"/>
  <c r="F7" i="69"/>
  <c r="F38" i="72"/>
  <c r="F41" i="72"/>
  <c r="F43" i="72"/>
  <c r="M24" i="15"/>
  <c r="F28" i="44"/>
  <c r="M24" i="70"/>
  <c r="F46" i="44"/>
  <c r="L48" i="71"/>
  <c r="M9" i="73"/>
  <c r="F43" i="15"/>
  <c r="L49" i="44"/>
  <c r="M31" i="44"/>
  <c r="M26" i="72"/>
  <c r="F40" i="73"/>
  <c r="F36" i="72"/>
  <c r="F38" i="71"/>
  <c r="F16" i="70"/>
  <c r="F26" i="73"/>
  <c r="F38" i="73"/>
  <c r="L47" i="15"/>
  <c r="F26" i="70"/>
  <c r="F8" i="69"/>
  <c r="M28" i="44"/>
  <c r="M29" i="44"/>
  <c r="J36" i="69"/>
  <c r="J53" i="71" l="1"/>
  <c r="F1" i="71" s="1"/>
  <c r="L60" i="71"/>
  <c r="Q67" i="71" s="1"/>
  <c r="L46" i="71"/>
  <c r="J59" i="71"/>
  <c r="J60" i="71"/>
  <c r="Q49" i="71" s="1"/>
  <c r="I54" i="71"/>
  <c r="L56" i="71"/>
  <c r="J57" i="71"/>
  <c r="J55" i="71" s="1"/>
  <c r="J58" i="71" s="1"/>
  <c r="Q51" i="71" s="1"/>
  <c r="L57" i="71"/>
  <c r="F67" i="73"/>
  <c r="F64" i="73"/>
  <c r="F64" i="15"/>
  <c r="F64" i="70"/>
  <c r="C27" i="15"/>
  <c r="C8" i="44"/>
  <c r="C7" i="44" s="1"/>
  <c r="C40" i="44" s="1"/>
  <c r="C6" i="69"/>
  <c r="C10" i="69"/>
  <c r="F65" i="73"/>
  <c r="Q72" i="72"/>
  <c r="F50" i="73"/>
  <c r="F65" i="72"/>
  <c r="F67" i="72"/>
  <c r="F67" i="71"/>
  <c r="F63" i="69"/>
  <c r="F50" i="69"/>
  <c r="M9" i="44"/>
  <c r="J8" i="44" s="1"/>
  <c r="J7" i="44" s="1"/>
  <c r="J26" i="44" s="1"/>
  <c r="C27" i="69"/>
  <c r="F63" i="72"/>
  <c r="F50" i="15"/>
  <c r="F49" i="71"/>
  <c r="M7" i="71"/>
  <c r="J6" i="71" s="1"/>
  <c r="J5" i="71" s="1"/>
  <c r="J26" i="71" s="1"/>
  <c r="J29" i="71" s="1"/>
  <c r="F68" i="70"/>
  <c r="F68" i="71"/>
  <c r="L60" i="44"/>
  <c r="Q63" i="44" s="1"/>
  <c r="L59" i="44"/>
  <c r="C6" i="15"/>
  <c r="C5" i="15" s="1"/>
  <c r="C38" i="15" s="1"/>
  <c r="F63" i="73"/>
  <c r="F49" i="69"/>
  <c r="M7" i="69"/>
  <c r="J6" i="69" s="1"/>
  <c r="J5" i="69" s="1"/>
  <c r="J24" i="69" s="1"/>
  <c r="J53" i="69"/>
  <c r="Q53" i="69" s="1"/>
  <c r="J59" i="69"/>
  <c r="I54" i="69"/>
  <c r="J57" i="69"/>
  <c r="J55" i="69" s="1"/>
  <c r="J58" i="69" s="1"/>
  <c r="Q51" i="69" s="1"/>
  <c r="L56" i="69"/>
  <c r="J60" i="69"/>
  <c r="Q49" i="69" s="1"/>
  <c r="F67" i="15"/>
  <c r="F67" i="69"/>
  <c r="F68" i="73"/>
  <c r="F49" i="15"/>
  <c r="M7" i="15"/>
  <c r="J6" i="15" s="1"/>
  <c r="J5" i="15" s="1"/>
  <c r="J18" i="15" s="1"/>
  <c r="F50" i="70"/>
  <c r="Q72" i="15"/>
  <c r="C27" i="72"/>
  <c r="F63" i="15"/>
  <c r="F65" i="70"/>
  <c r="F67" i="70"/>
  <c r="C27" i="70"/>
  <c r="F70" i="70"/>
  <c r="F50" i="71"/>
  <c r="C27" i="73"/>
  <c r="C29" i="44"/>
  <c r="J53" i="70"/>
  <c r="F1" i="70" s="1"/>
  <c r="L60" i="70"/>
  <c r="Q67" i="70" s="1"/>
  <c r="J60" i="70"/>
  <c r="Q49" i="70" s="1"/>
  <c r="I54" i="70"/>
  <c r="L56" i="70"/>
  <c r="J59" i="70"/>
  <c r="L57" i="70"/>
  <c r="L46" i="70"/>
  <c r="J57" i="70"/>
  <c r="J55" i="70" s="1"/>
  <c r="J58" i="70" s="1"/>
  <c r="Q51" i="70" s="1"/>
  <c r="J58" i="44"/>
  <c r="J56" i="44" s="1"/>
  <c r="J59" i="44" s="1"/>
  <c r="Q52" i="44" s="1"/>
  <c r="L57" i="44"/>
  <c r="J61" i="44"/>
  <c r="Q50" i="44" s="1"/>
  <c r="I55" i="44"/>
  <c r="J54" i="44"/>
  <c r="F1" i="44" s="1"/>
  <c r="J60" i="44"/>
  <c r="M7" i="70"/>
  <c r="J6" i="70" s="1"/>
  <c r="J5" i="70" s="1"/>
  <c r="J18" i="70" s="1"/>
  <c r="F49" i="70"/>
  <c r="F49" i="73"/>
  <c r="M7" i="73"/>
  <c r="J6" i="73" s="1"/>
  <c r="J5" i="73" s="1"/>
  <c r="J24" i="73" s="1"/>
  <c r="F68" i="15"/>
  <c r="C27" i="71"/>
  <c r="L58" i="71"/>
  <c r="Q61" i="71" s="1"/>
  <c r="L59" i="71"/>
  <c r="Q62" i="71" s="1"/>
  <c r="Q72" i="70"/>
  <c r="J53" i="73"/>
  <c r="F1" i="73" s="1"/>
  <c r="L46" i="73"/>
  <c r="I54" i="73"/>
  <c r="J60" i="73"/>
  <c r="Q49" i="73" s="1"/>
  <c r="L56" i="73"/>
  <c r="J59" i="73"/>
  <c r="L57" i="73"/>
  <c r="J57" i="73"/>
  <c r="J55" i="73" s="1"/>
  <c r="J58" i="73" s="1"/>
  <c r="Q51" i="73" s="1"/>
  <c r="L60" i="73"/>
  <c r="Q58" i="73" s="1"/>
  <c r="L58" i="73"/>
  <c r="Q74" i="73" s="1"/>
  <c r="L59" i="73"/>
  <c r="Q62" i="73" s="1"/>
  <c r="F63" i="70"/>
  <c r="F70" i="71"/>
  <c r="C6" i="71"/>
  <c r="C10" i="71"/>
  <c r="C6" i="73"/>
  <c r="C10" i="73"/>
  <c r="F63" i="71"/>
  <c r="F70" i="15"/>
  <c r="F50" i="72"/>
  <c r="I54" i="72"/>
  <c r="L60" i="72"/>
  <c r="Q67" i="72" s="1"/>
  <c r="L56" i="72"/>
  <c r="J53" i="72"/>
  <c r="Q53" i="72" s="1"/>
  <c r="L46" i="72"/>
  <c r="J59" i="72"/>
  <c r="J57" i="72"/>
  <c r="J55" i="72" s="1"/>
  <c r="J58" i="72" s="1"/>
  <c r="Q51" i="72" s="1"/>
  <c r="L57" i="72"/>
  <c r="L58" i="72"/>
  <c r="J60" i="72"/>
  <c r="Q49" i="72" s="1"/>
  <c r="C6" i="72"/>
  <c r="C10" i="72"/>
  <c r="I54" i="15"/>
  <c r="L56" i="15"/>
  <c r="J57" i="15"/>
  <c r="J55" i="15" s="1"/>
  <c r="J58" i="15" s="1"/>
  <c r="Q51" i="15" s="1"/>
  <c r="F64" i="69"/>
  <c r="L59" i="15"/>
  <c r="L58" i="15"/>
  <c r="Q74" i="15" s="1"/>
  <c r="F70" i="69"/>
  <c r="L58" i="70"/>
  <c r="Q61" i="70" s="1"/>
  <c r="L59" i="70"/>
  <c r="Q75" i="70" s="1"/>
  <c r="F70" i="72"/>
  <c r="Q73" i="44"/>
  <c r="F65" i="69"/>
  <c r="F49" i="72"/>
  <c r="M7" i="72"/>
  <c r="J6" i="72" s="1"/>
  <c r="J5" i="72" s="1"/>
  <c r="J18" i="72" s="1"/>
  <c r="L59" i="69"/>
  <c r="L58" i="69"/>
  <c r="Q61" i="69" s="1"/>
  <c r="F65" i="15"/>
  <c r="F64" i="71"/>
  <c r="Q72" i="69"/>
  <c r="Q72" i="73"/>
  <c r="C6" i="70"/>
  <c r="C10" i="70"/>
  <c r="F70" i="73"/>
  <c r="F65" i="71"/>
  <c r="Q72" i="71"/>
  <c r="F64" i="72"/>
  <c r="AA33" i="76"/>
  <c r="R48" i="76" s="1"/>
  <c r="S33" i="76"/>
  <c r="AB33" i="76"/>
  <c r="T48" i="76" s="1"/>
  <c r="G48" i="76" s="1"/>
  <c r="U33" i="76"/>
  <c r="AC33" i="76"/>
  <c r="V48" i="76" s="1"/>
  <c r="I48" i="76" s="1"/>
  <c r="I52" i="76" s="1"/>
  <c r="J52" i="76" s="1"/>
  <c r="W33" i="76"/>
  <c r="V48" i="21"/>
  <c r="I48" i="21" s="1"/>
  <c r="C34" i="44"/>
  <c r="F1" i="69"/>
  <c r="D113" i="46"/>
  <c r="J22" i="46" s="1"/>
  <c r="J18" i="73"/>
  <c r="J24" i="70"/>
  <c r="E4" i="67"/>
  <c r="J20" i="44"/>
  <c r="R48" i="21"/>
  <c r="E48" i="21" s="1"/>
  <c r="T48" i="21"/>
  <c r="G48" i="21" s="1"/>
  <c r="G52" i="21" s="1"/>
  <c r="H52" i="21" s="1"/>
  <c r="Q75" i="73"/>
  <c r="Q58" i="70"/>
  <c r="F68" i="72"/>
  <c r="L57" i="69"/>
  <c r="L60" i="69" s="1"/>
  <c r="I47" i="37"/>
  <c r="J47" i="37" s="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G67" i="40"/>
  <c r="H65" i="40"/>
  <c r="G72" i="39"/>
  <c r="H70" i="39"/>
  <c r="AE7" i="1"/>
  <c r="AE10" i="1"/>
  <c r="B7" i="67"/>
  <c r="C16" i="69"/>
  <c r="C16" i="71"/>
  <c r="C17" i="71"/>
  <c r="C17" i="15"/>
  <c r="L52" i="44"/>
  <c r="C17" i="73"/>
  <c r="C16" i="15"/>
  <c r="C16" i="73"/>
  <c r="C17" i="69"/>
  <c r="C16" i="72"/>
  <c r="C14" i="70"/>
  <c r="C16" i="70"/>
  <c r="C17" i="70"/>
  <c r="C17" i="72"/>
  <c r="C18" i="44"/>
  <c r="L46" i="69" l="1"/>
  <c r="J24" i="71"/>
  <c r="Q75" i="71"/>
  <c r="Q67" i="73"/>
  <c r="J24" i="15"/>
  <c r="Q53" i="73"/>
  <c r="Q53" i="70"/>
  <c r="J26" i="73"/>
  <c r="J29" i="73" s="1"/>
  <c r="Q76" i="44"/>
  <c r="Q58" i="71"/>
  <c r="C32" i="15"/>
  <c r="C5" i="72"/>
  <c r="C32" i="72" s="1"/>
  <c r="C5" i="73"/>
  <c r="C38" i="73" s="1"/>
  <c r="C5" i="71"/>
  <c r="C32" i="71" s="1"/>
  <c r="C48" i="71"/>
  <c r="C47" i="71" s="1"/>
  <c r="C59" i="71" s="1"/>
  <c r="C48" i="70"/>
  <c r="C47" i="70" s="1"/>
  <c r="C59" i="70" s="1"/>
  <c r="L47" i="44"/>
  <c r="C48" i="15"/>
  <c r="Q54" i="44"/>
  <c r="C5" i="70"/>
  <c r="C38" i="70" s="1"/>
  <c r="C5" i="69"/>
  <c r="C38" i="69" s="1"/>
  <c r="C48" i="69"/>
  <c r="C47" i="69" s="1"/>
  <c r="C59" i="69" s="1"/>
  <c r="J26" i="70"/>
  <c r="J29" i="70" s="1"/>
  <c r="Q74" i="71"/>
  <c r="J18" i="71"/>
  <c r="J26" i="69"/>
  <c r="J18" i="69"/>
  <c r="Q53" i="71"/>
  <c r="F1" i="72"/>
  <c r="C48" i="72"/>
  <c r="C47" i="72" s="1"/>
  <c r="C59" i="72" s="1"/>
  <c r="Q61" i="15"/>
  <c r="J26" i="72"/>
  <c r="J29" i="72" s="1"/>
  <c r="Q74" i="70"/>
  <c r="Q74" i="69"/>
  <c r="Q58" i="72"/>
  <c r="L58" i="44"/>
  <c r="L61" i="44" s="1"/>
  <c r="Q68" i="44" s="1"/>
  <c r="Q69" i="44"/>
  <c r="J24" i="72"/>
  <c r="Q62" i="70"/>
  <c r="Q61" i="73"/>
  <c r="Q75" i="69"/>
  <c r="Q62" i="69"/>
  <c r="Q75" i="15"/>
  <c r="Q62" i="15"/>
  <c r="Q61" i="72"/>
  <c r="Q74" i="72"/>
  <c r="Q75" i="44"/>
  <c r="Q62" i="44"/>
  <c r="C48" i="73"/>
  <c r="C47" i="73" s="1"/>
  <c r="G52" i="76"/>
  <c r="H52" i="76" s="1"/>
  <c r="G53" i="76"/>
  <c r="H53" i="76" s="1"/>
  <c r="E48" i="76"/>
  <c r="R49" i="76"/>
  <c r="R49" i="21"/>
  <c r="C48" i="21" s="1"/>
  <c r="G53" i="21"/>
  <c r="H53" i="21" s="1"/>
  <c r="C32" i="70"/>
  <c r="C32" i="73"/>
  <c r="C38" i="72"/>
  <c r="C65" i="70"/>
  <c r="C18" i="70"/>
  <c r="C15" i="70"/>
  <c r="Q67" i="69"/>
  <c r="Q58"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I53" i="21"/>
  <c r="J53" i="21" s="1"/>
  <c r="I70" i="39"/>
  <c r="H72" i="39"/>
  <c r="I65" i="40"/>
  <c r="H67" i="40"/>
  <c r="AE6" i="1"/>
  <c r="C16" i="44"/>
  <c r="C14" i="72"/>
  <c r="F35" i="73"/>
  <c r="C14" i="15"/>
  <c r="M21" i="73"/>
  <c r="C14" i="71"/>
  <c r="F41" i="69"/>
  <c r="C14" i="73"/>
  <c r="C14" i="69"/>
  <c r="C38" i="71" l="1"/>
  <c r="C65" i="71"/>
  <c r="Q59" i="44"/>
  <c r="C32" i="69"/>
  <c r="C65" i="69"/>
  <c r="C65" i="72"/>
  <c r="C65" i="73"/>
  <c r="C59" i="73"/>
  <c r="J29" i="69"/>
  <c r="F68" i="69"/>
  <c r="I53" i="76"/>
  <c r="J53" i="76" s="1"/>
  <c r="E52" i="76"/>
  <c r="F52" i="76" s="1"/>
  <c r="E53" i="76"/>
  <c r="F53" i="76" s="1"/>
  <c r="C48" i="76"/>
  <c r="C49" i="76"/>
  <c r="B3" i="76" s="1"/>
  <c r="C49" i="21"/>
  <c r="B3" i="21" s="1"/>
  <c r="F52" i="21"/>
  <c r="C19" i="70"/>
  <c r="C15" i="71"/>
  <c r="C18" i="71"/>
  <c r="C15" i="69"/>
  <c r="C18" i="69"/>
  <c r="C15" i="73"/>
  <c r="C18" i="73"/>
  <c r="J20" i="73"/>
  <c r="F62" i="73"/>
  <c r="C61" i="73" s="1"/>
  <c r="C34" i="73"/>
  <c r="C15" i="72"/>
  <c r="C18" i="72"/>
  <c r="C20" i="70"/>
  <c r="C26" i="70"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M21" i="72"/>
  <c r="M21" i="70"/>
  <c r="F35" i="71"/>
  <c r="F35" i="72"/>
  <c r="M21" i="71"/>
  <c r="B2" i="76" l="1"/>
  <c r="R24" i="74"/>
  <c r="E8" i="12" s="1"/>
  <c r="B2" i="21"/>
  <c r="R24" i="31"/>
  <c r="C8" i="12" s="1"/>
  <c r="C19" i="71"/>
  <c r="C19" i="69"/>
  <c r="C20" i="69" s="1"/>
  <c r="C26" i="69" s="1"/>
  <c r="R9" i="1"/>
  <c r="C19" i="72"/>
  <c r="C20" i="72" s="1"/>
  <c r="C26" i="72" s="1"/>
  <c r="C19" i="73"/>
  <c r="C20" i="73" s="1"/>
  <c r="C26" i="73" s="1"/>
  <c r="J20" i="71"/>
  <c r="C34" i="71"/>
  <c r="F62" i="71"/>
  <c r="C61" i="71" s="1"/>
  <c r="J20" i="72"/>
  <c r="F62" i="72"/>
  <c r="C61" i="72" s="1"/>
  <c r="C34" i="72"/>
  <c r="F62" i="70"/>
  <c r="C61" i="70" s="1"/>
  <c r="C34" i="70"/>
  <c r="J20" i="70"/>
  <c r="C20" i="71"/>
  <c r="C26" i="71" s="1"/>
  <c r="C23" i="70"/>
  <c r="C29" i="70" s="1"/>
  <c r="C21" i="44"/>
  <c r="C22" i="44" s="1"/>
  <c r="C25" i="44" s="1"/>
  <c r="C19" i="15"/>
  <c r="C20" i="15" s="1"/>
  <c r="C23" i="15" s="1"/>
  <c r="C18" i="12"/>
  <c r="D31" i="6"/>
  <c r="I6" i="6" s="1"/>
  <c r="R27" i="6"/>
  <c r="C18" i="43"/>
  <c r="K70" i="39"/>
  <c r="J72" i="39"/>
  <c r="K65" i="40"/>
  <c r="J67" i="40"/>
  <c r="C65" i="15"/>
  <c r="C59" i="15"/>
  <c r="F35" i="15"/>
  <c r="M21" i="69"/>
  <c r="M23" i="44"/>
  <c r="M21" i="15"/>
  <c r="F35" i="69"/>
  <c r="F37" i="44"/>
  <c r="F62" i="15" l="1"/>
  <c r="C61" i="15" s="1"/>
  <c r="C34" i="15"/>
  <c r="C36" i="44"/>
  <c r="J22" i="44"/>
  <c r="J20" i="15"/>
  <c r="R16" i="1"/>
  <c r="J20" i="69"/>
  <c r="C34" i="69"/>
  <c r="F62" i="69"/>
  <c r="C61" i="69" s="1"/>
  <c r="C23" i="71"/>
  <c r="C29" i="71" s="1"/>
  <c r="J14" i="71" s="1"/>
  <c r="C23" i="73"/>
  <c r="C29" i="73" s="1"/>
  <c r="C13" i="73" s="1"/>
  <c r="C23" i="72"/>
  <c r="C29" i="72" s="1"/>
  <c r="C56" i="72" s="1"/>
  <c r="J13" i="39"/>
  <c r="H13" i="39"/>
  <c r="F13" i="39"/>
  <c r="C56" i="70"/>
  <c r="J14" i="70"/>
  <c r="C13" i="70"/>
  <c r="C36" i="70"/>
  <c r="Q50" i="70"/>
  <c r="C33" i="70"/>
  <c r="C31" i="70" s="1"/>
  <c r="J19" i="70"/>
  <c r="J17" i="70" s="1"/>
  <c r="C23" i="69"/>
  <c r="C29" i="69" s="1"/>
  <c r="C28" i="44"/>
  <c r="C31" i="44" s="1"/>
  <c r="C35" i="44" s="1"/>
  <c r="I5" i="6"/>
  <c r="C26" i="15"/>
  <c r="C29" i="15" s="1"/>
  <c r="J59" i="15" s="1"/>
  <c r="J60" i="15" s="1"/>
  <c r="Q49" i="15" s="1"/>
  <c r="C23" i="12"/>
  <c r="C19" i="43"/>
  <c r="C22" i="43" s="1"/>
  <c r="C21" i="43" s="1"/>
  <c r="K67" i="40"/>
  <c r="L65" i="40"/>
  <c r="K72" i="39"/>
  <c r="L70" i="39"/>
  <c r="C56" i="71" l="1"/>
  <c r="C60" i="71" s="1"/>
  <c r="C58" i="71" s="1"/>
  <c r="C33" i="71"/>
  <c r="C31" i="71" s="1"/>
  <c r="C13" i="72"/>
  <c r="C55" i="72" s="1"/>
  <c r="C64" i="72" s="1"/>
  <c r="J14" i="72"/>
  <c r="J22" i="72" s="1"/>
  <c r="J19" i="72"/>
  <c r="J17" i="72" s="1"/>
  <c r="J19" i="71"/>
  <c r="J17" i="71" s="1"/>
  <c r="C13" i="71"/>
  <c r="Q71" i="71" s="1"/>
  <c r="J19" i="73"/>
  <c r="J17" i="73" s="1"/>
  <c r="C56" i="73"/>
  <c r="C63" i="73" s="1"/>
  <c r="C36" i="72"/>
  <c r="C33" i="72"/>
  <c r="C31" i="72" s="1"/>
  <c r="Q50" i="72"/>
  <c r="Q50" i="71"/>
  <c r="C36" i="71"/>
  <c r="C33" i="73"/>
  <c r="C31" i="73" s="1"/>
  <c r="J14" i="73"/>
  <c r="J13" i="73" s="1"/>
  <c r="J23" i="73" s="1"/>
  <c r="C36" i="73"/>
  <c r="Q50" i="73"/>
  <c r="C56" i="69"/>
  <c r="C13" i="69"/>
  <c r="J14" i="69"/>
  <c r="Q50" i="69"/>
  <c r="C36" i="69"/>
  <c r="J19" i="69"/>
  <c r="J17" i="69" s="1"/>
  <c r="C33" i="69"/>
  <c r="C31" i="69" s="1"/>
  <c r="J22" i="70"/>
  <c r="J13" i="70"/>
  <c r="J23" i="70" s="1"/>
  <c r="C63" i="72"/>
  <c r="C60" i="72"/>
  <c r="C58" i="72" s="1"/>
  <c r="C55" i="73"/>
  <c r="C64" i="73" s="1"/>
  <c r="Q71" i="73"/>
  <c r="C37" i="73"/>
  <c r="J35" i="73"/>
  <c r="AB13" i="39"/>
  <c r="U13" i="39"/>
  <c r="C55" i="70"/>
  <c r="C64" i="70" s="1"/>
  <c r="C37" i="70"/>
  <c r="C30" i="70" s="1"/>
  <c r="C39" i="70" s="1"/>
  <c r="J35" i="70"/>
  <c r="Q71" i="70"/>
  <c r="C60" i="70"/>
  <c r="C58" i="70" s="1"/>
  <c r="C63" i="70"/>
  <c r="J22" i="71"/>
  <c r="J13" i="71"/>
  <c r="J23" i="71" s="1"/>
  <c r="S13" i="39"/>
  <c r="AA13" i="39"/>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63" i="71" l="1"/>
  <c r="J13" i="72"/>
  <c r="J23" i="72" s="1"/>
  <c r="J16" i="72" s="1"/>
  <c r="J25" i="72" s="1"/>
  <c r="J22" i="73"/>
  <c r="J16" i="73" s="1"/>
  <c r="J25" i="73" s="1"/>
  <c r="C60" i="73"/>
  <c r="C58" i="73" s="1"/>
  <c r="C57" i="73" s="1"/>
  <c r="C66" i="73" s="1"/>
  <c r="C67" i="73" s="1"/>
  <c r="C70" i="73" s="1"/>
  <c r="J35" i="72"/>
  <c r="J35" i="71"/>
  <c r="C37" i="72"/>
  <c r="C30" i="72" s="1"/>
  <c r="C39" i="72" s="1"/>
  <c r="Q70" i="72" s="1"/>
  <c r="C55" i="71"/>
  <c r="C64" i="71" s="1"/>
  <c r="Q71" i="72"/>
  <c r="C37" i="71"/>
  <c r="C30" i="71" s="1"/>
  <c r="C39" i="71" s="1"/>
  <c r="Q70" i="71" s="1"/>
  <c r="Q69" i="71" s="1"/>
  <c r="C57" i="70"/>
  <c r="C66" i="70" s="1"/>
  <c r="C67" i="70" s="1"/>
  <c r="C70" i="70" s="1"/>
  <c r="C30" i="73"/>
  <c r="C39" i="73" s="1"/>
  <c r="C40" i="73" s="1"/>
  <c r="J16" i="71"/>
  <c r="J25" i="71" s="1"/>
  <c r="J16" i="70"/>
  <c r="J25" i="70" s="1"/>
  <c r="Q68" i="70"/>
  <c r="Q70" i="70"/>
  <c r="Q69" i="70" s="1"/>
  <c r="C40" i="70"/>
  <c r="J22" i="69"/>
  <c r="J13" i="69"/>
  <c r="J23" i="69" s="1"/>
  <c r="C63" i="69"/>
  <c r="C60" i="69"/>
  <c r="C58" i="69" s="1"/>
  <c r="C55" i="69"/>
  <c r="C64" i="69" s="1"/>
  <c r="J35" i="69"/>
  <c r="C37" i="69"/>
  <c r="C30" i="69" s="1"/>
  <c r="C39" i="69" s="1"/>
  <c r="Q71" i="69"/>
  <c r="C57" i="72"/>
  <c r="C66" i="72" s="1"/>
  <c r="C67" i="72" s="1"/>
  <c r="J39" i="70"/>
  <c r="J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69"/>
  <c r="C57" i="71" l="1"/>
  <c r="C66" i="71" s="1"/>
  <c r="C67" i="71" s="1"/>
  <c r="C70" i="71" s="1"/>
  <c r="Q69" i="72"/>
  <c r="J39" i="72"/>
  <c r="J40" i="72" s="1"/>
  <c r="J39" i="71"/>
  <c r="J40" i="71" s="1"/>
  <c r="Q70" i="73"/>
  <c r="Q69" i="73" s="1"/>
  <c r="C40" i="72"/>
  <c r="Q57" i="72" s="1"/>
  <c r="Q63" i="72" s="1"/>
  <c r="C40" i="71"/>
  <c r="Q57" i="71" s="1"/>
  <c r="Q63" i="71" s="1"/>
  <c r="Q68" i="72"/>
  <c r="J39" i="73"/>
  <c r="J40" i="73" s="1"/>
  <c r="C57" i="69"/>
  <c r="C66" i="69" s="1"/>
  <c r="C67" i="69" s="1"/>
  <c r="C70" i="69" s="1"/>
  <c r="J16" i="69"/>
  <c r="J25" i="69" s="1"/>
  <c r="Q68" i="69"/>
  <c r="Q66" i="70"/>
  <c r="Q76" i="70" s="1"/>
  <c r="B2" i="70"/>
  <c r="C43" i="70"/>
  <c r="Q57" i="70"/>
  <c r="Q63" i="70" s="1"/>
  <c r="Q48" i="70"/>
  <c r="Q54" i="70" s="1"/>
  <c r="J42" i="70"/>
  <c r="J43" i="70" s="1"/>
  <c r="J39" i="69"/>
  <c r="J40" i="69" s="1"/>
  <c r="C40" i="69"/>
  <c r="Q70" i="69"/>
  <c r="Q69" i="69" s="1"/>
  <c r="C46" i="73"/>
  <c r="Q57" i="73"/>
  <c r="Q63" i="73" s="1"/>
  <c r="B2" i="73"/>
  <c r="Q66" i="73"/>
  <c r="Q76" i="73" s="1"/>
  <c r="C43" i="73"/>
  <c r="Q48" i="73"/>
  <c r="Q54" i="73" s="1"/>
  <c r="J42" i="73"/>
  <c r="J43" i="73" s="1"/>
  <c r="C46" i="70"/>
  <c r="C70" i="7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3"/>
  <c r="L51" i="71"/>
  <c r="Q68" i="71" l="1"/>
  <c r="Q68" i="73"/>
  <c r="J42" i="71"/>
  <c r="J43" i="71" s="1"/>
  <c r="C43" i="71"/>
  <c r="Q48" i="71"/>
  <c r="Q54" i="71" s="1"/>
  <c r="C46" i="71"/>
  <c r="Q48" i="72"/>
  <c r="Q54" i="72" s="1"/>
  <c r="Q66" i="72"/>
  <c r="Q76" i="72" s="1"/>
  <c r="C46" i="72"/>
  <c r="J42" i="72"/>
  <c r="J43" i="72" s="1"/>
  <c r="B2" i="72"/>
  <c r="B3" i="72" s="1"/>
  <c r="C43" i="72"/>
  <c r="B2" i="71"/>
  <c r="Q66" i="71"/>
  <c r="Q76" i="71" s="1"/>
  <c r="B3" i="73"/>
  <c r="Q66" i="69"/>
  <c r="Q76" i="69" s="1"/>
  <c r="C43" i="69"/>
  <c r="Q57" i="69"/>
  <c r="Q63" i="69" s="1"/>
  <c r="Q48" i="69"/>
  <c r="Q54" i="69" s="1"/>
  <c r="B2" i="69"/>
  <c r="G10" i="12" s="1"/>
  <c r="J42" i="69"/>
  <c r="J43" i="69" s="1"/>
  <c r="B3" i="70"/>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B3" i="69"/>
  <c r="G8" i="12" s="1"/>
  <c r="S24" i="74"/>
  <c r="E10" i="12" s="1"/>
  <c r="R25" i="7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S25" i="74" l="1"/>
  <c r="F10" i="12" s="1"/>
  <c r="F8" i="12"/>
  <c r="R25" i="31"/>
  <c r="S22" i="74"/>
  <c r="L46" i="15"/>
  <c r="B2" i="15" s="1"/>
  <c r="B3" i="15" s="1"/>
  <c r="Q76" i="15"/>
  <c r="Q58" i="15"/>
  <c r="Q63" i="15" s="1"/>
  <c r="E54" i="39"/>
  <c r="F54" i="39" s="1"/>
  <c r="E53" i="39"/>
  <c r="F53" i="39" s="1"/>
  <c r="E48" i="40"/>
  <c r="F48" i="40" s="1"/>
  <c r="E49" i="40"/>
  <c r="F49" i="40" s="1"/>
  <c r="C50" i="39"/>
  <c r="C49" i="39"/>
  <c r="I54" i="39"/>
  <c r="J54" i="39" s="1"/>
  <c r="C45" i="40"/>
  <c r="C44" i="40"/>
  <c r="I49" i="40"/>
  <c r="J49" i="40" s="1"/>
  <c r="S25" i="31" l="1"/>
  <c r="D10" i="12" s="1"/>
  <c r="D8" i="12"/>
  <c r="S24" i="31"/>
  <c r="R22" i="74"/>
  <c r="B21" i="74" s="1"/>
  <c r="B20" i="74"/>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S22" i="31" l="1"/>
  <c r="B20" i="31" s="1"/>
  <c r="C10" i="12"/>
  <c r="C6" i="12" s="1"/>
  <c r="F68" i="39"/>
  <c r="B2" i="39" s="1"/>
  <c r="F63" i="40"/>
  <c r="B2" i="40" s="1"/>
  <c r="D19" i="9"/>
  <c r="C24" i="12" l="1"/>
  <c r="C29" i="12"/>
  <c r="R22" i="31"/>
  <c r="B21" i="31" s="1"/>
  <c r="L44" i="9"/>
  <c r="B3" i="40"/>
  <c r="B4" i="40"/>
  <c r="B5" i="40"/>
  <c r="B3" i="39"/>
  <c r="B4" i="39"/>
  <c r="B5" i="39"/>
  <c r="D20" i="9"/>
  <c r="D21" i="9"/>
  <c r="C28" i="12" l="1"/>
  <c r="C26" i="12" s="1"/>
  <c r="C31" i="12" s="1"/>
  <c r="C30" i="12" s="1"/>
  <c r="C35" i="12"/>
  <c r="C33" i="12" s="1"/>
  <c r="C36" i="12" l="1"/>
  <c r="B2" i="12" s="1"/>
  <c r="B3" i="12" s="1"/>
  <c r="C20" i="9"/>
  <c r="C19" i="9"/>
  <c r="B4" i="12" l="1"/>
  <c r="B5" i="12"/>
  <c r="G19" i="9"/>
  <c r="C32" i="9" s="1"/>
  <c r="L43" i="9"/>
  <c r="D22" i="9"/>
  <c r="G20" i="9"/>
  <c r="C21" i="9"/>
  <c r="N43" i="9" l="1"/>
  <c r="G22" i="9"/>
  <c r="G21" i="9"/>
  <c r="D27" i="9"/>
  <c r="D30" i="9" s="1"/>
  <c r="C30" i="9" s="1"/>
  <c r="C25" i="9" s="1"/>
  <c r="C45" i="9"/>
  <c r="O38" i="9"/>
  <c r="C33" i="9"/>
  <c r="C35" i="9"/>
  <c r="F42" i="9" s="1"/>
  <c r="C42" i="9"/>
  <c r="C44" i="9" s="1"/>
  <c r="G14" i="66" s="1"/>
  <c r="B6" i="66" s="1"/>
  <c r="C34" i="9"/>
  <c r="O43" i="9"/>
  <c r="D6" i="66"/>
  <c r="C6" i="66"/>
  <c r="N69" i="9"/>
  <c r="O39" i="9"/>
  <c r="K29" i="9" s="1"/>
  <c r="D44" i="9"/>
  <c r="E44" i="9"/>
  <c r="F44" i="9"/>
  <c r="N38" i="9" l="1"/>
  <c r="K28" i="9" s="1"/>
  <c r="D42" i="9"/>
  <c r="Q5" i="54" s="1"/>
  <c r="B47" i="63" s="1"/>
  <c r="M38" i="9"/>
  <c r="K27" i="9" s="1"/>
  <c r="E42" i="9"/>
  <c r="P5" i="54" s="1"/>
  <c r="B46" i="63" s="1"/>
  <c r="K25" i="9"/>
  <c r="K26" i="9"/>
  <c r="D14" i="66"/>
  <c r="N68" i="9"/>
  <c r="R5" i="54"/>
  <c r="B48" i="63" s="1"/>
  <c r="D63" i="9"/>
  <c r="H14" i="66"/>
  <c r="B7" i="66" s="1"/>
  <c r="E45" i="9"/>
  <c r="F45" i="9"/>
  <c r="D45" i="9"/>
  <c r="O40" i="9"/>
  <c r="M86" i="9"/>
  <c r="N86" i="9" s="1"/>
  <c r="M84" i="9"/>
  <c r="N84" i="9" s="1"/>
  <c r="M88" i="9"/>
  <c r="N88" i="9" s="1"/>
  <c r="M87" i="9"/>
  <c r="N87" i="9" s="1"/>
  <c r="M85" i="9"/>
  <c r="N85" i="9" s="1"/>
  <c r="M83" i="9"/>
  <c r="N83" i="9" s="1"/>
  <c r="K30" i="9"/>
  <c r="R6" i="54"/>
  <c r="B50" i="63" s="1"/>
  <c r="C111" i="9" l="1"/>
  <c r="C104" i="9" s="1"/>
  <c r="C103" i="9"/>
  <c r="C82" i="9"/>
  <c r="C81" i="9" s="1"/>
  <c r="C85" i="9" s="1"/>
  <c r="C86" i="9" s="1"/>
  <c r="D72" i="9" s="1"/>
  <c r="C96" i="9"/>
  <c r="C91" i="9" s="1"/>
  <c r="D71" i="9"/>
  <c r="D66" i="9" s="1"/>
  <c r="N72" i="9" s="1"/>
  <c r="D77" i="9"/>
  <c r="N75" i="9" s="1"/>
  <c r="C90" i="9"/>
  <c r="D70" i="9"/>
  <c r="R7" i="54"/>
  <c r="B52" i="63" s="1"/>
  <c r="K31" i="9"/>
  <c r="K32" i="9" s="1"/>
  <c r="C7" i="66"/>
  <c r="D7" i="66"/>
  <c r="F14" i="66"/>
  <c r="E14" i="66"/>
  <c r="B5" i="66"/>
  <c r="N89" i="9"/>
  <c r="C97" i="9" l="1"/>
  <c r="C113" i="9"/>
  <c r="C5" i="66"/>
  <c r="D5" i="66"/>
  <c r="O89" i="9"/>
  <c r="N76" i="9"/>
  <c r="C98" i="9" l="1"/>
  <c r="E98" i="9" s="1"/>
  <c r="E99" i="9" s="1"/>
  <c r="C114" i="9"/>
  <c r="E114" i="9" s="1"/>
  <c r="E115" i="9" s="1"/>
  <c r="C99" i="9" l="1"/>
  <c r="C115" i="9"/>
  <c r="D76" i="9" s="1"/>
  <c r="D74" i="9" s="1"/>
  <c r="N74" i="9" s="1"/>
  <c r="O77" i="9" s="1"/>
  <c r="O78" i="9" l="1"/>
  <c r="Q77" i="9"/>
  <c r="O79" i="9"/>
  <c r="C46" i="9" l="1"/>
  <c r="O80" i="9"/>
  <c r="O81" i="9"/>
  <c r="K33" i="9" l="1"/>
  <c r="F46" i="9"/>
  <c r="I14" i="66"/>
  <c r="B8" i="66" s="1"/>
  <c r="D46" i="9"/>
  <c r="O41" i="9"/>
  <c r="E46" i="9"/>
  <c r="K34" i="9" l="1"/>
  <c r="R8" i="54"/>
  <c r="B54" i="63" s="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<sst xmlns="http://schemas.openxmlformats.org/spreadsheetml/2006/main" count="9547" uniqueCount="3200">
  <si>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</si>
  <si>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</si>
  <si>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</si>
  <si>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</si>
  <si>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</si>
  <si>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</si>
  <si>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</si>
  <si>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</si>
  <si>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</si>
  <si>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</si>
  <si>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</si>
  <si>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</si>
  <si>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</si>
  <si>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</si>
  <si>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</si>
  <si>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</si>
  <si>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</si>
  <si>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</si>
  <si>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</si>
  <si>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</si>
  <si>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</si>
  <si>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</si>
  <si>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</si>
  <si>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</si>
  <si>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</si>
  <si>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</si>
  <si>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</si>
  <si>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</si>
  <si>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</si>
  <si>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</si>
  <si>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</si>
  <si>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</si>
  <si>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</si>
  <si>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</si>
  <si>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</si>
  <si>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</si>
  <si>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</si>
  <si>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</si>
  <si>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</si>
  <si>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</si>
  <si>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</si>
  <si>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</si>
  <si>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</si>
  <si>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</si>
  <si>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</si>
  <si>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</si>
  <si>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</si>
  <si>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</si>
  <si>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</si>
  <si>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</si>
  <si>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</si>
  <si>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</si>
  <si>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</si>
  <si>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</si>
  <si>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</si>
  <si>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</si>
  <si>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</si>
  <si>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</si>
  <si>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</si>
  <si>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</si>
  <si>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</si>
  <si>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</si>
  <si>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</si>
  <si>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</si>
  <si>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</si>
  <si>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</si>
  <si>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</si>
  <si>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</si>
  <si>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</si>
  <si>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</si>
  <si>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</si>
  <si>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</si>
  <si>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</si>
  <si>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</si>
  <si>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</si>
  <si>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</si>
  <si>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</si>
  <si>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</si>
  <si>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</si>
  <si>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</si>
  <si>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</si>
  <si>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</si>
  <si>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</si>
  <si>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</si>
  <si>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</si>
  <si>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</si>
  <si>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</si>
  <si>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</si>
  <si>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</si>
  <si>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</si>
  <si>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</si>
  <si>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</si>
  <si>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</si>
  <si>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</si>
  <si>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</si>
  <si>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</si>
  <si>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</si>
  <si>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</si>
  <si>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</si>
  <si>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</si>
  <si>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</si>
  <si>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</si>
  <si>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</si>
  <si>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</si>
  <si>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</si>
  <si>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</si>
  <si>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</si>
  <si>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</si>
  <si>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</si>
  <si>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</si>
  <si>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</si>
  <si>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</si>
  <si>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</si>
  <si>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</si>
  <si>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</si>
  <si>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</si>
  <si>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</si>
  <si>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</si>
  <si>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</si>
  <si>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</si>
  <si>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</si>
  <si>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</si>
  <si>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</si>
  <si>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</si>
  <si>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</si>
  <si>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</si>
  <si>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</si>
  <si>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</si>
  <si>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</si>
  <si>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</si>
  <si>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</si>
  <si>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</si>
  <si>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</si>
  <si>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</si>
  <si>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</si>
  <si>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</si>
  <si>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</si>
  <si>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</si>
  <si>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</si>
  <si>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</si>
  <si>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</si>
  <si>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</si>
  <si>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</si>
  <si>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</si>
  <si>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</si>
  <si>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</si>
  <si>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</si>
  <si>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</si>
  <si>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</si>
  <si>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</si>
  <si>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</si>
  <si>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</si>
  <si>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</si>
  <si>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</si>
  <si>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</si>
  <si>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</si>
  <si>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</si>
  <si>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</si>
  <si>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</si>
  <si>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</si>
  <si>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</si>
  <si>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</si>
  <si>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</si>
  <si>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</si>
  <si>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</si>
  <si>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</si>
  <si>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</si>
  <si>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</si>
  <si>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</si>
  <si>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</si>
  <si>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</si>
  <si>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</si>
  <si>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</si>
  <si>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</si>
  <si>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</si>
  <si>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</si>
  <si>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</si>
  <si>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</si>
  <si>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</si>
  <si>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</si>
  <si>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</si>
  <si>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</si>
  <si>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</si>
  <si>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</si>
  <si>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</si>
  <si>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</si>
  <si>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</si>
  <si>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</si>
  <si>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</si>
  <si>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</si>
  <si>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</si>
  <si>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</si>
  <si>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</si>
  <si>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</si>
  <si>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</si>
  <si>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</si>
  <si>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</si>
  <si>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</si>
  <si>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</si>
  <si>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</si>
  <si>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</si>
  <si>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</si>
  <si>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</si>
  <si>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</si>
  <si>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</si>
  <si>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</si>
  <si>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</si>
  <si>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</si>
  <si>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</si>
  <si>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</si>
  <si>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</si>
  <si>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</si>
  <si>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</si>
  <si>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</si>
  <si>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</si>
  <si>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</si>
  <si>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</si>
  <si>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</si>
  <si>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</si>
  <si>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</si>
  <si>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</si>
  <si>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</si>
  <si>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</si>
  <si>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</si>
  <si>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</si>
  <si>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</si>
  <si>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</si>
  <si>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</si>
  <si>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</si>
  <si>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</si>
  <si>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</si>
  <si>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</si>
  <si>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</si>
  <si>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</si>
  <si>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</si>
  <si>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</si>
  <si>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</si>
  <si>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</si>
  <si>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</si>
  <si>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</si>
  <si>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</si>
  <si>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</si>
  <si>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</si>
  <si>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</si>
  <si>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</si>
  <si>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</si>
  <si>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</si>
  <si>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</si>
  <si>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</si>
  <si>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</si>
  <si>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</si>
  <si>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</si>
  <si>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</si>
  <si>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</si>
  <si>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</si>
  <si>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</si>
  <si>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</si>
  <si>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</si>
  <si>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</si>
  <si>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</si>
  <si>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</si>
  <si>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</si>
  <si>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</si>
  <si>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</si>
  <si>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</si>
  <si>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</si>
  <si>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</si>
  <si>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</si>
  <si>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</si>
  <si>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</si>
  <si>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</si>
  <si>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</si>
  <si>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</si>
  <si>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</si>
  <si>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</si>
  <si>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</si>
  <si>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</si>
  <si>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</si>
  <si>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</si>
  <si>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</si>
  <si>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</si>
  <si>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</si>
  <si>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</si>
  <si>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</si>
  <si>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</si>
  <si>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</si>
  <si>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</si>
  <si>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</si>
  <si>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</si>
  <si>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</si>
  <si>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</si>
  <si>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</si>
  <si>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</si>
  <si>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</si>
  <si>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</si>
  <si>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</si>
  <si>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</si>
  <si>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</si>
  <si>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</si>
  <si>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</si>
  <si>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</si>
  <si>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</si>
  <si>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</si>
  <si>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</si>
  <si>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</si>
  <si>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</si>
  <si>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</si>
  <si>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</si>
  <si>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</si>
  <si>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</si>
  <si>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</si>
  <si>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</si>
  <si>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</si>
  <si>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</si>
  <si>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</si>
  <si>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</si>
  <si>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</si>
  <si>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</si>
  <si>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</si>
  <si>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</si>
  <si>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</si>
  <si>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</si>
  <si>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</si>
  <si>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</si>
  <si>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</si>
  <si>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</si>
  <si>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</si>
  <si>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</si>
  <si>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</si>
  <si>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</si>
  <si>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</si>
  <si>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</si>
  <si>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</si>
  <si>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</si>
  <si>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</si>
  <si>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</si>
  <si>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</si>
  <si>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</si>
  <si>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</si>
  <si>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</si>
  <si>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</si>
  <si>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</si>
  <si>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</si>
  <si>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</si>
  <si>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</si>
  <si>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</si>
  <si>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</si>
  <si>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</si>
  <si>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</si>
  <si>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</si>
  <si>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</si>
  <si>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</si>
  <si>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</si>
  <si>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</si>
  <si>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</si>
  <si>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</si>
  <si>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</si>
  <si>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</si>
  <si>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</si>
  <si>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</si>
  <si>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</si>
  <si>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</si>
  <si>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</si>
  <si>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</si>
  <si>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</si>
  <si>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</si>
  <si>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</si>
  <si>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</si>
  <si>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</si>
  <si>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</si>
  <si>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</si>
  <si>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</si>
  <si>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</si>
  <si>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</si>
  <si>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</si>
  <si>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</si>
  <si>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</si>
  <si>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</si>
  <si>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</si>
  <si>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</si>
  <si>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</si>
  <si>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</si>
  <si>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</si>
  <si>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</si>
  <si>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</si>
  <si>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</si>
  <si>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</si>
  <si>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</si>
  <si>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</si>
  <si>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</si>
  <si>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</si>
  <si>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</si>
  <si>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</si>
  <si>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</si>
  <si>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</si>
  <si>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</si>
  <si>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</si>
  <si>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</si>
  <si>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</si>
  <si>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</si>
  <si>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</si>
  <si>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</si>
  <si>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</si>
  <si>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</si>
  <si>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</si>
  <si>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</si>
  <si>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</si>
  <si>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</si>
  <si>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</si>
  <si>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</si>
  <si>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</si>
  <si>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</si>
  <si>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</si>
  <si>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</si>
  <si>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</si>
  <si>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</si>
  <si>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</si>
  <si>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</si>
  <si>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</si>
  <si>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</si>
  <si>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</si>
  <si>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</si>
  <si>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</si>
  <si>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</si>
  <si>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</si>
  <si>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</si>
  <si>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</si>
  <si>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</si>
  <si>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</si>
  <si>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</si>
  <si>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</si>
  <si>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</si>
  <si>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</si>
  <si>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</si>
  <si>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</si>
  <si>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</si>
  <si>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</si>
  <si>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</si>
  <si>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</si>
  <si>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</si>
  <si>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</si>
  <si>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</si>
  <si>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</si>
  <si>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</si>
  <si>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</si>
  <si>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</si>
  <si>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</si>
  <si>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</si>
  <si>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</si>
  <si>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</si>
  <si>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</si>
  <si>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</si>
  <si>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</si>
  <si>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</si>
  <si>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</si>
  <si>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</si>
  <si>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</si>
  <si>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</si>
  <si>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</si>
  <si>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</si>
  <si>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</si>
  <si>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</si>
  <si>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</si>
  <si>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</si>
  <si>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</si>
  <si>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</si>
  <si>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</si>
  <si>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</si>
  <si>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</si>
  <si>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</si>
  <si>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</si>
  <si>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</si>
  <si>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</si>
  <si>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</si>
  <si>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</si>
  <si>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</si>
  <si>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</si>
  <si>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</si>
  <si>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</si>
  <si>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</si>
  <si>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</si>
  <si>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</si>
  <si>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</si>
  <si>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</si>
  <si>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</si>
  <si>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</si>
  <si>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</si>
  <si>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</si>
  <si>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</si>
  <si>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</si>
  <si>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</si>
  <si>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</si>
  <si>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</si>
  <si>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</si>
  <si>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</si>
  <si>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</si>
  <si>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</si>
  <si>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</si>
  <si>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</si>
  <si>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</si>
  <si>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</si>
  <si>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</si>
  <si>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</si>
  <si>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</si>
  <si>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</si>
  <si>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</si>
  <si>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</si>
  <si>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</si>
  <si>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</si>
  <si>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</si>
  <si>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</si>
  <si>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</si>
  <si>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</si>
  <si>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</si>
  <si>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</si>
  <si>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</si>
  <si>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</si>
  <si>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</si>
  <si>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</si>
  <si>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</si>
  <si>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</si>
  <si>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</si>
  <si>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</si>
  <si>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</si>
  <si>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</si>
  <si>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</si>
  <si>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</si>
  <si>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</si>
  <si>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</si>
  <si>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</si>
  <si>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</si>
  <si>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</si>
  <si>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</si>
  <si>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</si>
  <si>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</si>
  <si>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</si>
  <si>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</si>
  <si>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</si>
  <si>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</si>
  <si>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</si>
  <si>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</si>
  <si>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</si>
  <si>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</si>
  <si>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</si>
  <si>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</si>
  <si>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</si>
  <si>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</si>
  <si>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</si>
  <si>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</si>
  <si>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</si>
  <si>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</si>
  <si>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</si>
  <si>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</si>
  <si>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</si>
  <si>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</si>
  <si>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</si>
  <si>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</si>
  <si>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</si>
  <si>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</si>
  <si>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</si>
  <si>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</si>
  <si>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</si>
  <si>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</si>
  <si>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</si>
  <si>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</si>
  <si>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</si>
  <si>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</si>
  <si>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</si>
  <si>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</si>
  <si>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</si>
  <si>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</si>
  <si>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</si>
  <si>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</si>
  <si>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</si>
  <si>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</si>
  <si>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</si>
  <si>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</si>
  <si>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</si>
  <si>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</si>
  <si>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</si>
  <si>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</si>
  <si>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</si>
  <si>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</si>
  <si>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</si>
  <si>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</si>
  <si>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</si>
  <si>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</si>
  <si>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</si>
  <si>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</si>
  <si>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</si>
  <si>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</si>
  <si>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</si>
  <si>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</si>
  <si>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</si>
  <si>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</si>
  <si>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</si>
  <si>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</si>
  <si>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</si>
  <si>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</si>
  <si>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</si>
  <si>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</si>
  <si>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</si>
  <si>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</si>
  <si>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</si>
  <si>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</si>
  <si>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</si>
  <si>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</si>
  <si>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</si>
  <si>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</si>
  <si>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</si>
  <si>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</si>
  <si>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</si>
  <si>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</si>
  <si>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</si>
  <si>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</si>
  <si>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</si>
  <si>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</si>
  <si>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</si>
  <si>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</si>
  <si>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</si>
  <si>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</si>
  <si>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</si>
  <si>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</si>
  <si>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</si>
  <si>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</si>
  <si>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</si>
  <si>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</si>
  <si>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</si>
  <si>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</si>
  <si>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</si>
  <si>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</si>
  <si>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</si>
  <si>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</si>
  <si>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</si>
  <si>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</si>
  <si>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</si>
  <si>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</si>
  <si>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</si>
  <si>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</si>
  <si>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</si>
  <si>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</si>
  <si>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</si>
  <si>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</si>
  <si>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</si>
  <si>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</si>
  <si>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</si>
  <si>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</si>
  <si>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</si>
  <si>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</si>
  <si>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</si>
  <si>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</si>
  <si>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</si>
  <si>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</si>
  <si>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</si>
  <si>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</si>
  <si>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</si>
  <si>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</si>
  <si>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</si>
  <si>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</si>
  <si>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</si>
  <si>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</si>
  <si>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</si>
  <si>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</si>
  <si>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</si>
  <si>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</si>
  <si>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</si>
  <si>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</si>
  <si>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</si>
  <si>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</si>
  <si>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</si>
  <si>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</si>
  <si>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</si>
  <si>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</si>
  <si>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</si>
  <si>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</si>
  <si>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</si>
  <si>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</si>
  <si>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</si>
  <si>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</si>
  <si>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</si>
  <si>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</si>
  <si>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</si>
  <si>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</si>
  <si>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</si>
  <si>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</si>
  <si>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</si>
  <si>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</si>
  <si>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</si>
  <si>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</si>
  <si>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</si>
  <si>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</si>
  <si>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</si>
  <si>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</si>
  <si>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</si>
  <si>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</si>
  <si>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</si>
  <si>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</si>
  <si>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</si>
  <si>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</si>
  <si>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</si>
  <si>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</si>
  <si>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</si>
  <si>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</si>
  <si>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</si>
  <si>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</si>
  <si>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</si>
  <si>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</si>
  <si>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</si>
  <si>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</si>
  <si>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</si>
  <si>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</si>
  <si>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</si>
  <si>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</si>
  <si>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</si>
  <si>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</si>
  <si>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</si>
  <si>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</si>
  <si>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</si>
  <si>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</si>
  <si>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</si>
  <si>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</si>
  <si>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</si>
  <si>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</si>
  <si>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</si>
  <si>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</si>
  <si>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</si>
  <si>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</si>
  <si>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</si>
  <si>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</si>
  <si>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</si>
  <si>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</si>
  <si>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</si>
  <si>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</si>
  <si>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</si>
  <si>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</si>
  <si>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</si>
  <si>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</si>
  <si>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</si>
  <si>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</si>
  <si>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</si>
  <si>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</si>
  <si>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</si>
  <si>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</si>
  <si>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</si>
  <si>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</si>
  <si>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</si>
  <si>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</si>
  <si>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</si>
  <si>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</si>
  <si>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</si>
  <si>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</si>
  <si>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</si>
  <si>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</si>
  <si>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</si>
  <si>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</si>
  <si>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</si>
  <si>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</si>
  <si>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</si>
  <si>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</si>
  <si>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</si>
  <si>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</si>
  <si>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</si>
  <si>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</si>
  <si>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</si>
  <si>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</si>
  <si>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</si>
  <si>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</si>
  <si>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</si>
  <si>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</si>
  <si>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</si>
  <si>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</si>
  <si>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</si>
  <si>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</si>
  <si>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</si>
  <si>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</si>
  <si>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</si>
  <si>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</si>
  <si>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</si>
  <si>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</si>
  <si>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</si>
  <si>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</si>
  <si>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</si>
  <si>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</si>
  <si>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</si>
  <si>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</si>
  <si>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</si>
  <si>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</si>
  <si>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</si>
  <si>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</si>
  <si>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</si>
  <si>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</si>
  <si>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</si>
  <si>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</si>
  <si>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</si>
  <si>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</si>
  <si>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</si>
  <si>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</si>
  <si>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</si>
  <si>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</si>
  <si>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</si>
  <si>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</si>
  <si>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</si>
  <si>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</si>
  <si>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</si>
  <si>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</si>
  <si>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</si>
  <si>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</si>
  <si>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</si>
  <si>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</si>
  <si>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</si>
  <si>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</si>
  <si>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</si>
  <si>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</si>
  <si>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</si>
  <si>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</si>
  <si>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</si>
  <si>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</si>
  <si>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</si>
  <si>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</si>
  <si>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</si>
  <si>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</si>
  <si>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</si>
  <si>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</si>
  <si>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</si>
  <si>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</si>
  <si>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</si>
  <si>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</si>
  <si>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</si>
  <si>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</si>
  <si>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</si>
  <si>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</si>
  <si>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</si>
  <si>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</si>
  <si>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</si>
  <si>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</si>
  <si>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</si>
  <si>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</si>
  <si>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</si>
  <si>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</si>
  <si>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</si>
  <si>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</si>
  <si>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</si>
  <si>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</si>
  <si>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</si>
  <si>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</si>
  <si>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</si>
  <si>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</si>
  <si>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</si>
  <si>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</si>
  <si>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</si>
  <si>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</si>
  <si>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</si>
  <si>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</si>
  <si>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</si>
  <si>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</si>
  <si>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</si>
  <si>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</si>
  <si>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</si>
  <si>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</si>
  <si>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</si>
  <si>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</si>
  <si>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</si>
  <si>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</si>
  <si>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</si>
  <si>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</si>
  <si>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</si>
  <si>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</si>
  <si>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</si>
  <si>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</si>
  <si>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</si>
  <si>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</si>
  <si>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</si>
  <si>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</si>
  <si>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</si>
  <si>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</si>
  <si>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</si>
  <si>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</si>
  <si>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</si>
  <si>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</si>
  <si>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</si>
  <si>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</si>
  <si>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</si>
  <si>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</si>
  <si>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</si>
  <si>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</si>
  <si>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</si>
  <si>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</si>
  <si>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</si>
  <si>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</si>
  <si>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</si>
  <si>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</si>
  <si>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</si>
  <si>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</si>
  <si>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</si>
  <si>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</si>
  <si>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</si>
  <si>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</si>
  <si>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</si>
  <si>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</si>
  <si>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</si>
  <si>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</si>
  <si>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</si>
  <si>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</si>
  <si>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</si>
  <si>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</si>
  <si>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</si>
  <si>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</si>
  <si>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</si>
  <si>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</si>
  <si>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</si>
  <si>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</si>
  <si>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</si>
  <si>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</si>
  <si>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</si>
  <si>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</si>
  <si>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</si>
  <si>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</si>
  <si>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</si>
  <si>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</si>
  <si>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</si>
  <si>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</si>
  <si>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</si>
  <si>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</si>
  <si>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</si>
  <si>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</si>
  <si>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</si>
  <si>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</si>
  <si>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</si>
  <si>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</si>
  <si>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</si>
  <si>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</si>
  <si>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</si>
  <si>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</si>
  <si>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</si>
  <si>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</si>
  <si>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</si>
  <si>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</si>
  <si>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</si>
  <si>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</si>
  <si>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</si>
  <si>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</si>
  <si>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</si>
  <si>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</si>
  <si>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</si>
  <si>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</si>
  <si>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</si>
  <si>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</si>
  <si>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</si>
  <si>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</si>
  <si>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</si>
  <si>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</si>
  <si>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</si>
  <si>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</si>
  <si>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</si>
  <si>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</si>
  <si>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</si>
  <si>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</si>
  <si>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</si>
  <si>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</si>
  <si>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</si>
  <si>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</si>
  <si>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</si>
  <si>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</si>
  <si>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</si>
  <si>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</si>
  <si>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</si>
  <si>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</si>
  <si>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</si>
  <si>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</si>
  <si>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</si>
  <si>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</si>
  <si>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</si>
  <si>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</si>
  <si>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</si>
  <si>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</si>
  <si>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</si>
  <si>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</si>
  <si>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</si>
  <si>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</si>
  <si>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</si>
  <si>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</si>
  <si>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</si>
  <si>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</si>
  <si>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</si>
  <si>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</si>
  <si>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</si>
  <si>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</si>
  <si>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</si>
  <si>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</si>
  <si>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</si>
  <si>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</si>
  <si>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</si>
  <si>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</si>
  <si>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</si>
  <si>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</si>
  <si>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</si>
  <si>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</si>
  <si>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</si>
  <si>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</si>
  <si>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</si>
  <si>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</si>
  <si>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</si>
  <si>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</si>
  <si>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</si>
  <si>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</si>
  <si>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</si>
  <si>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</si>
  <si>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</si>
  <si>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</si>
  <si>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</si>
  <si>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</si>
  <si>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</si>
  <si>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</si>
  <si>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</si>
  <si>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</si>
  <si>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</si>
  <si>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</si>
  <si>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</si>
  <si>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</si>
  <si>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</si>
  <si>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</si>
  <si>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</si>
  <si>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</si>
  <si>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</si>
  <si>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</si>
  <si>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</si>
  <si>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</si>
  <si>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</si>
  <si>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</si>
  <si>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</si>
  <si>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</si>
  <si>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</si>
  <si>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</si>
  <si>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</si>
  <si>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</si>
  <si>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</si>
  <si>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</si>
  <si>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</si>
  <si>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</si>
  <si>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</si>
  <si>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</si>
  <si>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</si>
  <si>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</si>
  <si>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</si>
  <si>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</si>
  <si>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</si>
  <si>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</si>
  <si>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</si>
  <si>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</si>
  <si>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</si>
  <si>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</si>
  <si>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</si>
  <si>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</si>
  <si>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</si>
  <si>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</si>
  <si>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</si>
  <si>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</si>
  <si>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</si>
  <si>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</si>
  <si>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</si>
  <si>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</si>
  <si>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</si>
  <si>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</si>
  <si>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</si>
  <si>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</si>
  <si>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</si>
  <si>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</si>
  <si>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</si>
  <si>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</si>
  <si>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</si>
  <si>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</si>
  <si>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</si>
  <si>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</si>
  <si>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</si>
  <si>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</si>
  <si>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</si>
  <si>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</si>
  <si>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</si>
  <si>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</si>
  <si>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</si>
  <si>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</si>
  <si>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</si>
  <si>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</si>
  <si>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</si>
  <si>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</si>
  <si>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</si>
  <si>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</si>
  <si>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</si>
  <si>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</si>
  <si>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</si>
  <si>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</si>
  <si>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</si>
  <si>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</si>
  <si>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</si>
  <si>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</si>
  <si>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</si>
  <si>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</si>
  <si>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</si>
  <si>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</si>
  <si>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</si>
  <si>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</si>
  <si>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</si>
  <si>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</si>
  <si>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</si>
  <si>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</si>
  <si>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</si>
  <si>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</si>
  <si>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</si>
  <si>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</si>
  <si>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</si>
  <si>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</si>
  <si>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</si>
  <si>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</si>
  <si>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</si>
  <si>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</si>
  <si>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</si>
  <si>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</si>
  <si>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</si>
  <si>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</si>
  <si>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</si>
  <si>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</si>
  <si>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</si>
  <si>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</si>
  <si>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</si>
  <si>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</si>
  <si>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</si>
  <si>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</si>
  <si>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</si>
  <si>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</si>
  <si>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</si>
  <si>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</si>
  <si>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</si>
  <si>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</si>
  <si>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</si>
  <si>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</si>
  <si>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</si>
  <si>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</si>
  <si>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</si>
  <si>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</si>
  <si>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</si>
  <si>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</si>
  <si>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</si>
  <si>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</si>
  <si>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</si>
  <si>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</si>
  <si>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</si>
  <si>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</si>
  <si>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</si>
  <si>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</si>
  <si>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</si>
  <si>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</si>
  <si>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</si>
  <si>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</si>
  <si>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</si>
  <si>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</si>
  <si>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</si>
  <si>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</si>
  <si>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</si>
  <si>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</si>
  <si>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</si>
  <si>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</si>
  <si>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</si>
  <si>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</si>
  <si>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</si>
  <si>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</si>
  <si>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</si>
  <si>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</si>
  <si>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</si>
  <si>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</si>
  <si>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</si>
  <si>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</si>
  <si>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</si>
  <si>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</si>
  <si>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</si>
  <si>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</si>
  <si>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</si>
  <si>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</si>
  <si>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</si>
  <si>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</si>
  <si>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</si>
  <si>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</si>
  <si>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</si>
  <si>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</si>
  <si>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</si>
  <si>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</si>
  <si>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</si>
  <si>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</si>
  <si>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</si>
  <si>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</si>
  <si>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</si>
  <si>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</si>
  <si>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</si>
  <si>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</si>
  <si>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</si>
  <si>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</si>
  <si>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</si>
  <si>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</si>
  <si>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</si>
  <si>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</si>
  <si>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</si>
  <si>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</si>
  <si>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</si>
  <si>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</si>
  <si>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</si>
  <si>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</si>
  <si>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</si>
  <si>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</si>
  <si>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</si>
  <si>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</si>
  <si>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</si>
  <si>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</si>
  <si>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</si>
  <si>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</si>
  <si>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</si>
  <si>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</si>
  <si>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</si>
  <si>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</si>
  <si>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</si>
  <si>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</si>
  <si>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</si>
  <si>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</si>
  <si>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</si>
  <si>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</si>
  <si>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</si>
  <si>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</si>
  <si>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</si>
  <si>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</si>
  <si>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</si>
  <si>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</si>
  <si>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</si>
  <si>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</si>
  <si>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</si>
  <si>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</si>
  <si>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</si>
  <si>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</si>
  <si>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</si>
  <si>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</si>
  <si>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</si>
  <si>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</si>
  <si>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</si>
  <si>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</si>
  <si>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</si>
  <si>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</si>
  <si>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</si>
  <si>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</si>
  <si>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</si>
  <si>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</si>
  <si>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</si>
  <si>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</si>
  <si>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</si>
  <si>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</si>
  <si>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</si>
  <si>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</si>
  <si>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</si>
  <si>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</si>
  <si>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</si>
  <si>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</si>
  <si>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</si>
  <si>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</si>
  <si>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</si>
  <si>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</si>
  <si>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</si>
  <si>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</si>
  <si>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</si>
  <si>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</si>
  <si>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</si>
  <si>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</si>
  <si>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</si>
  <si>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</si>
  <si>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</si>
  <si>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</si>
  <si>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</si>
  <si>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</si>
  <si>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</si>
  <si>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</si>
  <si>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</si>
  <si>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</si>
  <si>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</si>
  <si>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</si>
  <si>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</si>
  <si>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</si>
  <si>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</si>
  <si>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</si>
  <si>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</si>
  <si>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</si>
  <si>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</si>
  <si>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</si>
  <si>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</si>
  <si>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</si>
  <si>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</si>
  <si>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</si>
  <si>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</si>
  <si>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</si>
  <si>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</si>
  <si>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</si>
  <si>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</si>
  <si>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</si>
  <si>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</si>
  <si>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</si>
  <si>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</si>
  <si>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</si>
  <si>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</si>
  <si>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</si>
  <si>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</si>
  <si>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</si>
  <si>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</si>
  <si>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</si>
  <si>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</si>
  <si>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</si>
  <si>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</si>
  <si>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</si>
  <si>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</si>
  <si>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</si>
  <si>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</si>
  <si>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</si>
  <si>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</si>
  <si>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</si>
  <si>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</si>
  <si>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</si>
  <si>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</si>
  <si>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</si>
  <si>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</si>
  <si>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</si>
  <si>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</si>
  <si>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</si>
  <si>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</si>
  <si>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</si>
  <si>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</si>
  <si>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</si>
  <si>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</si>
  <si>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</si>
  <si>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</si>
  <si>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</si>
  <si>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</si>
  <si>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</si>
  <si>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</si>
  <si>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</si>
  <si>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</si>
  <si>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</si>
  <si>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</si>
  <si>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</si>
  <si>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</si>
  <si>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</si>
  <si>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</si>
  <si>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</si>
  <si>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</si>
  <si>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</si>
  <si>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</si>
  <si>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</si>
  <si>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</si>
  <si>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</si>
  <si>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</si>
  <si>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</si>
  <si>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</si>
  <si>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</si>
  <si>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</si>
  <si>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</si>
  <si>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</si>
  <si>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</si>
  <si>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</si>
  <si>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</si>
  <si>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</si>
  <si>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</si>
  <si>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</si>
  <si>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</si>
  <si>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</si>
  <si>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</si>
  <si>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</si>
  <si>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</si>
  <si>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</si>
  <si>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</si>
  <si>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</si>
  <si>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</si>
  <si>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</si>
  <si>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</si>
  <si>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</si>
  <si>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</si>
  <si>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</si>
  <si>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</si>
  <si>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</si>
  <si>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</si>
  <si>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</si>
  <si>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</si>
  <si>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</si>
  <si>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</si>
  <si>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</si>
  <si>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</si>
  <si>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</si>
  <si>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</si>
  <si>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</si>
  <si>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</si>
  <si>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</si>
  <si>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</si>
  <si>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</si>
  <si>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</si>
  <si>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</si>
  <si>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</si>
  <si>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</si>
  <si>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</si>
  <si>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</si>
  <si>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</si>
  <si>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</si>
  <si>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</si>
  <si>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</si>
  <si>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</si>
  <si>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</si>
  <si>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</si>
  <si>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</si>
  <si>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</si>
  <si>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</si>
  <si>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</si>
  <si>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</si>
  <si>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</si>
  <si>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</si>
  <si>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</si>
  <si>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</si>
  <si>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</si>
  <si>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</si>
  <si>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</si>
  <si>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</si>
  <si>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</si>
  <si>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</si>
  <si>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</si>
  <si>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</si>
  <si>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</si>
  <si>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</si>
  <si>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</si>
  <si>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</si>
  <si>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</si>
  <si>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</si>
  <si>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</si>
  <si>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</si>
  <si>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</si>
  <si>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</si>
  <si>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</si>
  <si>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</si>
  <si>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</si>
  <si>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</si>
  <si>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</si>
  <si>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</si>
  <si>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</si>
  <si>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</si>
  <si>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</si>
  <si>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</si>
  <si>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</si>
  <si>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</si>
  <si>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</si>
  <si>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</si>
  <si>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</si>
  <si>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</si>
  <si>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</si>
  <si>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</si>
  <si>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</si>
  <si>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</si>
  <si>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</si>
  <si>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</si>
  <si>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</si>
  <si>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</si>
  <si>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</si>
  <si>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</si>
  <si>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</si>
  <si>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</si>
  <si>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</si>
  <si>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</si>
  <si>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</si>
  <si>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</si>
  <si>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</si>
  <si>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</si>
  <si>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</si>
  <si>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</si>
  <si>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</si>
  <si>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</si>
  <si>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</si>
  <si>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</si>
  <si>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</si>
  <si>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</si>
  <si>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</si>
  <si>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</si>
  <si>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</si>
  <si>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</si>
  <si>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</si>
  <si>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</si>
  <si>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</si>
  <si>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</si>
  <si>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</si>
  <si>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</si>
  <si>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</si>
  <si>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</si>
  <si>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</si>
  <si>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</si>
  <si>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</si>
  <si>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</si>
  <si>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</si>
  <si>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</si>
  <si>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</si>
  <si>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</si>
  <si>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</si>
  <si>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</si>
  <si>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</si>
  <si>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</si>
  <si>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</si>
  <si>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</si>
  <si>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</si>
  <si>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</si>
  <si>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</si>
  <si>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</si>
  <si>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</si>
  <si>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</si>
  <si>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</si>
  <si>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</si>
  <si>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</si>
  <si>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</si>
  <si>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</si>
  <si>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</si>
  <si>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</si>
  <si>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</si>
  <si>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</si>
  <si>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</si>
  <si>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</si>
  <si>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</si>
  <si>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</si>
  <si>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</si>
  <si>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</si>
  <si>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</si>
  <si>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</si>
  <si>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</si>
  <si>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</si>
  <si>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</si>
  <si>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</si>
  <si>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</si>
  <si>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</si>
  <si>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</si>
  <si>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</si>
  <si>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</si>
  <si>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</si>
  <si>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</si>
  <si>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</si>
  <si>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</si>
  <si>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</si>
  <si>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</si>
  <si>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</si>
  <si>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</si>
  <si>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</si>
  <si>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</si>
  <si>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</si>
  <si>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</si>
  <si>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</si>
  <si>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</si>
  <si>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</si>
  <si>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</si>
  <si>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</si>
  <si>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</si>
  <si>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</si>
  <si>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</si>
  <si>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</si>
  <si>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</si>
  <si>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</si>
  <si>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</si>
  <si>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</si>
  <si>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</si>
  <si>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</si>
  <si>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</si>
  <si>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</si>
  <si>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</si>
  <si>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</si>
  <si>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</si>
  <si>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</si>
  <si>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</si>
  <si>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</si>
  <si>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</si>
  <si>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</si>
  <si>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</si>
  <si>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</si>
  <si>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</si>
  <si>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</si>
  <si>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</si>
  <si>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</si>
  <si>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</si>
  <si>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</si>
  <si>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</si>
  <si>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</si>
  <si>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</si>
  <si>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</si>
  <si>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</si>
  <si>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</si>
  <si>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</si>
  <si>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</si>
  <si>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</si>
  <si>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</si>
  <si>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</si>
  <si>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</si>
  <si>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</si>
  <si>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</si>
  <si>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</si>
  <si>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</si>
  <si>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</si>
  <si>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</si>
  <si>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</si>
  <si>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</si>
  <si>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</si>
  <si>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</si>
  <si>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</si>
  <si>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</si>
  <si>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</si>
  <si>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</si>
  <si>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</si>
  <si>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</si>
  <si>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</si>
  <si>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</si>
  <si>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</si>
  <si>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</si>
  <si>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</si>
  <si>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</si>
  <si>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</si>
  <si>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</si>
  <si>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</si>
  <si>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</si>
  <si>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</si>
  <si>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</si>
  <si>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</si>
  <si>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</si>
  <si>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</si>
  <si>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</si>
  <si>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</si>
  <si>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</si>
  <si>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</si>
  <si>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</si>
  <si>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</si>
  <si>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</si>
  <si>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</si>
  <si>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</si>
  <si>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</si>
  <si>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</si>
  <si>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</si>
  <si>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</si>
  <si>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</si>
  <si>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</si>
  <si>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</si>
  <si>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</si>
  <si>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</si>
  <si>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</si>
  <si>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</si>
  <si>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</si>
  <si>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</si>
  <si>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</si>
  <si>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</si>
  <si>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</si>
  <si>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</si>
  <si>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</si>
  <si>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</si>
  <si>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</si>
  <si>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</si>
  <si>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</si>
  <si>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</si>
  <si>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</si>
  <si>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</si>
  <si>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</si>
  <si>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</si>
  <si>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</si>
  <si>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</si>
  <si>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</si>
  <si>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</si>
  <si>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</si>
  <si>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</si>
  <si>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</si>
  <si>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</si>
  <si>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</si>
  <si>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</si>
  <si>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</si>
  <si>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</si>
  <si>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</si>
  <si>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</si>
  <si>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</si>
  <si>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</si>
  <si>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</si>
  <si>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</si>
  <si>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</si>
  <si>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</si>
  <si>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</si>
  <si>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</si>
  <si>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</si>
  <si>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</si>
  <si>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</si>
  <si>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</si>
  <si>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</si>
  <si>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</si>
  <si>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</si>
  <si>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</si>
  <si>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</si>
  <si>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</si>
  <si>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</si>
  <si>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</si>
  <si>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</si>
  <si>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</si>
  <si>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</si>
  <si>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</si>
  <si>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</si>
  <si>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</si>
  <si>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</si>
  <si>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</si>
  <si>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</si>
  <si>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</si>
  <si>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</si>
  <si>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</si>
  <si>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</si>
  <si>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</si>
  <si>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</si>
  <si>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</si>
  <si>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</si>
  <si>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</si>
  <si>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</si>
  <si>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</si>
  <si>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</si>
  <si>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</si>
  <si>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</si>
  <si>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</si>
  <si>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</si>
  <si>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</si>
  <si>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</si>
  <si>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</si>
  <si>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</si>
  <si>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</si>
  <si>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</si>
  <si>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</si>
  <si>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</si>
  <si>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</si>
  <si>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</si>
  <si>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</si>
  <si>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</si>
  <si>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</si>
  <si>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</si>
  <si>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</si>
  <si>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</si>
  <si>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</si>
  <si>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</si>
  <si>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</si>
  <si>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</si>
  <si>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</si>
  <si>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</si>
  <si>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</si>
  <si>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</si>
  <si>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</si>
  <si>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</si>
  <si>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</si>
  <si>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</si>
  <si>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</si>
  <si>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</si>
  <si>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</si>
  <si>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</si>
  <si>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</si>
  <si>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</si>
  <si>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</si>
  <si>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</si>
  <si>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</si>
  <si>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</si>
  <si>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</si>
  <si>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</si>
  <si>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</si>
  <si>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</si>
  <si>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</si>
  <si>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</si>
  <si>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</si>
  <si>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</si>
  <si>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</si>
  <si>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</si>
  <si>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</si>
  <si>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</si>
  <si>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</si>
  <si>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</si>
  <si>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</si>
  <si>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</si>
  <si>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</si>
  <si>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</si>
  <si>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</si>
  <si>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</si>
  <si>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</si>
  <si>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</si>
  <si>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</si>
  <si>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</si>
  <si>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</si>
  <si>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</si>
  <si>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</si>
  <si>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</si>
  <si>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</si>
  <si>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</si>
  <si>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</si>
  <si>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</si>
  <si>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</si>
  <si>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</si>
  <si>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</si>
  <si>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</si>
  <si>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</si>
  <si>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</si>
  <si>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</si>
  <si>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</si>
  <si>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</si>
  <si>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</si>
  <si>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</si>
  <si>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</si>
  <si>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</si>
  <si>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</si>
  <si>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</si>
  <si>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</si>
  <si>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</si>
  <si>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</si>
  <si>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</si>
  <si>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</si>
  <si>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</si>
  <si>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</si>
  <si>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</si>
  <si>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</si>
  <si>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</si>
  <si>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</si>
  <si>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</si>
  <si>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</si>
  <si>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</si>
  <si>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</si>
  <si>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</si>
  <si>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</si>
  <si>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</si>
  <si>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</si>
  <si>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</si>
  <si>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</si>
  <si>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</si>
  <si>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</si>
  <si>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</si>
  <si>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</si>
  <si>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</si>
  <si>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</si>
  <si>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</si>
  <si>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</si>
  <si>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</si>
  <si>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</si>
  <si>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</si>
  <si>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</si>
  <si>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</si>
  <si>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</si>
  <si>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</si>
  <si>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</si>
  <si>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</si>
  <si>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</si>
  <si>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</si>
  <si>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</si>
  <si>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</si>
  <si>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</si>
  <si>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</si>
  <si>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</si>
  <si>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</si>
  <si>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</si>
  <si>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</si>
  <si>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</si>
  <si>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</si>
  <si>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</si>
  <si>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</si>
  <si>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</si>
  <si>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</si>
  <si>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</si>
  <si>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</si>
  <si>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</si>
  <si>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</si>
  <si>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</si>
  <si>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</si>
  <si>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</si>
  <si>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</si>
  <si>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</si>
  <si>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</si>
  <si>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</si>
  <si>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</si>
  <si>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</si>
  <si>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</si>
  <si>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</si>
  <si>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</si>
  <si>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</si>
  <si>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</si>
  <si>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</si>
  <si>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</si>
  <si>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</si>
  <si>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</si>
  <si>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</si>
  <si>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</si>
  <si>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</si>
  <si>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</si>
  <si>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</si>
  <si>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</si>
  <si>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</si>
  <si>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</si>
  <si>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</si>
  <si>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</si>
  <si>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</si>
  <si>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</si>
  <si>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</si>
  <si>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</si>
  <si>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</si>
  <si>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</si>
  <si>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</si>
  <si>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</si>
  <si>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</si>
  <si>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</si>
  <si>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</si>
  <si>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</si>
  <si>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</si>
  <si>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</si>
  <si>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</si>
  <si>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</si>
  <si>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</si>
  <si>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</si>
  <si>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</si>
  <si>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</si>
  <si>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</si>
  <si>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</si>
  <si>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</si>
  <si>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</si>
  <si>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</si>
  <si>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</si>
  <si>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</si>
  <si>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</si>
  <si>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</si>
  <si>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</si>
  <si>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</si>
  <si>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</si>
  <si>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</si>
  <si>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</si>
  <si>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</si>
  <si>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</si>
  <si>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</si>
  <si>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</si>
  <si>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</si>
  <si>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</si>
  <si>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</si>
  <si>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</si>
  <si>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</si>
  <si>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</si>
  <si>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</si>
  <si>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</si>
  <si>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</si>
  <si>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</si>
  <si>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</si>
  <si>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</si>
  <si>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</si>
  <si>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</si>
  <si>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</si>
  <si>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</si>
  <si>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</si>
  <si>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</si>
  <si>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</si>
  <si>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</si>
  <si>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</si>
  <si>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</si>
  <si>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</si>
  <si>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</si>
  <si>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</si>
  <si>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</si>
  <si>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</si>
  <si>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</si>
  <si>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</si>
  <si>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</si>
  <si>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</si>
  <si>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</si>
  <si>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</si>
  <si>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</si>
  <si>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</si>
  <si>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</si>
  <si>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</si>
  <si>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</si>
  <si>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</si>
  <si>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</si>
  <si>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</si>
  <si>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</si>
  <si>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</si>
  <si>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</si>
  <si>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</si>
  <si>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</si>
  <si>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</si>
  <si>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</si>
  <si>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</si>
  <si>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</si>
  <si>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</si>
  <si>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</si>
  <si>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</si>
  <si>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</si>
  <si>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</si>
  <si>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</si>
  <si>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</si>
  <si>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</si>
  <si>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</si>
  <si>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</si>
  <si>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</si>
  <si>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</si>
  <si>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</si>
  <si>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</si>
  <si>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</si>
  <si>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</si>
  <si>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</si>
  <si>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</si>
  <si>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</si>
  <si>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</si>
  <si>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</si>
  <si>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</si>
  <si>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</si>
  <si>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</si>
  <si>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</si>
  <si>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</si>
  <si>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</si>
  <si>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</si>
  <si>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</si>
  <si>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</si>
  <si>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</si>
  <si>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</si>
  <si>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</si>
  <si>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</si>
  <si>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</si>
  <si>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</si>
  <si>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</si>
  <si>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</si>
  <si>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</si>
  <si>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</si>
  <si>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</si>
  <si>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</si>
  <si>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</si>
  <si>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</si>
  <si>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</si>
  <si>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</si>
  <si>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</si>
  <si>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</si>
  <si>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</si>
  <si>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</si>
  <si>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</si>
  <si>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</si>
  <si>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</si>
  <si>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</si>
  <si>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</si>
  <si>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</si>
  <si>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</si>
  <si>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</si>
  <si>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</si>
  <si>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</si>
  <si>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</si>
  <si>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</si>
  <si>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</si>
  <si>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</si>
  <si>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</si>
  <si>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</si>
  <si>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</si>
  <si>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</si>
  <si>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</si>
  <si>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</si>
  <si>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</si>
  <si>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</si>
  <si>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</si>
  <si>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</si>
  <si>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</si>
  <si>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</si>
  <si>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</si>
  <si>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</si>
  <si>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</si>
  <si>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</si>
  <si>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</si>
  <si>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</si>
  <si>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</si>
  <si>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</si>
  <si>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</si>
  <si>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</si>
  <si>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</si>
  <si>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</si>
  <si>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</si>
  <si>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</si>
  <si>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</si>
  <si>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</si>
  <si>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</si>
  <si>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</si>
  <si>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</si>
  <si>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</si>
  <si>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</si>
  <si>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</si>
  <si>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</si>
  <si>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</si>
  <si>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</si>
  <si>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</si>
  <si>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</si>
  <si>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</si>
  <si>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</si>
  <si>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</si>
  <si>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</si>
  <si>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</si>
  <si>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</si>
  <si>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</si>
  <si>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</si>
  <si>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</si>
  <si>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</si>
  <si>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</si>
  <si>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</si>
  <si>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</si>
  <si>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</si>
  <si>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</si>
  <si>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</si>
  <si>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</si>
  <si>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</si>
  <si>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</si>
  <si>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</si>
  <si>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</si>
  <si>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</si>
  <si>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</si>
  <si>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</si>
  <si>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</si>
  <si>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</si>
  <si>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</si>
  <si>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</si>
  <si>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</si>
  <si>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</si>
  <si>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</si>
  <si>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</si>
  <si>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</si>
  <si>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</si>
  <si>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</si>
  <si>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</si>
  <si>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</si>
  <si>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</si>
  <si>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</si>
  <si>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</si>
  <si>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</si>
  <si>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</si>
  <si>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</si>
  <si>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</si>
  <si>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</si>
  <si>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</si>
  <si>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</si>
  <si>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</si>
  <si>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</si>
  <si>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</si>
  <si>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</si>
  <si>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</si>
  <si>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</si>
  <si>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</si>
  <si>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</si>
  <si>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</si>
  <si>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</si>
  <si>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</si>
  <si>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</si>
  <si>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</si>
  <si>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</si>
  <si>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</si>
  <si>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</si>
  <si>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</si>
  <si>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</si>
  <si>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</si>
  <si>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</si>
  <si>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</si>
  <si>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</si>
  <si>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</si>
  <si>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</si>
  <si>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</si>
  <si>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</si>
  <si>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</si>
  <si>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</si>
  <si>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</si>
  <si>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</si>
  <si>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</si>
  <si>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</si>
  <si>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</si>
  <si>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</si>
  <si>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</si>
  <si>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</si>
  <si>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</si>
  <si>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</si>
  <si>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</si>
  <si>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</si>
  <si>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</si>
  <si>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</si>
  <si>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</si>
  <si>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</si>
  <si>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</si>
  <si>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</si>
  <si>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</si>
  <si>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</si>
  <si>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</si>
  <si>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</si>
  <si>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</si>
  <si>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</si>
  <si>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</si>
  <si>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</si>
  <si>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</si>
  <si>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</si>
  <si>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</si>
  <si>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</si>
  <si>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</si>
  <si>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</si>
  <si>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</si>
  <si>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</si>
  <si>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</si>
  <si>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</si>
  <si>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</si>
  <si>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</si>
  <si>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</si>
  <si>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</si>
  <si>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</si>
  <si>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</si>
  <si>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</si>
  <si>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</si>
  <si>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</si>
  <si>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</si>
  <si>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</si>
  <si>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</si>
  <si>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</si>
  <si>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</si>
  <si>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</si>
  <si>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</si>
  <si>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</si>
  <si>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</si>
  <si>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</si>
  <si>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</si>
  <si>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</si>
  <si>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</si>
  <si>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</si>
  <si>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</si>
  <si>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</si>
  <si>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</si>
  <si>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</si>
  <si>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</si>
  <si>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</si>
  <si>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</si>
  <si>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</si>
  <si>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</si>
  <si>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</si>
  <si>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</si>
  <si>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</si>
  <si>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</si>
  <si>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</si>
  <si>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</si>
  <si>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</si>
  <si>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</si>
  <si>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</si>
  <si>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</si>
  <si>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</si>
  <si>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</si>
  <si>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</si>
  <si>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</si>
  <si>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</si>
  <si>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</si>
  <si>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</si>
  <si>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</si>
  <si>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</si>
  <si>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</si>
  <si>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</si>
  <si>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</si>
  <si>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</si>
  <si>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</si>
  <si>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</si>
  <si>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</si>
  <si>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</si>
  <si>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</si>
  <si>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</si>
  <si>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</si>
  <si>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</si>
  <si>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</si>
  <si>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</si>
  <si>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</si>
  <si>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</si>
  <si>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</si>
  <si>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</si>
  <si>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</si>
  <si>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</si>
  <si>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</si>
  <si>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</si>
  <si>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</si>
  <si>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</si>
  <si>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</si>
  <si>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</si>
  <si>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</si>
  <si>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</si>
  <si>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</si>
  <si>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</si>
  <si>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</si>
  <si>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</si>
  <si>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</si>
  <si>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</si>
  <si>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</si>
  <si>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</si>
  <si>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</si>
  <si>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</si>
  <si>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</si>
  <si>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</si>
  <si>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</si>
  <si>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</si>
  <si>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</si>
  <si>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</si>
  <si>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</si>
  <si>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</si>
  <si>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</si>
  <si>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</si>
  <si>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</si>
  <si>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</si>
  <si>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</si>
  <si>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</si>
  <si>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</si>
  <si>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</si>
  <si>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</si>
  <si>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</si>
  <si>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</si>
  <si>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</si>
  <si>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</si>
  <si>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</si>
  <si>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</si>
  <si>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</si>
  <si>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</si>
  <si>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</si>
  <si>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</si>
  <si>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</si>
  <si>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</si>
  <si>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</si>
  <si>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</si>
  <si>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</si>
  <si>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</si>
  <si>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</si>
  <si>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</si>
  <si>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</si>
  <si>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</si>
  <si>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</si>
  <si>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</si>
  <si>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</si>
  <si>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</si>
  <si>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</si>
  <si>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</si>
  <si>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</si>
  <si>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</si>
  <si>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</si>
  <si>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</si>
  <si>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</si>
  <si>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</si>
  <si>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</si>
  <si>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</si>
  <si>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</si>
  <si>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</si>
  <si>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</si>
  <si>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</si>
  <si>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</si>
  <si>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</si>
  <si>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</si>
  <si>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</si>
  <si>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</si>
  <si>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</si>
  <si>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</si>
  <si>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</si>
  <si>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</si>
  <si>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</si>
  <si>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</si>
  <si>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</si>
  <si>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</si>
  <si>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</si>
  <si>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</si>
  <si>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</si>
  <si>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</si>
  <si>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</si>
  <si>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</si>
  <si>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</si>
  <si>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</si>
  <si>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</si>
  <si>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</si>
  <si>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</si>
  <si>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</si>
  <si>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</si>
  <si>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</si>
  <si>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</si>
  <si>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</si>
  <si>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</si>
  <si>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</si>
  <si>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</si>
  <si>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</si>
  <si>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</si>
  <si>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</si>
  <si>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</si>
  <si>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</si>
  <si>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</si>
  <si>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</si>
  <si>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</si>
  <si>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</si>
  <si>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</si>
  <si>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</si>
  <si>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</si>
  <si>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</si>
  <si>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</si>
  <si>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</si>
  <si>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</si>
  <si>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</si>
  <si>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</si>
  <si>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</si>
  <si>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</si>
  <si>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</si>
  <si>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</si>
  <si>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</si>
  <si>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</si>
  <si>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</si>
  <si>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</si>
  <si>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</si>
  <si>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</si>
  <si>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</si>
  <si>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</si>
  <si>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</si>
  <si>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</si>
  <si>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</si>
  <si>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</si>
  <si>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</si>
  <si>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</si>
  <si>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</si>
  <si>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</si>
  <si>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</si>
  <si>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</si>
  <si>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</si>
  <si>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</si>
  <si>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</si>
  <si>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</si>
  <si>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</si>
  <si>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</si>
  <si>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</si>
  <si>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</si>
  <si>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</si>
  <si>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</si>
  <si>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</si>
  <si>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</si>
  <si>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</si>
  <si>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</si>
  <si>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</si>
  <si>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</si>
  <si>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</si>
  <si>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</si>
  <si>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</si>
  <si>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</si>
  <si>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</si>
  <si>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</si>
  <si>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</si>
  <si>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</si>
  <si>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</si>
  <si>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</si>
  <si>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</si>
  <si>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</si>
  <si>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</si>
  <si>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</si>
  <si>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</si>
  <si>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</si>
  <si>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</si>
  <si>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</si>
  <si>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</si>
  <si>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</si>
  <si>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</si>
  <si>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</si>
  <si>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</si>
  <si>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</si>
  <si>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</si>
  <si>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</si>
  <si>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</si>
  <si>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</si>
  <si>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</si>
  <si>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</si>
  <si>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</si>
  <si>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</si>
  <si>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</si>
  <si>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</si>
  <si>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</si>
  <si>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</si>
  <si>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</si>
  <si>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</si>
  <si>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</si>
  <si>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</si>
  <si>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</si>
  <si>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</si>
  <si>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</si>
  <si>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</si>
  <si>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</si>
  <si>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</si>
  <si>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</si>
  <si>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</si>
  <si>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</si>
  <si>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</si>
  <si>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</si>
  <si>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</si>
  <si>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</si>
  <si>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</si>
  <si>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</si>
  <si>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</si>
  <si>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</si>
  <si>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</si>
  <si>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</si>
  <si>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</si>
  <si>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</si>
  <si>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</si>
  <si>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</si>
  <si>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</si>
  <si>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</si>
  <si>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</si>
  <si>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</si>
  <si>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</si>
  <si>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</si>
  <si>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</si>
  <si>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</si>
  <si>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</si>
  <si>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</si>
  <si>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</si>
  <si>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</si>
  <si>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</si>
  <si>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</si>
  <si>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</si>
  <si>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</si>
  <si>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</si>
  <si>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</si>
  <si>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</si>
  <si>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</si>
  <si>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</si>
  <si>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</si>
  <si>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</si>
  <si>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</si>
  <si>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</si>
  <si>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</si>
  <si>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</si>
  <si>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</si>
  <si>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</si>
  <si>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</si>
  <si>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</si>
  <si>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</si>
  <si>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</si>
  <si>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</si>
  <si>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</si>
  <si>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</si>
  <si>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</si>
  <si>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</si>
  <si>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</si>
  <si>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</si>
  <si>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</si>
  <si>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</si>
  <si>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</si>
  <si>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</si>
  <si>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</si>
  <si>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</si>
  <si>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</si>
  <si>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</si>
  <si>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</si>
  <si>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</si>
  <si>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</si>
  <si>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</si>
  <si>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</si>
  <si>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</si>
  <si>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</si>
  <si>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</si>
  <si>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</si>
  <si>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</si>
  <si>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</si>
  <si>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</si>
  <si>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</si>
  <si>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</si>
  <si>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</si>
  <si>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</si>
  <si>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</si>
  <si>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</si>
  <si>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</si>
  <si>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</si>
  <si>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</si>
  <si>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</si>
  <si>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</si>
  <si>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</si>
  <si>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</si>
  <si>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</si>
  <si>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</si>
  <si>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</si>
  <si>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</si>
  <si>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</si>
  <si>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</si>
  <si>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</si>
  <si>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</si>
  <si>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</si>
  <si>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</si>
  <si>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</si>
  <si>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</si>
  <si>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</si>
  <si>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</si>
  <si>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</si>
  <si>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</si>
  <si>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</si>
  <si>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</si>
  <si>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</si>
  <si>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</si>
  <si>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</si>
  <si>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</si>
  <si>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</si>
  <si>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</si>
  <si>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</si>
  <si>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</si>
  <si>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</si>
  <si>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</si>
  <si>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</si>
  <si>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</si>
  <si>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</si>
  <si>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</si>
  <si>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</si>
  <si>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</si>
  <si>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</si>
  <si>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</si>
  <si>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</si>
  <si>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</si>
  <si>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</si>
  <si>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</si>
  <si>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</si>
  <si>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</si>
  <si>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</si>
  <si>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</si>
  <si>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</si>
  <si>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</si>
  <si>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</si>
  <si>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</si>
  <si>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</si>
  <si>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</si>
  <si>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</si>
  <si>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</si>
  <si>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</si>
  <si>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</si>
  <si>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</si>
  <si>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</si>
  <si>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</si>
  <si>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</si>
  <si>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</si>
  <si>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</si>
  <si>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</si>
  <si>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</si>
  <si>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</si>
  <si>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</si>
  <si>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</si>
  <si>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</si>
  <si>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</si>
  <si>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</si>
  <si>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</si>
  <si>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</si>
  <si>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</si>
  <si>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</si>
  <si>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</si>
  <si>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</si>
  <si>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</si>
  <si>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</si>
  <si>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</si>
  <si>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</si>
  <si>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</si>
  <si>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</si>
  <si>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</si>
  <si>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</si>
  <si>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</si>
  <si>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</si>
  <si>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</si>
  <si>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</si>
  <si>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</si>
  <si>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</si>
  <si>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</si>
  <si>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</si>
  <si>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</si>
  <si>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</si>
  <si>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</si>
  <si>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</si>
  <si>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</si>
  <si>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</si>
  <si>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</si>
  <si>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</si>
  <si>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</si>
  <si>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</si>
  <si>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</si>
  <si>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</si>
  <si>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</si>
  <si>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</si>
  <si>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</si>
  <si>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</si>
  <si>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</si>
  <si>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</si>
  <si>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</si>
  <si>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</si>
  <si>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</si>
  <si>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</si>
  <si>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</si>
  <si>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</si>
  <si>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</si>
  <si>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</si>
  <si>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</si>
  <si>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</si>
  <si>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</si>
  <si>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</si>
  <si>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</si>
  <si>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</si>
  <si>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</si>
  <si>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</si>
  <si>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</si>
  <si>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</si>
  <si>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</si>
  <si>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</si>
  <si>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</si>
  <si>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</si>
  <si>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</si>
  <si>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</si>
  <si>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</si>
  <si>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</si>
  <si>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</si>
  <si>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</si>
  <si>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</si>
  <si>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</si>
  <si>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</si>
  <si>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</si>
  <si>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</si>
  <si>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</si>
  <si>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</si>
  <si>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</si>
  <si>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</si>
  <si>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</si>
  <si>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</si>
  <si>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</si>
  <si>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</si>
  <si>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</si>
  <si>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</si>
  <si>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</si>
  <si>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</si>
  <si>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</si>
  <si>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</si>
  <si>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</si>
  <si>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</si>
  <si>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</si>
  <si>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</si>
  <si>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</si>
  <si>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</si>
  <si>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</si>
  <si>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</si>
  <si>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</si>
  <si>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</si>
  <si>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</si>
  <si>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</si>
  <si>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</si>
  <si>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</si>
  <si>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</si>
  <si>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</si>
  <si>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</si>
  <si>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</si>
  <si>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</si>
  <si>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</si>
  <si>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</si>
  <si>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</si>
  <si>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</si>
  <si>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</si>
  <si>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</si>
  <si>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</si>
  <si>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</si>
  <si>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</si>
  <si>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</si>
  <si>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</si>
  <si>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</si>
  <si>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</si>
  <si>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</si>
  <si>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</si>
  <si>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</si>
  <si>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</si>
  <si>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</si>
  <si>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</si>
  <si>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</si>
  <si>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</si>
  <si>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</si>
  <si>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</si>
  <si>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</si>
  <si>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</si>
  <si>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</si>
  <si>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</si>
  <si>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</si>
  <si>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</si>
  <si>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</si>
  <si>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</si>
  <si>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</si>
  <si>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</si>
  <si>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</si>
  <si>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</si>
  <si>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</si>
  <si>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</si>
  <si>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</si>
  <si>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</si>
  <si>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</si>
  <si>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</si>
  <si>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</si>
  <si>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</si>
  <si>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</si>
  <si>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</si>
  <si>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</si>
  <si>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</si>
  <si>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</si>
  <si>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</si>
  <si>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</si>
  <si>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</si>
  <si>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</si>
  <si>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</si>
  <si>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</si>
  <si>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</si>
  <si>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</si>
  <si>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</si>
  <si>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</si>
  <si>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</si>
  <si>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</si>
  <si>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</si>
  <si>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</si>
  <si>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</si>
  <si>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</si>
  <si>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</si>
  <si>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</si>
  <si>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</si>
  <si>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</si>
  <si>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</si>
  <si>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</si>
  <si>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</si>
  <si>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</si>
  <si>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</si>
  <si>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</si>
  <si>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</si>
  <si>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</si>
  <si>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</si>
  <si>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</si>
  <si>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</si>
  <si>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</si>
  <si>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</si>
  <si>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</si>
  <si>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</si>
  <si>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</si>
  <si>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</si>
  <si>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</si>
  <si>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</si>
  <si>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</si>
  <si>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</si>
  <si>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</si>
  <si>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</si>
  <si>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</si>
  <si>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</si>
  <si>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</si>
  <si>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</si>
  <si>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</si>
  <si>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</si>
  <si>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</si>
  <si>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</si>
  <si>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</si>
  <si>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</si>
  <si>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</si>
  <si>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</si>
  <si>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</si>
  <si>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</si>
  <si>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</si>
  <si>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</si>
  <si>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</si>
  <si>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</si>
  <si>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</si>
  <si>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</si>
  <si>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</si>
  <si>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</si>
  <si>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</si>
  <si>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</si>
  <si>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</si>
  <si>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</si>
  <si>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</si>
  <si>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</si>
  <si>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</si>
  <si>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</si>
  <si>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</si>
  <si>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</si>
  <si>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</si>
  <si>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</si>
  <si>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</si>
  <si>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</si>
  <si>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</si>
  <si>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</si>
  <si>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</si>
  <si>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</si>
  <si>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</si>
  <si>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</si>
  <si>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</si>
  <si>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</si>
  <si>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</si>
  <si>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</si>
  <si>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</si>
  <si>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</si>
  <si>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</si>
  <si>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</si>
  <si>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</si>
  <si>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</si>
  <si>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</si>
  <si>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</si>
  <si>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</si>
  <si>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</si>
  <si>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</si>
  <si>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</si>
  <si>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</si>
  <si>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</si>
  <si>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</si>
  <si>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</si>
  <si>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</si>
  <si>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</si>
  <si>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</si>
  <si>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</si>
  <si>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</si>
  <si>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</si>
  <si>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</si>
  <si>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</si>
  <si>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</si>
  <si>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</si>
  <si>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</si>
  <si>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</si>
  <si>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</si>
  <si>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</si>
  <si>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</si>
  <si>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</si>
  <si>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</si>
  <si>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</si>
  <si>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</si>
  <si>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</si>
  <si>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</si>
  <si>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</si>
  <si>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</si>
  <si>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</si>
  <si>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</si>
  <si>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</si>
  <si>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</si>
  <si>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</si>
  <si>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</si>
  <si>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</si>
  <si>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</si>
  <si>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</si>
  <si>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</si>
  <si>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</si>
  <si>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</si>
  <si>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</si>
  <si>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</si>
  <si>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</si>
  <si>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</si>
  <si>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</si>
  <si>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</si>
  <si>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</si>
  <si>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</si>
  <si>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</si>
  <si>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</si>
  <si>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</si>
  <si>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</si>
  <si>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</si>
  <si>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</si>
  <si>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</si>
  <si>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</si>
  <si>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</si>
  <si>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</si>
  <si>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</si>
  <si>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</si>
  <si>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</si>
  <si>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</si>
  <si>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</si>
  <si>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</si>
  <si>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</si>
  <si>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</si>
  <si>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</si>
  <si>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</si>
  <si>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</si>
  <si>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</si>
  <si>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</si>
  <si>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</si>
  <si>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</si>
  <si>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</si>
  <si>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</si>
  <si>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</si>
  <si>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</si>
  <si>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</si>
  <si>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</si>
  <si>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</si>
  <si>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</si>
  <si>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</si>
  <si>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</si>
  <si>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</si>
  <si>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</si>
  <si>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</si>
  <si>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</si>
  <si>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</si>
  <si>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</si>
  <si>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</si>
  <si>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</si>
  <si>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</si>
  <si>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</si>
  <si>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</si>
  <si>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</si>
  <si>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其他：</t>
  </si>
  <si>
    <t>企业</t>
  </si>
  <si>
    <t>城镇住宅用地</t>
    <phoneticPr fontId="6" type="noConversion"/>
  </si>
  <si>
    <t>住宅</t>
    <phoneticPr fontId="6" type="noConversion"/>
  </si>
  <si>
    <t>一致</t>
  </si>
  <si>
    <t>出让</t>
  </si>
  <si>
    <t>公寓</t>
  </si>
  <si>
    <t>综合楼</t>
  </si>
  <si>
    <t>商业街</t>
  </si>
  <si>
    <t>底商</t>
  </si>
  <si>
    <t>地上</t>
  </si>
  <si>
    <t>地下</t>
  </si>
  <si>
    <t>车库</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</si>
  <si>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</si>
  <si>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</si>
  <si>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</si>
  <si>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</si>
  <si>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</si>
  <si>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综合楼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</si>
  <si>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</si>
  <si>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城市</t>
  </si>
  <si>
    <t>用地性质</t>
  </si>
  <si>
    <t>出让方式</t>
  </si>
  <si>
    <t>建设用地面积(㎡)</t>
  </si>
  <si>
    <t>规划建筑面积(㎡)</t>
  </si>
  <si>
    <t>截止日期</t>
  </si>
  <si>
    <t>受让单位</t>
  </si>
  <si>
    <t>起始价(万元)</t>
  </si>
  <si>
    <t>成交价(万元)</t>
  </si>
  <si>
    <t>成交楼面价(元/㎡)</t>
  </si>
  <si>
    <t>溢价率</t>
  </si>
  <si>
    <t>2016-04-15</t>
  </si>
  <si>
    <t>2016-03-11</t>
  </si>
  <si>
    <t>2016-03-09</t>
  </si>
  <si>
    <t>正常</t>
  </si>
  <si>
    <t>较好</t>
  </si>
  <si>
    <t>单面临街</t>
  </si>
  <si>
    <t>主干道</t>
    <phoneticPr fontId="26" type="noConversion"/>
  </si>
  <si>
    <t>次干道</t>
    <phoneticPr fontId="26" type="noConversion"/>
  </si>
  <si>
    <t>剩余法-待开发</t>
  </si>
  <si>
    <t>比较法-住宅、综合</t>
  </si>
  <si>
    <t>楼面地价</t>
  </si>
  <si>
    <t>估价对象位于椰海大道南侧，周边办公楼项目一般，办公集聚程度一般</t>
    <phoneticPr fontId="3" type="noConversion"/>
  </si>
  <si>
    <t>较好</t>
    <phoneticPr fontId="21"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</si>
  <si>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</si>
  <si>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</si>
  <si>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</si>
  <si>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</si>
  <si>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</si>
  <si>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</si>
  <si>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</si>
  <si>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</si>
  <si>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</si>
  <si>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</si>
  <si>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</si>
  <si>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好</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</si>
  <si>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</si>
  <si>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住宅</t>
    <phoneticPr fontId="233" type="noConversion"/>
  </si>
  <si>
    <t>地块名称</t>
    <phoneticPr fontId="3" type="noConversion"/>
  </si>
  <si>
    <t>津南区北闸口镇地块</t>
  </si>
  <si>
    <t>天津市</t>
  </si>
  <si>
    <t>住宅用地</t>
  </si>
  <si>
    <t>＞1.0且≤1.2</t>
  </si>
  <si>
    <t>挂牌</t>
  </si>
  <si>
    <t>2017-08-25</t>
  </si>
  <si>
    <t>禹洲</t>
  </si>
  <si>
    <t>津南区北闸口镇</t>
  </si>
  <si>
    <t>综合用地(含住宅)</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</si>
  <si>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</si>
  <si>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</si>
  <si>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</si>
  <si>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</si>
  <si>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</si>
  <si>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</si>
  <si>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</si>
  <si>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</si>
  <si>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</si>
  <si>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</si>
  <si>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</si>
  <si>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</si>
  <si>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津南区咸水沽镇</t>
  </si>
  <si>
    <t>综合容积率:1.486</t>
  </si>
  <si>
    <t>2016-09-29</t>
  </si>
  <si>
    <t>恒大地产集团天津有限公司</t>
  </si>
  <si>
    <t>商业≤2.4;住宅≤2;住宅≤1</t>
  </si>
  <si>
    <t>新城万博置业有限公司</t>
  </si>
  <si>
    <t>天津海河教育园区同砚路与雅馨路交口西南侧</t>
  </si>
  <si>
    <t>≤1.3499</t>
  </si>
  <si>
    <t>北京卓信瑞通投资有限公司</t>
  </si>
  <si>
    <t>天津海河教育园区同砚路与雅馨路交口东南侧</t>
  </si>
  <si>
    <t>天津旭浩房地产开发有限公司</t>
  </si>
  <si>
    <t>天津海河教育园区泰明路与雅馨路交口西南侧</t>
  </si>
  <si>
    <t>≤1.399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</si>
  <si>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</si>
  <si>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</si>
  <si>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</si>
  <si>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</si>
  <si>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</si>
  <si>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</si>
  <si>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津南区辛庄镇</t>
  </si>
  <si>
    <t>≥1,≤1.8</t>
  </si>
  <si>
    <t>2015-10-22</t>
  </si>
  <si>
    <t>天津和纵联横房地产信息咨询有限公司</t>
  </si>
  <si>
    <t>＞1,≤1.6</t>
  </si>
  <si>
    <t>2015-08-14</t>
  </si>
  <si>
    <t>天津福泽红磡资产管理有限公司</t>
  </si>
  <si>
    <t>住宅</t>
    <phoneticPr fontId="26" type="noConversion"/>
  </si>
  <si>
    <t>天津市</t>
    <phoneticPr fontId="6" type="noConversion"/>
  </si>
  <si>
    <t>天津滨涪置业有限公司</t>
    <phoneticPr fontId="6" type="noConversion"/>
  </si>
  <si>
    <t>《房地所有权证》[房地证津字第112051300149号]</t>
    <phoneticPr fontId="6" type="noConversion"/>
  </si>
  <si>
    <t>普通住宅</t>
  </si>
  <si>
    <t>幼儿园</t>
    <phoneticPr fontId="14" type="noConversion"/>
  </si>
  <si>
    <t>正常</t>
    <phoneticPr fontId="21" type="noConversion"/>
  </si>
  <si>
    <t>正常</t>
    <phoneticPr fontId="21" type="noConversion"/>
  </si>
  <si>
    <t>售价</t>
  </si>
  <si>
    <t>70</t>
    <phoneticPr fontId="26" type="noConversion"/>
  </si>
  <si>
    <t>70</t>
    <phoneticPr fontId="26" type="noConversion"/>
  </si>
  <si>
    <t>联排</t>
  </si>
  <si>
    <t>联排</t>
    <phoneticPr fontId="3" type="noConversion"/>
  </si>
  <si>
    <t>中高层</t>
  </si>
  <si>
    <t>中高层</t>
    <phoneticPr fontId="3" type="noConversion"/>
  </si>
  <si>
    <t>叠拼</t>
  </si>
  <si>
    <t>叠拼</t>
    <phoneticPr fontId="3" type="noConversion"/>
  </si>
  <si>
    <t>地下车库</t>
    <phoneticPr fontId="3" type="noConversion"/>
  </si>
  <si>
    <t>附属用房</t>
    <phoneticPr fontId="3" type="noConversion"/>
  </si>
  <si>
    <t>洋房</t>
  </si>
  <si>
    <t>洋房</t>
    <phoneticPr fontId="3" type="noConversion"/>
  </si>
  <si>
    <t>层数</t>
    <phoneticPr fontId="233" type="noConversion"/>
  </si>
  <si>
    <t>地上</t>
    <phoneticPr fontId="233" type="noConversion"/>
  </si>
  <si>
    <t>地下</t>
    <phoneticPr fontId="233" type="noConversion"/>
  </si>
  <si>
    <t>合计</t>
    <phoneticPr fontId="233" type="noConversion"/>
  </si>
  <si>
    <t>联排</t>
    <phoneticPr fontId="233" type="noConversion"/>
  </si>
  <si>
    <t>叠拼</t>
    <phoneticPr fontId="233" type="noConversion"/>
  </si>
  <si>
    <t>洋房</t>
    <phoneticPr fontId="233" type="noConversion"/>
  </si>
  <si>
    <t>中高层</t>
    <phoneticPr fontId="233" type="noConversion"/>
  </si>
  <si>
    <t>车库</t>
    <phoneticPr fontId="233" type="noConversion"/>
  </si>
  <si>
    <t>地上设备</t>
    <phoneticPr fontId="233" type="noConversion"/>
  </si>
  <si>
    <t>地下设备</t>
    <phoneticPr fontId="233" type="noConversion"/>
  </si>
  <si>
    <t>中高层</t>
    <phoneticPr fontId="7" type="noConversion"/>
  </si>
  <si>
    <t>洋房</t>
    <phoneticPr fontId="7" type="noConversion"/>
  </si>
  <si>
    <t>联排</t>
    <phoneticPr fontId="7" type="noConversion"/>
  </si>
  <si>
    <t>叠拼</t>
    <phoneticPr fontId="7" type="noConversion"/>
  </si>
  <si>
    <t>地下车库</t>
    <phoneticPr fontId="7" type="noConversion"/>
  </si>
  <si>
    <t>幼儿园</t>
    <phoneticPr fontId="233" type="noConversion"/>
  </si>
  <si>
    <t>幼儿园</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</si>
  <si>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中高层</t>
    </r>
    <phoneticPr fontId="14" type="noConversion"/>
  </si>
  <si>
    <r>
      <t>不动产比较法</t>
    </r>
    <r>
      <rPr>
        <sz val="11"/>
        <color theme="1"/>
        <rFont val="Arial"/>
        <family val="2"/>
      </rPr>
      <t>-</t>
    </r>
    <r>
      <rPr>
        <sz val="11"/>
        <color theme="1"/>
        <rFont val="宋体"/>
        <family val="3"/>
        <charset val="134"/>
      </rPr>
      <t>联排</t>
    </r>
  </si>
  <si>
    <t>一般</t>
  </si>
  <si>
    <t>钱隆学府</t>
    <phoneticPr fontId="233" type="noConversion"/>
  </si>
  <si>
    <t>天山龙玺</t>
    <phoneticPr fontId="233" type="noConversion"/>
  </si>
  <si>
    <t>大唐盛世</t>
    <phoneticPr fontId="233" type="noConversion"/>
  </si>
  <si>
    <t>估价对象、居住小区规模及数量一般，社区发展完善程度一般，综合评价居住社区成熟度一般</t>
    <phoneticPr fontId="3" type="noConversion"/>
  </si>
  <si>
    <t>估价对象位于椰海大道南侧，周边商业氛围一般，人流量一般，商业繁华度一般</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</si>
  <si>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津塘公路</t>
    </r>
    <phoneticPr fontId="21" type="noConversion"/>
  </si>
  <si>
    <t>区域内无特殊自然环境及大学，综合评价环境状况一般</t>
    <phoneticPr fontId="3" type="noConversion"/>
  </si>
  <si>
    <t>区域内无特殊自然环境及大学，综合评价环境状况一般</t>
    <phoneticPr fontId="21" type="noConversion"/>
  </si>
  <si>
    <t>七通一平</t>
  </si>
  <si>
    <t>七通一平</t>
    <phoneticPr fontId="3" type="noConversion"/>
  </si>
  <si>
    <t>七通一平</t>
    <phoneticPr fontId="21" type="noConversion"/>
  </si>
  <si>
    <t>七通</t>
  </si>
  <si>
    <t>60-70（含）</t>
  </si>
  <si>
    <t>中高层</t>
    <phoneticPr fontId="21" type="noConversion"/>
  </si>
  <si>
    <t>钢混</t>
    <phoneticPr fontId="21" type="noConversion"/>
  </si>
  <si>
    <t>较好</t>
    <phoneticPr fontId="21" type="noConversion"/>
  </si>
  <si>
    <t>精装</t>
    <phoneticPr fontId="21" type="noConversion"/>
  </si>
  <si>
    <t>普通</t>
    <phoneticPr fontId="21" type="noConversion"/>
  </si>
  <si>
    <t>七通一平</t>
    <phoneticPr fontId="21" type="noConversion"/>
  </si>
  <si>
    <t>毛坯</t>
    <phoneticPr fontId="21" type="noConversion"/>
  </si>
  <si>
    <t>精装</t>
    <phoneticPr fontId="21" type="noConversion"/>
  </si>
  <si>
    <t>普通</t>
    <phoneticPr fontId="21" type="noConversion"/>
  </si>
  <si>
    <t>毛坯</t>
    <phoneticPr fontId="21" type="noConversion"/>
  </si>
  <si>
    <t>较好</t>
    <phoneticPr fontId="21" type="noConversion"/>
  </si>
  <si>
    <t>中高层</t>
    <phoneticPr fontId="21" type="noConversion"/>
  </si>
  <si>
    <t>洋房</t>
    <phoneticPr fontId="21" type="noConversion"/>
  </si>
  <si>
    <t>建筑类型</t>
    <phoneticPr fontId="3" type="noConversion"/>
  </si>
  <si>
    <t>洋房</t>
    <phoneticPr fontId="21" type="noConversion"/>
  </si>
  <si>
    <t>中高层</t>
    <phoneticPr fontId="21" type="noConversion"/>
  </si>
  <si>
    <t>联排</t>
    <phoneticPr fontId="233" type="noConversion"/>
  </si>
  <si>
    <t>叠拼</t>
    <phoneticPr fontId="233" type="noConversion"/>
  </si>
  <si>
    <t>叠拼</t>
    <phoneticPr fontId="233" type="noConversion"/>
  </si>
  <si>
    <t>通用陆院</t>
    <phoneticPr fontId="233" type="noConversion"/>
  </si>
  <si>
    <t>中海公园城</t>
    <phoneticPr fontId="233" type="noConversion"/>
  </si>
  <si>
    <t>天嘉湖花园</t>
    <phoneticPr fontId="233" type="noConversion"/>
  </si>
  <si>
    <t>估价对象东北侧临主干道-津塘公路，有186路、207路、659路等公交线路，停车便捷程度较好，综合评价交通便捷度一般</t>
    <phoneticPr fontId="3" type="noConversion"/>
  </si>
  <si>
    <t>估价对象所在区域有农业银行、龙跃财富广场、八里台第一小学、天津津南新华医院，公共配套设施较好</t>
    <phoneticPr fontId="3" type="noConversion"/>
  </si>
  <si>
    <t>联排</t>
    <phoneticPr fontId="233" type="noConversion"/>
  </si>
  <si>
    <t>钢混</t>
    <phoneticPr fontId="233" type="noConversion"/>
  </si>
  <si>
    <t>较好</t>
    <phoneticPr fontId="233" type="noConversion"/>
  </si>
  <si>
    <t>精装</t>
    <phoneticPr fontId="233" type="noConversion"/>
  </si>
  <si>
    <t>普通</t>
    <phoneticPr fontId="233" type="noConversion"/>
  </si>
  <si>
    <t>七通</t>
    <phoneticPr fontId="233" type="noConversion"/>
  </si>
  <si>
    <t>较好</t>
    <phoneticPr fontId="233" type="noConversion"/>
  </si>
  <si>
    <t>精装</t>
    <phoneticPr fontId="233" type="noConversion"/>
  </si>
  <si>
    <t>普通</t>
    <phoneticPr fontId="233" type="noConversion"/>
  </si>
  <si>
    <t>毛坯</t>
    <phoneticPr fontId="233" type="noConversion"/>
  </si>
  <si>
    <t>毛坯</t>
    <phoneticPr fontId="233" type="noConversion"/>
  </si>
  <si>
    <t>住宅</t>
    <phoneticPr fontId="21" type="noConversion"/>
  </si>
  <si>
    <t>住宅</t>
    <phoneticPr fontId="21" type="noConversion"/>
  </si>
  <si>
    <t>住宅</t>
    <phoneticPr fontId="233" type="noConversion"/>
  </si>
  <si>
    <t>土地</t>
  </si>
  <si>
    <t>项目全部</t>
  </si>
  <si>
    <t>七通一平</t>
    <phoneticPr fontId="26" type="noConversion"/>
  </si>
  <si>
    <t>双面临街</t>
  </si>
  <si>
    <t>主干道</t>
  </si>
  <si>
    <t>津南区八里台镇</t>
    <phoneticPr fontId="6" type="noConversion"/>
  </si>
  <si>
    <t>2017-1-1113-P01DYGJ2</t>
    <phoneticPr fontId="6" type="noConversion"/>
  </si>
  <si>
    <t>天津滨涪置业有限公司</t>
    <phoneticPr fontId="6" type="noConversion"/>
  </si>
  <si>
    <t>大业信托</t>
    <phoneticPr fontId="6" type="noConversion"/>
  </si>
  <si>
    <t>天津滨涪置业有限公司</t>
    <phoneticPr fontId="6" type="noConversion"/>
  </si>
  <si>
    <t>《天津市国有建设用地使用权出让合同》4201122013B00445</t>
    <phoneticPr fontId="6" type="noConversion"/>
  </si>
  <si>
    <t>《建设工程设计方案通知书建筑工程》[2017津南建案申字0008]、《出让合同》[1201122013B00445]</t>
    <phoneticPr fontId="3" type="noConversion"/>
  </si>
  <si>
    <t>《房地所有权证》[房地证津字第112051300149号]</t>
    <phoneticPr fontId="3" type="noConversion"/>
  </si>
  <si>
    <t>兴业国际信托有限公司</t>
    <phoneticPr fontId="6" type="noConversion"/>
  </si>
  <si>
    <t>全部</t>
    <phoneticPr fontId="6" type="noConversion"/>
  </si>
  <si>
    <t>高层</t>
  </si>
  <si>
    <t>高层</t>
    <phoneticPr fontId="21"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</si>
  <si>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</si>
  <si>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</si>
  <si>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</si>
  <si>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</si>
  <si>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</si>
  <si>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</si>
  <si>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津南区北闸口镇</t>
    <phoneticPr fontId="233" type="noConversion"/>
  </si>
  <si>
    <t>正常操作</t>
  </si>
  <si>
    <t>已注销及未注销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</si>
</sst>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177" fontId="81" fillId="0" borderId="2" xfId="2"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4" fillId="0" borderId="11" xfId="0" applyFont="1" applyFill="1" applyBorder="1" applyAlignment="1" applyProtection="1">
      <alignment vertical="center"/>
      <protection locked="0"/>
    </xf>
    <xf numFmtId="0" fontId="127" fillId="0" borderId="0" xfId="0" applyFont="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0" fontId="145" fillId="6" borderId="0" xfId="0" applyFont="1" applyFill="1">
      <alignment vertical="center"/>
    </xf>
    <xf numFmtId="0" fontId="0" fillId="6" borderId="0" xfId="0" applyFill="1">
      <alignment vertical="center"/>
    </xf>
    <xf numFmtId="0" fontId="0" fillId="9" borderId="0" xfId="0" applyFill="1">
      <alignment vertical="center"/>
    </xf>
    <xf numFmtId="0" fontId="145" fillId="9" borderId="0" xfId="0" applyFont="1" applyFill="1">
      <alignment vertical="center"/>
    </xf>
    <xf numFmtId="0" fontId="0" fillId="16" borderId="0" xfId="0" applyFill="1">
      <alignment vertical="center"/>
    </xf>
    <xf numFmtId="0" fontId="145" fillId="16" borderId="0" xfId="0" applyFont="1" applyFill="1">
      <alignment vertical="center"/>
    </xf>
    <xf numFmtId="0" fontId="145" fillId="17" borderId="0" xfId="0" applyFont="1" applyFill="1">
      <alignment vertical="center"/>
    </xf>
    <xf numFmtId="0" fontId="0" fillId="17" borderId="0" xfId="0" applyFill="1">
      <alignment vertical="center"/>
    </xf>
    <xf numFmtId="0" fontId="0" fillId="18" borderId="0" xfId="0" applyFill="1">
      <alignment vertical="center"/>
    </xf>
    <xf numFmtId="0" fontId="145" fillId="19" borderId="0" xfId="0" applyFont="1" applyFill="1">
      <alignment vertical="center"/>
    </xf>
    <xf numFmtId="0" fontId="0" fillId="19" borderId="0" xfId="0" applyFill="1">
      <alignment vertical="center"/>
    </xf>
    <xf numFmtId="0" fontId="145" fillId="20" borderId="0" xfId="0" applyFont="1" applyFill="1">
      <alignment vertical="center"/>
    </xf>
    <xf numFmtId="184" fontId="152" fillId="0" borderId="10" xfId="0" applyNumberFormat="1"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3" fontId="0" fillId="0" borderId="0" xfId="0" applyNumberFormat="1">
      <alignment vertical="center"/>
    </xf>
    <xf numFmtId="3" fontId="71" fillId="0"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2" fillId="9" borderId="106" xfId="0" applyNumberFormat="1" applyFont="1" applyFill="1" applyBorder="1" applyAlignment="1" applyProtection="1">
      <alignment horizontal="center" vertical="center" wrapText="1"/>
      <protection locked="0"/>
    </xf>
    <xf numFmtId="0" fontId="82" fillId="9" borderId="107" xfId="0" applyNumberFormat="1" applyFont="1" applyFill="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0" fontId="71" fillId="0" borderId="12" xfId="0" applyFont="1" applyFill="1" applyBorder="1" applyAlignment="1" applyProtection="1">
      <alignment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153" fillId="0" borderId="11" xfId="0"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78" fillId="0" borderId="5" xfId="0" applyFont="1" applyFill="1" applyBorder="1" applyAlignment="1" applyProtection="1">
      <alignment vertical="center"/>
      <protection locked="0"/>
    </xf>
    <xf numFmtId="10" fontId="71" fillId="0" borderId="46" xfId="0" applyNumberFormat="1" applyFont="1" applyFill="1" applyBorder="1" applyAlignment="1" applyProtection="1">
      <alignment horizontal="center" vertical="center"/>
      <protection locked="0"/>
    </xf>
    <xf numFmtId="0" fontId="145" fillId="0" borderId="0" xfId="0" applyFont="1" applyAlignment="1"/>
    <xf numFmtId="179"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0" borderId="5" xfId="0" applyNumberFormat="1" applyFont="1" applyFill="1" applyBorder="1" applyAlignment="1" applyProtection="1">
      <alignment horizontal="left" vertical="center"/>
      <protection locked="0"/>
    </xf>
    <xf numFmtId="49" fontId="187" fillId="0" borderId="8" xfId="0" applyNumberFormat="1" applyFont="1" applyFill="1" applyBorder="1" applyAlignment="1" applyProtection="1">
      <alignment horizontal="left" vertical="center"/>
      <protection locked="0"/>
    </xf>
    <xf numFmtId="49" fontId="187" fillId="0"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0" borderId="5" xfId="0" applyFont="1" applyFill="1" applyBorder="1" applyAlignment="1" applyProtection="1">
      <alignment vertical="center"/>
      <protection locked="0"/>
    </xf>
    <xf numFmtId="0" fontId="187" fillId="0" borderId="8" xfId="0" applyFont="1" applyFill="1" applyBorder="1" applyAlignment="1" applyProtection="1">
      <alignment vertical="center"/>
      <protection locked="0"/>
    </xf>
    <xf numFmtId="0" fontId="187" fillId="0"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46561</xdr:colOff>
      <xdr:row>48</xdr:row>
      <xdr:rowOff>113643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8514286"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xdr:colOff>
      <xdr:row>0</xdr:row>
      <xdr:rowOff>9526</xdr:rowOff>
    </xdr:from>
    <xdr:to>
      <xdr:col>8</xdr:col>
      <xdr:colOff>76200</xdr:colOff>
      <xdr:row>12</xdr:row>
      <xdr:rowOff>165074</xdr:rowOff>
    </xdr:to>
    <xdr:pic>
      <xdr:nvPicPr>
        <xdr:cNvPr id="2" name="图片 1"/>
        <xdr:cNvPicPr>
          <a:picLocks noChangeAspect="1"/>
        </xdr:cNvPicPr>
      </xdr:nvPicPr>
      <xdr:blipFill>
        <a:blip xmlns:r="http://schemas.openxmlformats.org/officeDocument/2006/relationships" r:embed="rId1"/>
        <a:stretch>
          <a:fillRect/>
        </a:stretch>
      </xdr:blipFill>
      <xdr:spPr>
        <a:xfrm>
          <a:off x="2085975" y="9526"/>
          <a:ext cx="3476625" cy="2212948"/>
        </a:xfrm>
        <a:prstGeom prst="rect">
          <a:avLst/>
        </a:prstGeom>
      </xdr:spPr>
    </xdr:pic>
    <xdr:clientData/>
  </xdr:twoCellAnchor>
  <xdr:twoCellAnchor editAs="oneCell">
    <xdr:from>
      <xdr:col>7</xdr:col>
      <xdr:colOff>114300</xdr:colOff>
      <xdr:row>0</xdr:row>
      <xdr:rowOff>76201</xdr:rowOff>
    </xdr:from>
    <xdr:to>
      <xdr:col>12</xdr:col>
      <xdr:colOff>200025</xdr:colOff>
      <xdr:row>13</xdr:row>
      <xdr:rowOff>95787</xdr:rowOff>
    </xdr:to>
    <xdr:pic>
      <xdr:nvPicPr>
        <xdr:cNvPr id="3" name="图片 2"/>
        <xdr:cNvPicPr>
          <a:picLocks noChangeAspect="1"/>
        </xdr:cNvPicPr>
      </xdr:nvPicPr>
      <xdr:blipFill>
        <a:blip xmlns:r="http://schemas.openxmlformats.org/officeDocument/2006/relationships" r:embed="rId2"/>
        <a:stretch>
          <a:fillRect/>
        </a:stretch>
      </xdr:blipFill>
      <xdr:spPr>
        <a:xfrm>
          <a:off x="4914900" y="76201"/>
          <a:ext cx="3514725" cy="2248436"/>
        </a:xfrm>
        <a:prstGeom prst="rect">
          <a:avLst/>
        </a:prstGeom>
      </xdr:spPr>
    </xdr:pic>
    <xdr:clientData/>
  </xdr:twoCellAnchor>
  <xdr:twoCellAnchor editAs="oneCell">
    <xdr:from>
      <xdr:col>11</xdr:col>
      <xdr:colOff>552450</xdr:colOff>
      <xdr:row>0</xdr:row>
      <xdr:rowOff>76201</xdr:rowOff>
    </xdr:from>
    <xdr:to>
      <xdr:col>16</xdr:col>
      <xdr:colOff>485775</xdr:colOff>
      <xdr:row>12</xdr:row>
      <xdr:rowOff>148274</xdr:rowOff>
    </xdr:to>
    <xdr:pic>
      <xdr:nvPicPr>
        <xdr:cNvPr id="4" name="图片 3"/>
        <xdr:cNvPicPr>
          <a:picLocks noChangeAspect="1"/>
        </xdr:cNvPicPr>
      </xdr:nvPicPr>
      <xdr:blipFill>
        <a:blip xmlns:r="http://schemas.openxmlformats.org/officeDocument/2006/relationships" r:embed="rId3"/>
        <a:stretch>
          <a:fillRect/>
        </a:stretch>
      </xdr:blipFill>
      <xdr:spPr>
        <a:xfrm>
          <a:off x="8096250" y="76201"/>
          <a:ext cx="3362325" cy="2129473"/>
        </a:xfrm>
        <a:prstGeom prst="rect">
          <a:avLst/>
        </a:prstGeom>
      </xdr:spPr>
    </xdr:pic>
    <xdr:clientData/>
  </xdr:twoCellAnchor>
  <xdr:twoCellAnchor editAs="oneCell">
    <xdr:from>
      <xdr:col>4</xdr:col>
      <xdr:colOff>257175</xdr:colOff>
      <xdr:row>16</xdr:row>
      <xdr:rowOff>47625</xdr:rowOff>
    </xdr:from>
    <xdr:to>
      <xdr:col>9</xdr:col>
      <xdr:colOff>207002</xdr:colOff>
      <xdr:row>41</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3000375" y="2790825"/>
          <a:ext cx="3378827" cy="4343400"/>
        </a:xfrm>
        <a:prstGeom prst="rect">
          <a:avLst/>
        </a:prstGeom>
      </xdr:spPr>
    </xdr:pic>
    <xdr:clientData/>
  </xdr:twoCellAnchor>
  <xdr:twoCellAnchor editAs="oneCell">
    <xdr:from>
      <xdr:col>7</xdr:col>
      <xdr:colOff>514350</xdr:colOff>
      <xdr:row>15</xdr:row>
      <xdr:rowOff>76200</xdr:rowOff>
    </xdr:from>
    <xdr:to>
      <xdr:col>12</xdr:col>
      <xdr:colOff>403098</xdr:colOff>
      <xdr:row>32</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5314950" y="2647950"/>
          <a:ext cx="3317748" cy="2962275"/>
        </a:xfrm>
        <a:prstGeom prst="rect">
          <a:avLst/>
        </a:prstGeom>
      </xdr:spPr>
    </xdr:pic>
    <xdr:clientData/>
  </xdr:twoCellAnchor>
  <xdr:twoCellAnchor editAs="oneCell">
    <xdr:from>
      <xdr:col>12</xdr:col>
      <xdr:colOff>95250</xdr:colOff>
      <xdr:row>15</xdr:row>
      <xdr:rowOff>19051</xdr:rowOff>
    </xdr:from>
    <xdr:to>
      <xdr:col>16</xdr:col>
      <xdr:colOff>599619</xdr:colOff>
      <xdr:row>32</xdr:row>
      <xdr:rowOff>165425</xdr:rowOff>
    </xdr:to>
    <xdr:pic>
      <xdr:nvPicPr>
        <xdr:cNvPr id="7" name="图片 6"/>
        <xdr:cNvPicPr>
          <a:picLocks noChangeAspect="1"/>
        </xdr:cNvPicPr>
      </xdr:nvPicPr>
      <xdr:blipFill>
        <a:blip xmlns:r="http://schemas.openxmlformats.org/officeDocument/2006/relationships" r:embed="rId6"/>
        <a:stretch>
          <a:fillRect/>
        </a:stretch>
      </xdr:blipFill>
      <xdr:spPr>
        <a:xfrm>
          <a:off x="8324850" y="2590801"/>
          <a:ext cx="3247569" cy="30610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8" t="str">
        <f>项目基本情况!B1</f>
        <v>天津市津南区八里台镇出让国有建设用地使用权抵押价格预评估</v>
      </c>
      <c r="C37" s="3238"/>
      <c r="D37" s="3238"/>
      <c r="E37" s="3238"/>
      <c r="F37" s="3238"/>
      <c r="G37" s="3238"/>
      <c r="H37" s="3238"/>
      <c r="I37" s="3238"/>
    </row>
    <row r="38" spans="1:9">
      <c r="A38" s="1657"/>
      <c r="B38" s="1657"/>
    </row>
    <row r="39" spans="1:9">
      <c r="A39" s="1655" t="s">
        <v>1902</v>
      </c>
      <c r="B39" s="1655" t="s">
        <v>2047</v>
      </c>
    </row>
    <row r="40" spans="1:9">
      <c r="A40" s="1655"/>
      <c r="B40" s="1655" t="str">
        <f>项目基本情况!B5</f>
        <v>天津滨涪置业有限公司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康正预评字2017-1-1113-P01DYGJ2号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6" sqref="E6"/>
    </sheetView>
  </sheetViews>
  <sheetFormatPr defaultColWidth="10" defaultRowHeight="14.25"/>
  <cols>
    <col min="1" max="1" width="15.375" style="1691" customWidth="1"/>
    <col min="2" max="2" width="11.8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81" t="str">
        <f>IF(B10="北京市","北京市",C10)&amp;F10&amp;B16&amp;"国有建设用地使用权"&amp;B9&amp;"预评估"</f>
        <v>天津市津南区八里台镇出让国有建设用地使用权抵押价格预评估</v>
      </c>
      <c r="C1" s="3282"/>
      <c r="D1" s="3282"/>
      <c r="E1" s="3282"/>
      <c r="F1" s="3282"/>
      <c r="G1" s="3282"/>
      <c r="H1" s="3282"/>
      <c r="I1" s="3283"/>
      <c r="J1" s="1694"/>
      <c r="K1" s="2478" t="str">
        <f>IF(B10="北京市","北京市",C10)&amp;F10&amp;B16&amp;"国有建设用地使用权"&amp;B9</f>
        <v>天津市津南区八里台镇出让国有建设用地使用权抵押价格</v>
      </c>
      <c r="L1" s="1723"/>
      <c r="M1" s="1723"/>
      <c r="N1" s="1694"/>
      <c r="O1" s="1695"/>
      <c r="P1" s="1694"/>
      <c r="Q1" s="1694"/>
      <c r="R1" s="1694"/>
      <c r="S1" s="1694"/>
      <c r="T1" s="1694"/>
      <c r="U1" s="1694"/>
    </row>
    <row r="2" spans="1:21">
      <c r="A2" s="1660" t="s">
        <v>1941</v>
      </c>
      <c r="B2" s="3233" t="s">
        <v>3180</v>
      </c>
      <c r="D2" s="1694"/>
      <c r="E2" s="1694"/>
      <c r="F2" s="1694"/>
      <c r="G2" s="1694"/>
      <c r="H2" s="1660"/>
      <c r="I2" s="1695"/>
      <c r="J2" s="1694"/>
      <c r="K2" s="2478" t="str">
        <f>IF(B10="北京市","北京市",C10)&amp;F10&amp;B16&amp;"国有建设用地使用权"</f>
        <v>天津市津南区八里台镇出让国有建设用地使用权</v>
      </c>
      <c r="L2" s="1723"/>
      <c r="M2" s="1723"/>
      <c r="N2" s="1694"/>
      <c r="O2" s="1695"/>
      <c r="P2" s="1694"/>
      <c r="Q2" s="1694"/>
      <c r="R2" s="1694"/>
      <c r="S2" s="1694"/>
      <c r="T2" s="1694"/>
      <c r="U2" s="1694"/>
    </row>
    <row r="3" spans="1:21">
      <c r="A3" s="1661" t="s">
        <v>1942</v>
      </c>
      <c r="B3" s="1662">
        <v>43089</v>
      </c>
      <c r="C3" s="1663" t="s">
        <v>1997</v>
      </c>
      <c r="D3" s="1662">
        <v>43089</v>
      </c>
      <c r="E3" s="1694"/>
      <c r="F3" s="1694"/>
      <c r="G3" s="1694"/>
      <c r="H3" s="1660"/>
      <c r="I3" s="1695"/>
      <c r="J3" s="1694"/>
      <c r="K3" s="1774"/>
      <c r="L3" s="1723"/>
      <c r="M3" s="1723"/>
      <c r="N3" s="1694"/>
      <c r="O3" s="1695"/>
      <c r="P3" s="1694"/>
      <c r="Q3" s="1694"/>
      <c r="R3" s="1694"/>
      <c r="S3" s="1694"/>
      <c r="T3" s="1694"/>
      <c r="U3" s="1694"/>
    </row>
    <row r="4" spans="1:21" ht="15" thickBot="1">
      <c r="A4" s="1664" t="s">
        <v>1943</v>
      </c>
      <c r="B4" s="1841" t="s">
        <v>2971</v>
      </c>
      <c r="C4" s="1844">
        <f ca="1">SUMIF(土地估价师,B4,估价师及机构信息!E3:E24)</f>
        <v>2002110125</v>
      </c>
      <c r="D4" s="1841" t="s">
        <v>2972</v>
      </c>
      <c r="E4" s="1844">
        <f ca="1">SUMIF(土地估价师,D4,估价师及机构信息!E3:E24)</f>
        <v>2008110059</v>
      </c>
      <c r="F4" s="1841" t="s">
        <v>952</v>
      </c>
      <c r="G4" s="1844">
        <f>SUMIF(土地估价师,F4,估价师及机构信息!E3:E24)</f>
        <v>0</v>
      </c>
      <c r="H4" s="1841" t="s">
        <v>952</v>
      </c>
      <c r="I4" s="1844">
        <f>SUMIF(土地估价师,H4,估价师及机构信息!E3:E24)</f>
        <v>0</v>
      </c>
      <c r="J4" s="1694"/>
      <c r="K4" s="2478" t="str">
        <f>IF(AND(F4="——",H4="——"),B4&amp;"、"&amp;D4,IF(AND(F4&lt;&gt;"——",H4="——"),B4&amp;"、"&amp;D4&amp;"、"&amp;F4,B4&amp;"、"&amp;D4&amp;"、"&amp;F4&amp;"、"&amp;H4))</f>
        <v>吴薇、刘梅</v>
      </c>
      <c r="L4" s="1723"/>
      <c r="M4" s="1723"/>
      <c r="N4" s="1694"/>
      <c r="O4" s="1695"/>
      <c r="P4" s="1694"/>
      <c r="Q4" s="1694"/>
      <c r="R4" s="1694"/>
      <c r="S4" s="1694"/>
      <c r="T4" s="1694"/>
      <c r="U4" s="1694"/>
    </row>
    <row r="5" spans="1:21" ht="15" thickTop="1">
      <c r="A5" s="1665" t="s">
        <v>1944</v>
      </c>
      <c r="B5" s="3234" t="s">
        <v>3181</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3234" t="s">
        <v>3182</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2713</v>
      </c>
      <c r="B7" s="3234" t="s">
        <v>3183</v>
      </c>
      <c r="C7" s="1761"/>
      <c r="D7" s="1668"/>
      <c r="E7" s="1694"/>
      <c r="F7" s="1694"/>
      <c r="G7" s="1694"/>
      <c r="H7" s="1660"/>
      <c r="I7" s="1695"/>
      <c r="J7" s="1694"/>
      <c r="K7" s="1774"/>
      <c r="L7" s="1723"/>
      <c r="M7" s="1723"/>
      <c r="N7" s="1694"/>
      <c r="O7" s="1695"/>
      <c r="P7" s="1694"/>
      <c r="Q7" s="1694"/>
      <c r="R7" s="1694"/>
      <c r="S7" s="1694"/>
      <c r="T7" s="1694"/>
      <c r="U7" s="1694"/>
    </row>
    <row r="8" spans="1:21" ht="28.5">
      <c r="A8" s="1669" t="s">
        <v>1945</v>
      </c>
      <c r="B8" s="1670" t="s">
        <v>2973</v>
      </c>
      <c r="C8" s="1671"/>
      <c r="D8" s="3287" t="s">
        <v>1947</v>
      </c>
      <c r="E8" s="1842" t="s">
        <v>3199</v>
      </c>
      <c r="F8" s="1672"/>
      <c r="G8" s="1660"/>
      <c r="H8" s="1660"/>
      <c r="I8" s="1707"/>
      <c r="J8" s="1694"/>
      <c r="K8" s="1774"/>
      <c r="L8" s="1723"/>
      <c r="M8" s="1723"/>
      <c r="N8" s="1694"/>
      <c r="O8" s="1695"/>
      <c r="P8" s="1694"/>
      <c r="Q8" s="1694"/>
      <c r="R8" s="1694"/>
      <c r="S8" s="1694"/>
      <c r="T8" s="1694"/>
      <c r="U8" s="1694"/>
    </row>
    <row r="9" spans="1:21" ht="15" thickBot="1">
      <c r="A9" s="1673" t="s">
        <v>1946</v>
      </c>
      <c r="B9" s="1674" t="s">
        <v>2974</v>
      </c>
      <c r="C9" s="1675"/>
      <c r="D9" s="3288"/>
      <c r="E9" s="1674"/>
      <c r="F9" s="1747"/>
      <c r="G9" s="1742"/>
      <c r="H9" s="1742"/>
      <c r="I9" s="1743"/>
      <c r="J9" s="1694"/>
      <c r="K9" s="1774"/>
      <c r="L9" s="1723"/>
      <c r="M9" s="1723"/>
      <c r="N9" s="1694"/>
      <c r="O9" s="1695"/>
      <c r="P9" s="1694"/>
      <c r="Q9" s="1694"/>
      <c r="R9" s="1694"/>
      <c r="S9" s="1694"/>
      <c r="T9" s="1694"/>
      <c r="U9" s="1694"/>
    </row>
    <row r="10" spans="1:21" ht="15" thickTop="1">
      <c r="A10" s="1744" t="s">
        <v>2000</v>
      </c>
      <c r="B10" s="3162" t="s">
        <v>2975</v>
      </c>
      <c r="C10" s="1676" t="s">
        <v>3082</v>
      </c>
      <c r="D10" s="1667"/>
      <c r="E10" s="1677" t="s">
        <v>1949</v>
      </c>
      <c r="F10" s="1678" t="s">
        <v>3179</v>
      </c>
      <c r="G10" s="1745"/>
      <c r="H10" s="1746"/>
      <c r="I10" s="1667"/>
      <c r="J10" s="1694"/>
      <c r="K10" s="1774"/>
      <c r="L10" s="1723"/>
      <c r="M10" s="1723"/>
      <c r="N10" s="1694"/>
      <c r="O10" s="1695"/>
      <c r="P10" s="1694"/>
      <c r="Q10" s="1694"/>
      <c r="R10" s="1694"/>
      <c r="S10" s="1694"/>
      <c r="T10" s="1694"/>
      <c r="U10" s="1694"/>
    </row>
    <row r="11" spans="1:21" ht="28.5">
      <c r="A11" s="1697" t="s">
        <v>2001</v>
      </c>
      <c r="B11" s="1698" t="s">
        <v>2976</v>
      </c>
      <c r="C11" s="1679" t="s">
        <v>3083</v>
      </c>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84" t="s">
        <v>2977</v>
      </c>
      <c r="C12" s="3285"/>
      <c r="D12" s="3286"/>
      <c r="E12" s="1699" t="s">
        <v>2062</v>
      </c>
      <c r="F12" s="3302" t="s">
        <v>3084</v>
      </c>
      <c r="G12" s="3303"/>
      <c r="H12" s="3303"/>
      <c r="I12" s="3304"/>
      <c r="J12" s="1694"/>
      <c r="K12" s="1774"/>
      <c r="L12" s="1723"/>
      <c r="M12" s="1723"/>
      <c r="N12" s="1694"/>
      <c r="O12" s="1695"/>
      <c r="P12" s="1694"/>
      <c r="Q12" s="1694"/>
      <c r="R12" s="1694"/>
      <c r="S12" s="1694"/>
      <c r="T12" s="1694"/>
      <c r="U12" s="1694"/>
    </row>
    <row r="13" spans="1:21">
      <c r="A13" s="1687" t="s">
        <v>2060</v>
      </c>
      <c r="B13" s="3284" t="s">
        <v>2978</v>
      </c>
      <c r="C13" s="3285"/>
      <c r="D13" s="3286"/>
      <c r="E13" s="1699" t="s">
        <v>2062</v>
      </c>
      <c r="F13" s="3305" t="s">
        <v>3184</v>
      </c>
      <c r="G13" s="3306"/>
      <c r="H13" s="3306"/>
      <c r="I13" s="3307"/>
      <c r="J13" s="1694"/>
      <c r="K13" s="1774"/>
      <c r="L13" s="1723"/>
      <c r="M13" s="1723"/>
      <c r="N13" s="1694"/>
      <c r="O13" s="1695"/>
      <c r="P13" s="1694"/>
      <c r="Q13" s="1694"/>
      <c r="R13" s="1694"/>
      <c r="S13" s="1694"/>
      <c r="T13" s="1694"/>
      <c r="U13" s="1694"/>
    </row>
    <row r="14" spans="1:21">
      <c r="A14" s="1661" t="s">
        <v>2063</v>
      </c>
      <c r="B14" s="1699"/>
      <c r="C14" s="1843" t="s">
        <v>2979</v>
      </c>
      <c r="D14" s="1733" t="str">
        <f>IF(C14="不一致","是否符合证载地类范围","")</f>
        <v/>
      </c>
      <c r="E14" s="1699"/>
      <c r="F14" s="1789" t="s">
        <v>952</v>
      </c>
      <c r="G14" s="1728"/>
      <c r="H14" s="1728"/>
      <c r="I14" s="1836"/>
      <c r="J14" s="1694"/>
      <c r="K14" s="1774"/>
      <c r="L14" s="1723"/>
      <c r="M14" s="1723"/>
      <c r="N14" s="1694"/>
      <c r="O14" s="1695"/>
      <c r="P14" s="1694"/>
      <c r="Q14" s="1694"/>
      <c r="R14" s="1694"/>
      <c r="S14" s="1694"/>
      <c r="T14" s="1694"/>
      <c r="U14" s="1694"/>
    </row>
    <row r="15" spans="1:21" hidden="1">
      <c r="A15" s="2669"/>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2980</v>
      </c>
      <c r="C16" s="1699" t="s">
        <v>1951</v>
      </c>
      <c r="D16" s="2670" t="s">
        <v>1952</v>
      </c>
      <c r="E16" s="1722"/>
      <c r="F16" s="1722"/>
      <c r="G16" s="1722" t="s">
        <v>35</v>
      </c>
      <c r="H16" s="1722"/>
      <c r="I16" s="1686" t="s">
        <v>1957</v>
      </c>
      <c r="J16" s="1694"/>
      <c r="K16" s="2479" t="str">
        <f>IF(D17="","",D16&amp;TEXT(D17,"yyyy年m月d日;;"))</f>
        <v>住宅2083年6月5日</v>
      </c>
      <c r="L16" s="1699" t="str">
        <f>IF(OR(K16="",M16=""),"","、")</f>
        <v/>
      </c>
      <c r="M16" s="2479" t="str">
        <f>IF(E17="","",E16&amp;TEXT(E17,"yyyy年m月d日;;"))</f>
        <v/>
      </c>
      <c r="N16" s="1699" t="str">
        <f>IF(OR(M16="",O16=""),"","、")</f>
        <v/>
      </c>
      <c r="O16" s="2479" t="str">
        <f>IF(F17="","",F16&amp;TEXT(F17,"yyyy年m月d日;;"))</f>
        <v/>
      </c>
      <c r="P16" s="1699" t="str">
        <f>IF(OR(O16="",Q16=""),"","、")</f>
        <v/>
      </c>
      <c r="Q16" s="2479" t="str">
        <f>IF(G17="","",G16&amp;TEXT(G17,"yyyy年m月d日;;"))</f>
        <v>地下车库2063年6月5日</v>
      </c>
      <c r="R16" s="1699" t="str">
        <f>IF(OR(Q16="",S16=""),"","、")</f>
        <v/>
      </c>
      <c r="S16" s="2479" t="str">
        <f>IF(H17="","",H16&amp;TEXT(H17,"yyyy年m月d日;;"))</f>
        <v/>
      </c>
      <c r="T16" s="1699" t="str">
        <f>IF(OR(S16="",U16=""),"","、")</f>
        <v/>
      </c>
      <c r="U16" s="2479" t="str">
        <f>IF(I17="","",I16&amp;TEXT(I17,"yyyy年m月d日;;"))</f>
        <v/>
      </c>
    </row>
    <row r="17" spans="1:21">
      <c r="A17" s="1763"/>
      <c r="B17" s="1682"/>
      <c r="C17" s="1683" t="s">
        <v>1958</v>
      </c>
      <c r="D17" s="1700">
        <v>66997</v>
      </c>
      <c r="E17" s="1700"/>
      <c r="F17" s="1700"/>
      <c r="G17" s="1700">
        <v>59692</v>
      </c>
      <c r="H17" s="1700"/>
      <c r="I17" s="1700"/>
      <c r="J17" s="1694"/>
      <c r="K17" s="2478" t="str">
        <f>CONCATENATE(K16,L16,M16,N16,O16,P16,Q16,R16,S16,T16,,U16)</f>
        <v>住宅2083年6月5日地下车库2063年6月5日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65.5</v>
      </c>
      <c r="E19" s="1685" t="str">
        <f>IF(B16="出让",IF(E17="","",ROUNDDOWN(MIN((E17-$D$3)/365,E18),2)),E18)</f>
        <v/>
      </c>
      <c r="F19" s="1685" t="str">
        <f>IF(B16="出让",IF(F17="","",ROUNDDOWN(MIN((F17-$D$3)/365,F18),2)),F18)</f>
        <v/>
      </c>
      <c r="G19" s="1685">
        <f>IF(B16="出让",IF(G17="","",ROUNDDOWN(MIN((G17-$D$3)/365,G18),2)),G18)</f>
        <v>45.48</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99"/>
      <c r="E20" s="3300"/>
      <c r="F20" s="3300"/>
      <c r="G20" s="3300"/>
      <c r="H20" s="3300"/>
      <c r="I20" s="3301"/>
      <c r="J20" s="1694"/>
      <c r="K20" s="1774"/>
      <c r="L20" s="1723"/>
      <c r="M20" s="1723"/>
      <c r="N20" s="1694"/>
      <c r="O20" s="1695"/>
      <c r="P20" s="1694"/>
      <c r="Q20" s="1694"/>
      <c r="R20" s="1694"/>
      <c r="S20" s="1694"/>
      <c r="T20" s="1694"/>
      <c r="U20" s="1694"/>
    </row>
    <row r="21" spans="1:21">
      <c r="A21" s="1763" t="s">
        <v>1961</v>
      </c>
      <c r="B21" s="1764" t="s">
        <v>1962</v>
      </c>
      <c r="C21" s="1759">
        <f>'数据-汇总表'!E3</f>
        <v>294706.12</v>
      </c>
      <c r="D21" s="1760" t="s">
        <v>1963</v>
      </c>
      <c r="E21" s="3289" t="s">
        <v>3185</v>
      </c>
      <c r="F21" s="3290"/>
      <c r="G21" s="3290"/>
      <c r="H21" s="3290"/>
      <c r="I21" s="3291"/>
      <c r="J21" s="1694"/>
      <c r="K21" s="1774"/>
      <c r="L21" s="1723"/>
      <c r="M21" s="1723"/>
      <c r="N21" s="1694"/>
      <c r="O21" s="1695"/>
      <c r="P21" s="1694"/>
      <c r="Q21" s="1694"/>
      <c r="R21" s="1694"/>
      <c r="S21" s="1694"/>
      <c r="T21" s="1694"/>
      <c r="U21" s="1694"/>
    </row>
    <row r="22" spans="1:21">
      <c r="A22" s="2661" t="s">
        <v>952</v>
      </c>
      <c r="B22" s="1661" t="s">
        <v>1964</v>
      </c>
      <c r="C22" s="1686">
        <f>'数据-汇总表'!D3</f>
        <v>163507.1</v>
      </c>
      <c r="D22" s="1687" t="s">
        <v>1963</v>
      </c>
      <c r="E22" s="3289" t="s">
        <v>3186</v>
      </c>
      <c r="F22" s="3290"/>
      <c r="G22" s="3290"/>
      <c r="H22" s="3290"/>
      <c r="I22" s="3291"/>
      <c r="J22" s="1694"/>
      <c r="K22" s="1774"/>
      <c r="L22" s="1723"/>
      <c r="M22" s="1723"/>
      <c r="N22" s="1694"/>
      <c r="O22" s="1695"/>
      <c r="P22" s="1694"/>
      <c r="Q22" s="1694"/>
      <c r="R22" s="1694"/>
      <c r="S22" s="1694"/>
      <c r="T22" s="1694"/>
      <c r="U22" s="1694"/>
    </row>
    <row r="23" spans="1:21" ht="29.25" thickBot="1">
      <c r="A23" s="1765" t="s">
        <v>1965</v>
      </c>
      <c r="B23" s="1701" t="s">
        <v>1966</v>
      </c>
      <c r="C23" s="1702" t="s">
        <v>1679</v>
      </c>
      <c r="D23" s="1703" t="s">
        <v>1967</v>
      </c>
      <c r="E23" s="1704" t="s">
        <v>1679</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92" t="s">
        <v>1969</v>
      </c>
      <c r="C24" s="3293"/>
      <c r="D24" s="3294" t="s">
        <v>1970</v>
      </c>
      <c r="E24" s="3295"/>
      <c r="F24" s="1708" t="s">
        <v>1971</v>
      </c>
      <c r="G24" s="1694"/>
      <c r="H24" s="1694"/>
      <c r="I24" s="1707"/>
      <c r="J24" s="1694"/>
      <c r="K24" s="3280" t="s">
        <v>1972</v>
      </c>
      <c r="L24" s="2480"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3"/>
      <c r="N24" s="1694"/>
      <c r="O24" s="1695"/>
      <c r="P24" s="1694"/>
      <c r="Q24" s="1694"/>
      <c r="R24" s="1694"/>
      <c r="S24" s="1694"/>
      <c r="T24" s="1694"/>
      <c r="U24" s="1694"/>
    </row>
    <row r="25" spans="1:21" ht="28.5">
      <c r="A25" s="1751"/>
      <c r="B25" s="1748" t="s">
        <v>2326</v>
      </c>
      <c r="C25" s="1709" t="s">
        <v>952</v>
      </c>
      <c r="D25" s="1710"/>
      <c r="E25" s="1711" t="s">
        <v>952</v>
      </c>
      <c r="F25" s="1712"/>
      <c r="G25" s="1694"/>
      <c r="H25" s="1694"/>
      <c r="I25" s="1707"/>
      <c r="J25" s="1694"/>
      <c r="K25" s="328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上述抵押权设定日期为2013年10月30日，权利人为兴业国际信托有限公司，权利范围为全部，权利价值为25000。</v>
      </c>
      <c r="M25" s="1723"/>
      <c r="N25" s="1694"/>
      <c r="O25" s="1695"/>
      <c r="P25" s="1694"/>
      <c r="Q25" s="1694"/>
      <c r="R25" s="1694"/>
      <c r="S25" s="1694"/>
      <c r="T25" s="1694"/>
      <c r="U25" s="1694"/>
    </row>
    <row r="26" spans="1:21" ht="29.25" thickBot="1">
      <c r="A26" s="1752"/>
      <c r="B26" s="1749" t="s">
        <v>1973</v>
      </c>
      <c r="C26" s="1709" t="s">
        <v>2327</v>
      </c>
      <c r="D26" s="1660"/>
      <c r="E26" s="1660"/>
      <c r="F26" s="1688"/>
      <c r="G26" s="1694"/>
      <c r="H26" s="1694"/>
      <c r="I26" s="1707"/>
      <c r="J26" s="1694"/>
      <c r="K26" s="328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v>41577</v>
      </c>
      <c r="D27" s="2675" t="s">
        <v>1975</v>
      </c>
      <c r="E27" s="1714"/>
      <c r="F27" s="1688"/>
      <c r="G27" s="1694"/>
      <c r="H27" s="1694"/>
      <c r="I27" s="1707"/>
      <c r="J27" s="1694"/>
      <c r="K27" s="1774"/>
      <c r="L27" s="1723"/>
      <c r="M27" s="1723"/>
      <c r="N27" s="1694"/>
      <c r="O27" s="1695"/>
      <c r="P27" s="1694"/>
      <c r="Q27" s="1694"/>
      <c r="R27" s="1694"/>
      <c r="S27" s="1694"/>
      <c r="T27" s="1694"/>
      <c r="U27" s="1694"/>
    </row>
    <row r="28" spans="1:21" ht="28.5">
      <c r="A28" s="1756"/>
      <c r="B28" s="1753" t="s">
        <v>1976</v>
      </c>
      <c r="C28" s="1715" t="s">
        <v>3187</v>
      </c>
      <c r="D28" s="2676"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t="s">
        <v>3188</v>
      </c>
      <c r="D29" s="2676"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v>25000</v>
      </c>
      <c r="D30" s="2677"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66" t="s">
        <v>2002</v>
      </c>
      <c r="B31" s="1764" t="s">
        <v>2003</v>
      </c>
      <c r="C31" s="3308"/>
      <c r="D31" s="3309"/>
      <c r="E31" s="1694"/>
      <c r="F31" s="1694"/>
      <c r="G31" s="1694"/>
      <c r="H31" s="1694"/>
      <c r="I31" s="1707"/>
      <c r="J31" s="1694"/>
      <c r="K31" s="2481"/>
      <c r="L31" s="1694"/>
      <c r="M31" s="1694"/>
      <c r="N31" s="1694"/>
      <c r="O31" s="1694"/>
      <c r="P31" s="1694"/>
      <c r="Q31" s="1694"/>
      <c r="R31" s="1694"/>
      <c r="S31" s="1694"/>
      <c r="T31" s="1694"/>
      <c r="U31" s="1694"/>
    </row>
    <row r="32" spans="1:21">
      <c r="A32" s="3266"/>
      <c r="B32" s="1661" t="s">
        <v>2004</v>
      </c>
      <c r="C32" s="1719"/>
      <c r="D32" s="1720"/>
      <c r="E32" s="1694"/>
      <c r="F32" s="1694"/>
      <c r="G32" s="1694"/>
      <c r="H32" s="1694"/>
      <c r="I32" s="1707"/>
      <c r="J32" s="1694"/>
      <c r="K32" s="2481"/>
      <c r="L32" s="1694"/>
      <c r="M32" s="1694"/>
      <c r="N32" s="1694"/>
      <c r="O32" s="1694"/>
      <c r="P32" s="1694"/>
      <c r="Q32" s="1694"/>
      <c r="R32" s="1694"/>
      <c r="S32" s="1694"/>
      <c r="T32" s="1694"/>
      <c r="U32" s="1694"/>
    </row>
    <row r="33" spans="1:21">
      <c r="A33" s="3266"/>
      <c r="B33" s="1661" t="s">
        <v>2005</v>
      </c>
      <c r="C33" s="1721"/>
      <c r="D33" s="1837"/>
      <c r="E33" s="1694"/>
      <c r="F33" s="1694"/>
      <c r="G33" s="1694"/>
      <c r="H33" s="1694"/>
      <c r="I33" s="1707"/>
      <c r="J33" s="1694"/>
      <c r="K33" s="2481"/>
      <c r="L33" s="1694"/>
      <c r="M33" s="1694"/>
      <c r="N33" s="1694"/>
      <c r="O33" s="1694"/>
      <c r="P33" s="1694"/>
      <c r="Q33" s="1694"/>
      <c r="R33" s="1694"/>
      <c r="S33" s="1694"/>
      <c r="T33" s="1694"/>
      <c r="U33" s="1694"/>
    </row>
    <row r="34" spans="1:21">
      <c r="A34" s="3267"/>
      <c r="B34" s="1661" t="s">
        <v>2006</v>
      </c>
      <c r="C34" s="3268"/>
      <c r="D34" s="3269"/>
      <c r="E34" s="1694"/>
      <c r="F34" s="1694"/>
      <c r="G34" s="1694"/>
      <c r="H34" s="1694"/>
      <c r="I34" s="1707"/>
      <c r="J34" s="1694"/>
      <c r="K34" s="2481"/>
      <c r="L34" s="1694"/>
      <c r="M34" s="1694"/>
      <c r="N34" s="1694"/>
      <c r="O34" s="1694"/>
      <c r="P34" s="1694"/>
      <c r="Q34" s="1694"/>
      <c r="R34" s="1694"/>
      <c r="S34" s="1694"/>
      <c r="T34" s="1694"/>
      <c r="U34" s="1694"/>
    </row>
    <row r="35" spans="1:21">
      <c r="A35" s="3270" t="s">
        <v>847</v>
      </c>
      <c r="B35" s="1722"/>
      <c r="C35" s="1776" t="str">
        <f>IF(B35="场地平整","——","具体情况：")</f>
        <v>具体情况：</v>
      </c>
      <c r="D35" s="3272"/>
      <c r="E35" s="3273"/>
      <c r="F35" s="3273"/>
      <c r="G35" s="3273"/>
      <c r="H35" s="3273"/>
      <c r="I35" s="3274"/>
      <c r="J35" s="1694"/>
      <c r="K35" s="1775"/>
      <c r="L35" s="1723"/>
      <c r="M35" s="1723"/>
      <c r="N35" s="1694"/>
      <c r="O35" s="1695"/>
      <c r="P35" s="1694"/>
      <c r="Q35" s="1694"/>
      <c r="R35" s="1694"/>
      <c r="S35" s="1694"/>
      <c r="T35" s="1694"/>
      <c r="U35" s="1694"/>
    </row>
    <row r="36" spans="1:21">
      <c r="A36" s="3266"/>
      <c r="B36" s="3275" t="s">
        <v>2055</v>
      </c>
      <c r="C36" s="3276"/>
      <c r="D36" s="1791"/>
      <c r="E36" s="3277"/>
      <c r="F36" s="3277"/>
      <c r="G36" s="1687" t="str">
        <f>IF(B35="场地未平整","估价结果处理","")</f>
        <v/>
      </c>
      <c r="H36" s="3278"/>
      <c r="I36" s="3278"/>
      <c r="J36" s="1694"/>
      <c r="K36" s="1775"/>
      <c r="L36" s="1723"/>
      <c r="M36" s="1723"/>
      <c r="N36" s="1694"/>
      <c r="O36" s="1695"/>
      <c r="P36" s="1694"/>
      <c r="Q36" s="1694"/>
      <c r="R36" s="1694"/>
      <c r="S36" s="1694"/>
      <c r="T36" s="1694"/>
      <c r="U36" s="1694"/>
    </row>
    <row r="37" spans="1:21" ht="28.5">
      <c r="A37" s="3266"/>
      <c r="B37" s="329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6"/>
      <c r="B38" s="3297"/>
      <c r="C38" s="1669" t="s">
        <v>850</v>
      </c>
      <c r="D38" s="1790">
        <f>ROUNDDOWN(MIN(('数据-取费表'!$B$2-D37)/365,D34),1)</f>
        <v>118</v>
      </c>
      <c r="E38" s="1727" t="s">
        <v>851</v>
      </c>
      <c r="F38" s="1694"/>
      <c r="G38" s="1694"/>
      <c r="H38" s="1694"/>
      <c r="I38" s="1707"/>
      <c r="J38" s="1694"/>
      <c r="K38" s="1775"/>
      <c r="L38" s="1694"/>
      <c r="M38" s="1694"/>
      <c r="N38" s="1694"/>
      <c r="O38" s="1694"/>
      <c r="P38" s="1694"/>
      <c r="Q38" s="1694"/>
      <c r="R38" s="1694"/>
      <c r="S38" s="1694"/>
      <c r="T38" s="1694"/>
      <c r="U38" s="1694"/>
    </row>
    <row r="39" spans="1:21">
      <c r="A39" s="3267"/>
      <c r="B39" s="329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79" t="s">
        <v>1987</v>
      </c>
      <c r="T40" s="1731" t="str">
        <f>NUMBERSTRING(7-K40,1)&amp;"通"</f>
        <v>七通</v>
      </c>
      <c r="U40" s="1694"/>
    </row>
    <row r="41" spans="1:21">
      <c r="A41" s="1663"/>
      <c r="B41" s="3271" t="s">
        <v>1722</v>
      </c>
      <c r="C41" s="3271"/>
      <c r="D41" s="3271"/>
      <c r="E41" s="3271"/>
      <c r="F41" s="1732" t="str">
        <f>C10</f>
        <v>天津市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7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1"/>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17" sqref="G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59" t="s">
        <v>2334</v>
      </c>
      <c r="BA2" s="2360" t="s">
        <v>2333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163507.1</v>
      </c>
      <c r="B3" s="22">
        <f>IF(C3="否",G5-AT5,G5)</f>
        <v>294706.12</v>
      </c>
      <c r="C3" s="23" t="s">
        <v>1679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1"/>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294706.12</v>
      </c>
      <c r="H5" s="27">
        <f t="shared" ref="H5:AT5" si="0">SUM(H13:H641)</f>
        <v>243639.15</v>
      </c>
      <c r="I5" s="27">
        <f t="shared" si="0"/>
        <v>86576.849999999991</v>
      </c>
      <c r="J5" s="27">
        <f t="shared" si="0"/>
        <v>0</v>
      </c>
      <c r="K5" s="27">
        <f t="shared" si="0"/>
        <v>46073.919999999998</v>
      </c>
      <c r="L5" s="27">
        <f t="shared" si="0"/>
        <v>0</v>
      </c>
      <c r="M5" s="27">
        <f t="shared" si="0"/>
        <v>43397.479999999996</v>
      </c>
      <c r="N5" s="27">
        <f t="shared" si="0"/>
        <v>0</v>
      </c>
      <c r="O5" s="27">
        <f t="shared" si="0"/>
        <v>16630.900000000001</v>
      </c>
      <c r="P5" s="27">
        <f t="shared" si="0"/>
        <v>0</v>
      </c>
      <c r="Q5" s="27">
        <f t="shared" si="0"/>
        <v>50960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51066.97</v>
      </c>
      <c r="AD5" s="27">
        <f t="shared" si="0"/>
        <v>2932.97</v>
      </c>
      <c r="AE5" s="27">
        <f t="shared" si="0"/>
        <v>0</v>
      </c>
      <c r="AF5" s="27">
        <f t="shared" si="0"/>
        <v>0</v>
      </c>
      <c r="AG5" s="27">
        <f t="shared" si="0"/>
        <v>0</v>
      </c>
      <c r="AH5" s="27">
        <f t="shared" si="0"/>
        <v>0</v>
      </c>
      <c r="AI5" s="27">
        <f t="shared" si="0"/>
        <v>0</v>
      </c>
      <c r="AJ5" s="27">
        <f t="shared" si="0"/>
        <v>0</v>
      </c>
      <c r="AK5" s="27">
        <f t="shared" si="0"/>
        <v>0</v>
      </c>
      <c r="AL5" s="27">
        <f t="shared" si="0"/>
        <v>594</v>
      </c>
      <c r="AM5" s="27">
        <f t="shared" si="0"/>
        <v>0</v>
      </c>
      <c r="AN5" s="27">
        <f t="shared" si="0"/>
        <v>47540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294706.12</v>
      </c>
      <c r="BA5" s="29">
        <f t="shared" si="1"/>
        <v>243639.15</v>
      </c>
      <c r="BB5" s="29">
        <f t="shared" si="1"/>
        <v>86576.849999999991</v>
      </c>
      <c r="BC5" s="29">
        <f t="shared" si="1"/>
        <v>46073.919999999998</v>
      </c>
      <c r="BD5" s="29">
        <f t="shared" si="1"/>
        <v>43397.479999999996</v>
      </c>
      <c r="BE5" s="29">
        <f t="shared" si="1"/>
        <v>16630.900000000001</v>
      </c>
      <c r="BF5" s="29">
        <f t="shared" si="1"/>
        <v>50960</v>
      </c>
      <c r="BG5" s="29">
        <f t="shared" si="1"/>
        <v>0</v>
      </c>
      <c r="BH5" s="29">
        <f t="shared" si="1"/>
        <v>0</v>
      </c>
      <c r="BI5" s="29">
        <f t="shared" si="1"/>
        <v>0</v>
      </c>
      <c r="BJ5" s="29">
        <f t="shared" si="1"/>
        <v>0</v>
      </c>
      <c r="BK5" s="29">
        <f t="shared" si="1"/>
        <v>0</v>
      </c>
      <c r="BL5" s="29">
        <f t="shared" si="1"/>
        <v>51066.97</v>
      </c>
      <c r="BM5" s="29">
        <f t="shared" si="1"/>
        <v>2932.97</v>
      </c>
      <c r="BN5" s="29">
        <f t="shared" si="1"/>
        <v>0</v>
      </c>
      <c r="BO5" s="29">
        <f t="shared" si="1"/>
        <v>0</v>
      </c>
      <c r="BP5" s="29">
        <f t="shared" si="1"/>
        <v>0</v>
      </c>
      <c r="BQ5" s="29">
        <f t="shared" si="1"/>
        <v>594</v>
      </c>
      <c r="BR5" s="29">
        <f t="shared" si="1"/>
        <v>47540</v>
      </c>
      <c r="BS5" s="29">
        <f t="shared" si="1"/>
        <v>0</v>
      </c>
      <c r="BT5" s="30">
        <f t="shared" si="1"/>
        <v>0</v>
      </c>
    </row>
    <row r="6" spans="1:72" s="37" customFormat="1" ht="12.75">
      <c r="A6" s="26" t="s">
        <v>169</v>
      </c>
      <c r="B6" s="31"/>
      <c r="C6" s="31"/>
      <c r="D6" s="32"/>
      <c r="E6" s="27">
        <f>H6+AC6+AT6</f>
        <v>163507.09000000003</v>
      </c>
      <c r="F6" s="27" t="s">
        <v>1</v>
      </c>
      <c r="G6" s="27" t="s">
        <v>2</v>
      </c>
      <c r="H6" s="33">
        <f>SUMIF(I$12:AB$12,"总值",I6:AB6)</f>
        <v>135174.42000000001</v>
      </c>
      <c r="I6" s="27">
        <f t="shared" ref="I6:AB6" si="2">ROUND($A$3*I5/$B$3,2)</f>
        <v>48034.05</v>
      </c>
      <c r="J6" s="27">
        <f t="shared" si="2"/>
        <v>0</v>
      </c>
      <c r="K6" s="27">
        <f t="shared" si="2"/>
        <v>25562.46</v>
      </c>
      <c r="L6" s="27">
        <f t="shared" si="2"/>
        <v>0</v>
      </c>
      <c r="M6" s="27">
        <f t="shared" si="2"/>
        <v>24077.53</v>
      </c>
      <c r="N6" s="27">
        <f t="shared" si="2"/>
        <v>0</v>
      </c>
      <c r="O6" s="27">
        <f t="shared" si="2"/>
        <v>9227.06</v>
      </c>
      <c r="P6" s="27">
        <f t="shared" si="2"/>
        <v>0</v>
      </c>
      <c r="Q6" s="27">
        <f t="shared" si="2"/>
        <v>28273.32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28332.670000000002</v>
      </c>
      <c r="AD6" s="27">
        <f t="shared" ref="AD6:AS6" si="3">ROUND($A$3*AD5/$B$3,2)</f>
        <v>1627.25</v>
      </c>
      <c r="AE6" s="27">
        <f t="shared" si="3"/>
        <v>0</v>
      </c>
      <c r="AF6" s="27">
        <f t="shared" si="3"/>
        <v>0</v>
      </c>
      <c r="AG6" s="27">
        <f t="shared" si="3"/>
        <v>0</v>
      </c>
      <c r="AH6" s="27">
        <f t="shared" si="3"/>
        <v>0</v>
      </c>
      <c r="AI6" s="27">
        <f t="shared" si="3"/>
        <v>0</v>
      </c>
      <c r="AJ6" s="27">
        <f t="shared" si="3"/>
        <v>0</v>
      </c>
      <c r="AK6" s="27">
        <f t="shared" si="3"/>
        <v>0</v>
      </c>
      <c r="AL6" s="27">
        <f t="shared" si="3"/>
        <v>329.56</v>
      </c>
      <c r="AM6" s="27">
        <f t="shared" si="3"/>
        <v>0</v>
      </c>
      <c r="AN6" s="27">
        <f t="shared" si="3"/>
        <v>26375.86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163507.1</v>
      </c>
      <c r="AZ6" s="27" t="s">
        <v>3</v>
      </c>
      <c r="BA6" s="27">
        <f>ROUND($AY$6*BA5/$AZ$5,2)</f>
        <v>135174.43</v>
      </c>
      <c r="BB6" s="27">
        <f>ROUND($AY$6*BB5/$AZ$5,2)</f>
        <v>48034.05</v>
      </c>
      <c r="BC6" s="27">
        <f t="shared" ref="BC6:BH6" si="4">ROUND($AY$6*BC5/$AZ$5,2)</f>
        <v>25562.46</v>
      </c>
      <c r="BD6" s="27">
        <f t="shared" si="4"/>
        <v>24077.53</v>
      </c>
      <c r="BE6" s="27">
        <f t="shared" si="4"/>
        <v>9227.06</v>
      </c>
      <c r="BF6" s="27">
        <f t="shared" si="4"/>
        <v>28273.32</v>
      </c>
      <c r="BG6" s="27">
        <f t="shared" si="4"/>
        <v>0</v>
      </c>
      <c r="BH6" s="27">
        <f t="shared" si="4"/>
        <v>0</v>
      </c>
      <c r="BI6" s="27">
        <f t="shared" ref="BI6:BT6" si="5">ROUND($AY$6*BI5/$AZ$5,2)</f>
        <v>0</v>
      </c>
      <c r="BJ6" s="27">
        <f t="shared" si="5"/>
        <v>0</v>
      </c>
      <c r="BK6" s="27">
        <f t="shared" si="5"/>
        <v>0</v>
      </c>
      <c r="BL6" s="27">
        <f t="shared" si="5"/>
        <v>28332.67</v>
      </c>
      <c r="BM6" s="27">
        <f t="shared" si="5"/>
        <v>1627.25</v>
      </c>
      <c r="BN6" s="27">
        <f t="shared" si="5"/>
        <v>0</v>
      </c>
      <c r="BO6" s="27">
        <f t="shared" si="5"/>
        <v>0</v>
      </c>
      <c r="BP6" s="27">
        <f t="shared" si="5"/>
        <v>0</v>
      </c>
      <c r="BQ6" s="27">
        <f t="shared" si="5"/>
        <v>329.56</v>
      </c>
      <c r="BR6" s="27">
        <f t="shared" si="5"/>
        <v>26375.86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6"/>
      <c r="AT8" s="2327" t="s">
        <v>855</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2985</v>
      </c>
      <c r="J9" s="51"/>
      <c r="K9" s="3044" t="s">
        <v>2985</v>
      </c>
      <c r="L9" s="51"/>
      <c r="M9" s="3044" t="s">
        <v>2985</v>
      </c>
      <c r="N9" s="51"/>
      <c r="O9" s="59" t="s">
        <v>2985</v>
      </c>
      <c r="P9" s="51"/>
      <c r="Q9" s="59" t="s">
        <v>2986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28"/>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923</v>
      </c>
      <c r="J10" s="51"/>
      <c r="K10" s="3046" t="s">
        <v>923</v>
      </c>
      <c r="L10" s="51"/>
      <c r="M10" s="3046" t="s">
        <v>923</v>
      </c>
      <c r="N10" s="51"/>
      <c r="O10" s="66" t="s">
        <v>923</v>
      </c>
      <c r="P10" s="51"/>
      <c r="Q10" s="66" t="s">
        <v>2987</v>
      </c>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3085</v>
      </c>
      <c r="J11" s="71"/>
      <c r="K11" s="3045" t="s">
        <v>3092</v>
      </c>
      <c r="L11" s="71"/>
      <c r="M11" s="70" t="s">
        <v>3096</v>
      </c>
      <c r="N11" s="71"/>
      <c r="O11" s="70" t="s">
        <v>3100</v>
      </c>
      <c r="P11" s="71"/>
      <c r="Q11" s="70" t="s">
        <v>2987</v>
      </c>
      <c r="R11" s="71"/>
      <c r="S11" s="70"/>
      <c r="T11" s="71"/>
      <c r="U11" s="70"/>
      <c r="V11" s="71"/>
      <c r="W11" s="70"/>
      <c r="X11" s="71"/>
      <c r="Y11" s="70"/>
      <c r="Z11" s="71"/>
      <c r="AA11" s="70"/>
      <c r="AB11" s="71"/>
      <c r="AC11" s="55"/>
      <c r="AD11" s="2333" t="s">
        <v>2331</v>
      </c>
      <c r="AE11" s="1003"/>
      <c r="AF11" s="2333" t="s">
        <v>2331</v>
      </c>
      <c r="AG11" s="1003"/>
      <c r="AH11" s="2333" t="s">
        <v>2330</v>
      </c>
      <c r="AI11" s="2334"/>
      <c r="AJ11" s="2333" t="s">
        <v>2330</v>
      </c>
      <c r="AK11" s="2332"/>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普通住宅</v>
      </c>
      <c r="BC12" s="79" t="str">
        <f>K11</f>
        <v>联排</v>
      </c>
      <c r="BD12" s="79" t="str">
        <f>M11</f>
        <v>叠拼</v>
      </c>
      <c r="BE12" s="50" t="str">
        <f>O11</f>
        <v>洋房</v>
      </c>
      <c r="BF12" s="50" t="str">
        <f>Q11</f>
        <v>车库</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39"/>
      <c r="B13" s="3039"/>
      <c r="C13" s="3039" t="s">
        <v>3095</v>
      </c>
      <c r="D13" s="3040" t="s">
        <v>1679</v>
      </c>
      <c r="E13" s="27">
        <f t="shared" ref="E13:E20" si="6">IF($C$3="是",ROUND($A$3*G13/$B$3,2),ROUND($A$3*(G13-AT13)/$B$3,2))</f>
        <v>48034.05</v>
      </c>
      <c r="F13" s="81"/>
      <c r="G13" s="82">
        <f t="shared" ref="G13:G20" si="7">H13+AC13+AT13</f>
        <v>86576.849999999991</v>
      </c>
      <c r="H13" s="33">
        <f t="shared" ref="H13:H20" si="8">SUMIF(I$12:AB$12,"总值",I13:AB13)</f>
        <v>86576.849999999991</v>
      </c>
      <c r="I13" s="3043">
        <f>面积!G5</f>
        <v>86576.849999999991</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中高层</v>
      </c>
      <c r="AY13" s="997">
        <f t="shared" ref="AY13:AY20" si="11">ROUND($AY$6*AZ13/$AZ$5,2)</f>
        <v>48034.05</v>
      </c>
      <c r="AZ13" s="27">
        <f t="shared" ref="AZ13:AZ20" si="12">BA13+BL13</f>
        <v>86576.849999999991</v>
      </c>
      <c r="BA13" s="27">
        <f t="shared" ref="BA13:BA20" si="13">SUM(BB13:BK13)</f>
        <v>86576.849999999991</v>
      </c>
      <c r="BB13" s="27">
        <f t="shared" ref="BB13:BB20" si="14">IF($D13="是",I13-J13,0)</f>
        <v>86576.849999999991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3093</v>
      </c>
      <c r="D14" s="3040" t="s">
        <v>1679</v>
      </c>
      <c r="E14" s="27">
        <f t="shared" si="6"/>
        <v>25562.46</v>
      </c>
      <c r="F14" s="81"/>
      <c r="G14" s="82">
        <f t="shared" si="7"/>
        <v>46073.919999999998</v>
      </c>
      <c r="H14" s="33">
        <f t="shared" si="8"/>
        <v>46073.919999999998</v>
      </c>
      <c r="I14" s="3043"/>
      <c r="J14" s="3043"/>
      <c r="K14" s="3043">
        <f>面积!G2</f>
        <v>46073.919999999998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联排</v>
      </c>
      <c r="AY14" s="997">
        <f t="shared" si="11"/>
        <v>25562.46</v>
      </c>
      <c r="AZ14" s="27">
        <f t="shared" si="12"/>
        <v>46073.919999999998</v>
      </c>
      <c r="BA14" s="27">
        <f t="shared" si="13"/>
        <v>46073.919999999998</v>
      </c>
      <c r="BB14" s="27">
        <f t="shared" si="14"/>
        <v>0</v>
      </c>
      <c r="BC14" s="27">
        <f t="shared" si="15"/>
        <v>46073.919999999998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3097</v>
      </c>
      <c r="D15" s="3040" t="s">
        <v>1679</v>
      </c>
      <c r="E15" s="27">
        <f t="shared" si="6"/>
        <v>24077.53</v>
      </c>
      <c r="F15" s="81"/>
      <c r="G15" s="82">
        <f t="shared" si="7"/>
        <v>43397.479999999996</v>
      </c>
      <c r="H15" s="33">
        <f t="shared" si="8"/>
        <v>43397.479999999996</v>
      </c>
      <c r="I15" s="3043"/>
      <c r="J15" s="3043"/>
      <c r="K15" s="3043"/>
      <c r="L15" s="3043"/>
      <c r="M15" s="3043">
        <f>面积!G3</f>
        <v>43397.479999999996</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叠拼</v>
      </c>
      <c r="AY15" s="997">
        <f t="shared" si="11"/>
        <v>24077.53</v>
      </c>
      <c r="AZ15" s="27">
        <f t="shared" si="12"/>
        <v>43397.479999999996</v>
      </c>
      <c r="BA15" s="27">
        <f t="shared" si="13"/>
        <v>43397.479999999996</v>
      </c>
      <c r="BB15" s="27">
        <f t="shared" si="14"/>
        <v>0</v>
      </c>
      <c r="BC15" s="27">
        <f t="shared" si="15"/>
        <v>0</v>
      </c>
      <c r="BD15" s="27">
        <f t="shared" si="16"/>
        <v>43397.479999999996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3101</v>
      </c>
      <c r="D16" s="3040" t="s">
        <v>1679</v>
      </c>
      <c r="E16" s="27">
        <f t="shared" si="6"/>
        <v>9227.06</v>
      </c>
      <c r="F16" s="81"/>
      <c r="G16" s="82">
        <f t="shared" si="7"/>
        <v>16630.900000000001</v>
      </c>
      <c r="H16" s="33">
        <f t="shared" si="8"/>
        <v>16630.900000000001</v>
      </c>
      <c r="I16" s="3043"/>
      <c r="J16" s="3043"/>
      <c r="K16" s="3043"/>
      <c r="L16" s="3043"/>
      <c r="M16" s="3043"/>
      <c r="N16" s="83"/>
      <c r="O16" s="83">
        <f>面积!G4</f>
        <v>16630.900000000001</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洋房</v>
      </c>
      <c r="AY16" s="997">
        <f t="shared" si="11"/>
        <v>9227.06</v>
      </c>
      <c r="AZ16" s="27">
        <f t="shared" si="12"/>
        <v>16630.900000000001</v>
      </c>
      <c r="BA16" s="27">
        <f t="shared" si="13"/>
        <v>16630.900000000001</v>
      </c>
      <c r="BB16" s="27">
        <f t="shared" si="14"/>
        <v>0</v>
      </c>
      <c r="BC16" s="27">
        <f t="shared" si="15"/>
        <v>0</v>
      </c>
      <c r="BD16" s="27">
        <f t="shared" si="16"/>
        <v>0</v>
      </c>
      <c r="BE16" s="27">
        <f t="shared" si="17"/>
        <v>16630.900000000001</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3098</v>
      </c>
      <c r="D17" s="3040" t="s">
        <v>1679</v>
      </c>
      <c r="E17" s="27">
        <f t="shared" si="6"/>
        <v>28273.32</v>
      </c>
      <c r="F17" s="81"/>
      <c r="G17" s="82">
        <f t="shared" si="7"/>
        <v>50960</v>
      </c>
      <c r="H17" s="33">
        <f t="shared" si="8"/>
        <v>50960</v>
      </c>
      <c r="I17" s="3043"/>
      <c r="J17" s="3043"/>
      <c r="K17" s="3043"/>
      <c r="L17" s="3043"/>
      <c r="M17" s="3043"/>
      <c r="N17" s="83"/>
      <c r="O17" s="83"/>
      <c r="P17" s="83"/>
      <c r="Q17" s="83">
        <f>面积!G6</f>
        <v>50960</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地下车库</v>
      </c>
      <c r="AY17" s="997">
        <f t="shared" si="11"/>
        <v>28273.32</v>
      </c>
      <c r="AZ17" s="27">
        <f t="shared" si="12"/>
        <v>50960</v>
      </c>
      <c r="BA17" s="27">
        <f t="shared" si="13"/>
        <v>50960</v>
      </c>
      <c r="BB17" s="27">
        <f t="shared" si="14"/>
        <v>0</v>
      </c>
      <c r="BC17" s="27">
        <f t="shared" si="15"/>
        <v>0</v>
      </c>
      <c r="BD17" s="27">
        <f t="shared" si="16"/>
        <v>0</v>
      </c>
      <c r="BE17" s="27">
        <f t="shared" si="17"/>
        <v>0</v>
      </c>
      <c r="BF17" s="27">
        <f t="shared" si="18"/>
        <v>50960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00" t="s">
        <v>3099</v>
      </c>
      <c r="D18" s="3042" t="s">
        <v>1679</v>
      </c>
      <c r="E18" s="87">
        <f t="shared" si="6"/>
        <v>26705.42</v>
      </c>
      <c r="F18" s="88"/>
      <c r="G18" s="89">
        <f t="shared" si="7"/>
        <v>48134</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48134</v>
      </c>
      <c r="AD18" s="92"/>
      <c r="AE18" s="92"/>
      <c r="AF18" s="1395"/>
      <c r="AG18" s="92"/>
      <c r="AH18" s="92"/>
      <c r="AI18" s="92"/>
      <c r="AJ18" s="92"/>
      <c r="AK18" s="92"/>
      <c r="AL18" s="1365">
        <f>面积!G7</f>
        <v>594</v>
      </c>
      <c r="AM18" s="92"/>
      <c r="AN18" s="1395">
        <f>面积!G8</f>
        <v>47540</v>
      </c>
      <c r="AO18" s="92"/>
      <c r="AP18" s="92"/>
      <c r="AQ18" s="92"/>
      <c r="AR18" s="92"/>
      <c r="AS18" s="92"/>
      <c r="AT18" s="93"/>
      <c r="AU18" s="94"/>
      <c r="AV18" s="993">
        <f t="shared" si="10"/>
        <v>0</v>
      </c>
      <c r="AW18" s="993">
        <f t="shared" si="10"/>
        <v>0</v>
      </c>
      <c r="AX18" s="993" t="str">
        <f t="shared" si="10"/>
        <v>附属用房</v>
      </c>
      <c r="AY18" s="95">
        <f t="shared" si="11"/>
        <v>26705.42</v>
      </c>
      <c r="AZ18" s="87">
        <f t="shared" si="12"/>
        <v>48134</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48134</v>
      </c>
      <c r="BM18" s="87">
        <f t="shared" si="25"/>
        <v>0</v>
      </c>
      <c r="BN18" s="87">
        <f t="shared" si="26"/>
        <v>0</v>
      </c>
      <c r="BO18" s="87">
        <f t="shared" si="27"/>
        <v>0</v>
      </c>
      <c r="BP18" s="87">
        <f t="shared" si="28"/>
        <v>0</v>
      </c>
      <c r="BQ18" s="87">
        <f t="shared" si="29"/>
        <v>594</v>
      </c>
      <c r="BR18" s="87">
        <f t="shared" si="30"/>
        <v>47540</v>
      </c>
      <c r="BS18" s="87">
        <f t="shared" si="31"/>
        <v>0</v>
      </c>
      <c r="BT18" s="96">
        <f t="shared" si="32"/>
        <v>0</v>
      </c>
    </row>
    <row r="19" spans="1:72">
      <c r="A19" s="84"/>
      <c r="B19" s="1399"/>
      <c r="C19" s="1395" t="s">
        <v>3119</v>
      </c>
      <c r="D19" s="3228" t="s">
        <v>1679</v>
      </c>
      <c r="E19" s="87">
        <f t="shared" si="6"/>
        <v>1627.25</v>
      </c>
      <c r="F19" s="88"/>
      <c r="G19" s="89">
        <f t="shared" si="7"/>
        <v>2932.97</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2932.97</v>
      </c>
      <c r="AD19" s="92">
        <v>2932.97</v>
      </c>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t="str">
        <f t="shared" si="10"/>
        <v>幼儿园</v>
      </c>
      <c r="AY19" s="95">
        <f t="shared" si="11"/>
        <v>1627.25</v>
      </c>
      <c r="AZ19" s="87">
        <f t="shared" si="12"/>
        <v>2932.97</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2932.97</v>
      </c>
      <c r="BM19" s="87">
        <f t="shared" si="25"/>
        <v>2932.97</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C1" workbookViewId="0">
      <selection activeCell="D33" sqref="D33"/>
    </sheetView>
  </sheetViews>
  <sheetFormatPr defaultRowHeight="13.5"/>
  <cols>
    <col min="1" max="1" width="23.125" customWidth="1"/>
    <col min="2" max="2" width="11.875" customWidth="1"/>
    <col min="3" max="3" width="13.375" customWidth="1"/>
    <col min="4" max="4" width="13.75" customWidth="1"/>
    <col min="5" max="5" width="12.625" customWidth="1"/>
    <col min="6" max="6" width="11.875" customWidth="1"/>
    <col min="7" max="7" width="10.375" customWidth="1"/>
    <col min="8" max="8" width="8.5" customWidth="1"/>
  </cols>
  <sheetData>
    <row r="1" spans="1:9">
      <c r="A1" s="3175"/>
      <c r="C1" s="3175" t="s">
        <v>3102</v>
      </c>
      <c r="D1" s="3175" t="s">
        <v>3103</v>
      </c>
      <c r="E1" s="3175" t="s">
        <v>3104</v>
      </c>
      <c r="G1" s="3175" t="s">
        <v>3105</v>
      </c>
      <c r="I1" s="3175"/>
    </row>
    <row r="2" spans="1:9">
      <c r="B2" s="3175"/>
      <c r="C2" s="3201">
        <v>2</v>
      </c>
      <c r="D2" s="3201">
        <v>14460.16</v>
      </c>
      <c r="E2" s="3175"/>
      <c r="F2" s="3175" t="s">
        <v>3106</v>
      </c>
      <c r="G2" s="3202">
        <f>D2+D3</f>
        <v>46073.919999999998</v>
      </c>
    </row>
    <row r="3" spans="1:9">
      <c r="A3" s="3175"/>
      <c r="C3" s="3202">
        <v>2</v>
      </c>
      <c r="D3" s="3202">
        <v>31613.759999999998</v>
      </c>
      <c r="F3" s="3175" t="s">
        <v>3107</v>
      </c>
      <c r="G3" s="3203">
        <f>D4+D13+D19+D22+D26+D27+D29</f>
        <v>43397.479999999996</v>
      </c>
    </row>
    <row r="4" spans="1:9">
      <c r="A4" s="3175"/>
      <c r="C4" s="3203">
        <v>4</v>
      </c>
      <c r="D4" s="3203">
        <v>5636.84</v>
      </c>
      <c r="E4" s="3211">
        <v>1000</v>
      </c>
      <c r="F4" s="3175" t="s">
        <v>3108</v>
      </c>
      <c r="G4" s="3208">
        <f>D12+D21</f>
        <v>16630.900000000001</v>
      </c>
    </row>
    <row r="5" spans="1:9">
      <c r="A5" s="3175"/>
      <c r="C5" s="3205">
        <v>28</v>
      </c>
      <c r="D5" s="3205">
        <v>9521.9</v>
      </c>
      <c r="F5" s="3175" t="s">
        <v>3109</v>
      </c>
      <c r="G5" s="3205">
        <f>D5+D6+D7+D8+D20+D25</f>
        <v>86576.849999999991</v>
      </c>
    </row>
    <row r="6" spans="1:9">
      <c r="A6" s="3175"/>
      <c r="B6" s="3175"/>
      <c r="C6" s="3205">
        <v>18</v>
      </c>
      <c r="D6" s="3205">
        <v>22035.69</v>
      </c>
      <c r="F6" s="3175" t="s">
        <v>3110</v>
      </c>
      <c r="G6" s="3175">
        <f>1274*40</f>
        <v>50960</v>
      </c>
    </row>
    <row r="7" spans="1:9">
      <c r="A7" s="3175"/>
      <c r="B7" s="3175"/>
      <c r="C7" s="3205">
        <v>15</v>
      </c>
      <c r="D7" s="3205">
        <v>12282.2</v>
      </c>
      <c r="F7" s="3175" t="s">
        <v>3111</v>
      </c>
      <c r="G7" s="3209">
        <f>D28</f>
        <v>594</v>
      </c>
    </row>
    <row r="8" spans="1:9">
      <c r="A8" s="3175"/>
      <c r="C8" s="3205">
        <v>10</v>
      </c>
      <c r="D8" s="3205">
        <v>3736.32</v>
      </c>
      <c r="F8" s="3175" t="s">
        <v>3112</v>
      </c>
      <c r="G8">
        <f>E31-G6</f>
        <v>47540</v>
      </c>
    </row>
    <row r="9" spans="1:9">
      <c r="C9" s="3210">
        <v>-1</v>
      </c>
      <c r="D9" s="3211"/>
      <c r="E9" s="3211">
        <v>4298.8</v>
      </c>
      <c r="F9" s="3175" t="s">
        <v>3118</v>
      </c>
      <c r="G9">
        <v>2932.97</v>
      </c>
    </row>
    <row r="10" spans="1:9">
      <c r="C10" s="3210">
        <v>-1</v>
      </c>
      <c r="D10" s="3211"/>
      <c r="E10" s="3211">
        <v>13756.08</v>
      </c>
    </row>
    <row r="11" spans="1:9">
      <c r="C11" s="3210">
        <v>-1</v>
      </c>
      <c r="D11" s="3211"/>
      <c r="E11" s="3211">
        <v>11875.52</v>
      </c>
    </row>
    <row r="12" spans="1:9">
      <c r="B12" s="3175"/>
      <c r="C12" s="3207">
        <v>6</v>
      </c>
      <c r="D12" s="3207">
        <v>11345.94</v>
      </c>
    </row>
    <row r="13" spans="1:9">
      <c r="A13" s="3175"/>
      <c r="C13" s="3204">
        <v>4</v>
      </c>
      <c r="D13" s="3203">
        <v>4867.78</v>
      </c>
    </row>
    <row r="14" spans="1:9">
      <c r="A14" s="3175"/>
      <c r="C14" s="3210">
        <v>-1</v>
      </c>
      <c r="D14" s="3211"/>
      <c r="E14" s="3211">
        <v>1297.01</v>
      </c>
    </row>
    <row r="15" spans="1:9">
      <c r="A15" s="3175"/>
      <c r="C15" s="3210">
        <v>-1</v>
      </c>
      <c r="D15" s="3211"/>
      <c r="E15" s="3211">
        <v>3941.46</v>
      </c>
    </row>
    <row r="16" spans="1:9">
      <c r="A16" s="3175"/>
      <c r="C16" s="3210">
        <v>-1</v>
      </c>
      <c r="D16" s="3211"/>
      <c r="E16" s="3211">
        <v>1445.87</v>
      </c>
    </row>
    <row r="17" spans="1:8">
      <c r="A17" s="3175"/>
      <c r="C17" s="3210">
        <v>-1</v>
      </c>
      <c r="D17" s="3211"/>
      <c r="E17" s="3211">
        <v>9062.82</v>
      </c>
    </row>
    <row r="18" spans="1:8">
      <c r="C18" s="3210">
        <v>-1</v>
      </c>
      <c r="D18" s="3211"/>
      <c r="E18" s="3211">
        <v>27825.33</v>
      </c>
    </row>
    <row r="19" spans="1:8">
      <c r="C19" s="3204">
        <v>4</v>
      </c>
      <c r="D19" s="3203">
        <v>14452.76</v>
      </c>
    </row>
    <row r="20" spans="1:8">
      <c r="C20" s="3206">
        <v>28</v>
      </c>
      <c r="D20" s="3205">
        <v>9504.5</v>
      </c>
    </row>
    <row r="21" spans="1:8">
      <c r="A21" s="3175"/>
      <c r="B21" s="3175"/>
      <c r="C21" s="3207">
        <v>7</v>
      </c>
      <c r="D21" s="3208">
        <v>5284.96</v>
      </c>
    </row>
    <row r="22" spans="1:8">
      <c r="C22" s="3203">
        <v>4</v>
      </c>
      <c r="D22" s="3203">
        <v>1613.98</v>
      </c>
    </row>
    <row r="23" spans="1:8">
      <c r="C23" s="3211">
        <v>-1</v>
      </c>
      <c r="D23" s="3211"/>
      <c r="E23" s="3211">
        <v>3896.83</v>
      </c>
      <c r="G23">
        <v>500</v>
      </c>
    </row>
    <row r="24" spans="1:8">
      <c r="B24" s="3175"/>
      <c r="C24" s="3210">
        <v>-1</v>
      </c>
      <c r="D24" s="3210"/>
      <c r="E24" s="3211">
        <v>8918.2900000000009</v>
      </c>
      <c r="G24">
        <v>3000</v>
      </c>
    </row>
    <row r="25" spans="1:8">
      <c r="A25" s="3175"/>
      <c r="C25" s="3206">
        <v>25</v>
      </c>
      <c r="D25" s="3206">
        <v>29496.240000000002</v>
      </c>
      <c r="G25">
        <v>150</v>
      </c>
    </row>
    <row r="26" spans="1:8">
      <c r="A26" s="3175"/>
      <c r="C26" s="3204">
        <v>4</v>
      </c>
      <c r="D26" s="3204">
        <v>6721.4</v>
      </c>
      <c r="G26">
        <v>100</v>
      </c>
    </row>
    <row r="27" spans="1:8">
      <c r="A27" s="3175"/>
      <c r="C27" s="3204">
        <v>4</v>
      </c>
      <c r="D27" s="3204">
        <v>4055.28</v>
      </c>
      <c r="G27">
        <v>35</v>
      </c>
    </row>
    <row r="28" spans="1:8">
      <c r="C28" s="3212">
        <v>1</v>
      </c>
      <c r="D28" s="3212">
        <v>594</v>
      </c>
      <c r="G28">
        <v>150</v>
      </c>
    </row>
    <row r="29" spans="1:8">
      <c r="C29" s="3204">
        <v>4</v>
      </c>
      <c r="D29" s="3204">
        <v>6049.44</v>
      </c>
      <c r="G29">
        <v>120</v>
      </c>
    </row>
    <row r="30" spans="1:8">
      <c r="B30" s="3175"/>
      <c r="C30" s="3210">
        <v>-1</v>
      </c>
      <c r="D30" s="3210"/>
      <c r="E30" s="3210">
        <v>11181.99</v>
      </c>
      <c r="F30" s="3175"/>
      <c r="G30" s="3175">
        <v>20</v>
      </c>
      <c r="H30" s="3175"/>
    </row>
    <row r="31" spans="1:8">
      <c r="A31" s="3175"/>
      <c r="C31" s="3175" t="s">
        <v>3105</v>
      </c>
      <c r="D31" s="3175">
        <v>193273.15</v>
      </c>
      <c r="E31">
        <v>98500</v>
      </c>
      <c r="G31" s="3175">
        <v>120</v>
      </c>
    </row>
    <row r="32" spans="1:8">
      <c r="A32" s="3175"/>
      <c r="G32" s="3175">
        <v>150</v>
      </c>
    </row>
    <row r="33" spans="1:7">
      <c r="A33" s="3175"/>
      <c r="G33" s="3203">
        <f>SUM(G23:G32)</f>
        <v>4345</v>
      </c>
    </row>
    <row r="34" spans="1:7">
      <c r="A34" s="3175"/>
      <c r="B34" s="3175"/>
      <c r="D34" s="3175"/>
    </row>
  </sheetData>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1" t="s">
        <v>203</v>
      </c>
      <c r="B2" s="3321"/>
      <c r="C2" s="3321"/>
      <c r="D2" s="1974" t="s">
        <v>204</v>
      </c>
      <c r="E2" s="106" t="s">
        <v>205</v>
      </c>
      <c r="F2" s="1983"/>
      <c r="G2" s="1199"/>
      <c r="H2" s="1200"/>
      <c r="I2" s="1201" t="s">
        <v>857</v>
      </c>
      <c r="J2" s="1983"/>
      <c r="K2" s="1983"/>
      <c r="L2" s="1983"/>
    </row>
    <row r="3" spans="1:16" ht="15.75" thickBot="1">
      <c r="A3" s="3322" t="s">
        <v>206</v>
      </c>
      <c r="B3" s="3322"/>
      <c r="C3" s="3322"/>
      <c r="D3" s="107">
        <f>'数据-基础表'!AY6</f>
        <v>163507.1</v>
      </c>
      <c r="E3" s="107">
        <f>'数据-基础表'!AZ5</f>
        <v>294706.12</v>
      </c>
      <c r="F3" s="1983"/>
      <c r="G3" s="278" t="s">
        <v>858</v>
      </c>
      <c r="H3" s="273" t="s">
        <v>859</v>
      </c>
      <c r="I3" s="1975">
        <f>ROUND('数据-基础表'!B3/'数据-基础表'!A3,2)</f>
        <v>1.8</v>
      </c>
      <c r="J3" s="1983"/>
      <c r="K3" s="1983"/>
      <c r="L3" s="1983"/>
    </row>
    <row r="4" spans="1:16" ht="15">
      <c r="A4" s="3323"/>
      <c r="B4" s="3324"/>
      <c r="C4" s="3325"/>
      <c r="D4" s="108" t="s">
        <v>204</v>
      </c>
      <c r="E4" s="109" t="s">
        <v>205</v>
      </c>
      <c r="F4" s="1983"/>
      <c r="G4" s="1202"/>
      <c r="H4" s="273" t="s">
        <v>860</v>
      </c>
      <c r="I4" s="1975">
        <f>ROUND(SUMIF('数据-基础表'!I9:AS9,"地上",'数据-基础表'!I5:AS5)/'数据-基础表'!A3,2)</f>
        <v>1.2</v>
      </c>
      <c r="J4" s="1983"/>
      <c r="K4" s="1983"/>
      <c r="L4" s="1983"/>
    </row>
    <row r="5" spans="1:16">
      <c r="A5" s="110" t="s">
        <v>207</v>
      </c>
      <c r="B5" s="3326" t="s">
        <v>230</v>
      </c>
      <c r="C5" s="3326"/>
      <c r="D5" s="111">
        <f>ROUND($D$3*E5/$E$3,2)</f>
        <v>106901.1</v>
      </c>
      <c r="E5" s="112">
        <f>SUMIF('数据-基础表'!$11:$11,"住宅",'数据-基础表'!$5:$5)</f>
        <v>192679.15</v>
      </c>
      <c r="F5" s="1983"/>
      <c r="G5" s="278" t="s">
        <v>861</v>
      </c>
      <c r="H5" s="273" t="s">
        <v>859</v>
      </c>
      <c r="I5" s="1975">
        <f>ROUND(E31/D31,2)</f>
        <v>1.8</v>
      </c>
      <c r="J5" s="1983"/>
      <c r="K5" s="1983"/>
      <c r="L5" s="1983"/>
    </row>
    <row r="6" spans="1:16" ht="15" thickBot="1">
      <c r="A6" s="113"/>
      <c r="B6" s="3326" t="s">
        <v>208</v>
      </c>
      <c r="C6" s="3326"/>
      <c r="D6" s="111">
        <f>ROUND($D$3*E6/$E$3,2)</f>
        <v>56606</v>
      </c>
      <c r="E6" s="112">
        <f>E3-E5</f>
        <v>102026.97</v>
      </c>
      <c r="F6" s="1983"/>
      <c r="G6" s="1202"/>
      <c r="H6" s="273" t="s">
        <v>860</v>
      </c>
      <c r="I6" s="1975">
        <f>ROUND(F31/D31,2)</f>
        <v>1.2</v>
      </c>
      <c r="J6" s="1983"/>
      <c r="K6" s="1983"/>
      <c r="L6" s="1983"/>
    </row>
    <row r="7" spans="1:16" ht="15">
      <c r="A7" s="3318"/>
      <c r="B7" s="3319"/>
      <c r="C7" s="3320"/>
      <c r="D7" s="108" t="s">
        <v>204</v>
      </c>
      <c r="E7" s="114" t="s">
        <v>231</v>
      </c>
      <c r="F7" s="1983"/>
      <c r="G7" s="1157" t="s">
        <v>1646</v>
      </c>
      <c r="H7" s="1158"/>
      <c r="I7" s="1845">
        <v>4</v>
      </c>
      <c r="J7" s="1983"/>
      <c r="K7" s="1983"/>
      <c r="L7" s="1983"/>
    </row>
    <row r="8" spans="1:16">
      <c r="A8" s="110" t="s">
        <v>209</v>
      </c>
      <c r="B8" s="115" t="s">
        <v>210</v>
      </c>
      <c r="C8" s="111" t="s">
        <v>211</v>
      </c>
      <c r="D8" s="111">
        <f t="shared" ref="D8:D15" si="0">ROUND($D$3*E8/$E$3,2)</f>
        <v>106901.1</v>
      </c>
      <c r="E8" s="116">
        <f>SUMIF('数据-基础表'!BB10:BK10,"地上",'数据-基础表'!BB5:BK5)</f>
        <v>192679.15</v>
      </c>
      <c r="F8" s="1983"/>
      <c r="G8" s="1985"/>
      <c r="H8" s="1985"/>
      <c r="I8" s="1983"/>
      <c r="J8" s="1983"/>
      <c r="K8" s="1983"/>
      <c r="L8" s="1983"/>
    </row>
    <row r="9" spans="1:16">
      <c r="A9" s="117"/>
      <c r="B9" s="118"/>
      <c r="C9" s="111" t="s">
        <v>212</v>
      </c>
      <c r="D9" s="111">
        <f t="shared" si="0"/>
        <v>1627.25</v>
      </c>
      <c r="E9" s="3229">
        <f>'数据-基础表'!AD19</f>
        <v>2932.97</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28273.32</v>
      </c>
      <c r="E13" s="116">
        <f>SUMPRODUCT(('数据-基础表'!BB10:BK10="地下")*('数据-基础表'!BB11:BK11="车库")*('数据-基础表'!BB5:BK5))</f>
        <v>50960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136801.67000000001</v>
      </c>
      <c r="E16" s="119">
        <f>SUM(E8:E15)</f>
        <v>246572.12</v>
      </c>
      <c r="F16" s="1983"/>
      <c r="G16" s="1985"/>
      <c r="H16" s="969" t="s">
        <v>219</v>
      </c>
      <c r="I16" s="970"/>
      <c r="J16" s="1983"/>
      <c r="K16" s="3312" t="s">
        <v>2570</v>
      </c>
      <c r="L16" s="3313"/>
      <c r="M16" s="3313"/>
      <c r="N16" s="3313"/>
      <c r="O16" s="3313"/>
      <c r="P16" s="3314"/>
    </row>
    <row r="17" spans="1:19" ht="15">
      <c r="A17" s="120" t="s">
        <v>216</v>
      </c>
      <c r="B17" s="121" t="s">
        <v>217</v>
      </c>
      <c r="C17" s="2297" t="s">
        <v>2314</v>
      </c>
      <c r="D17" s="108" t="s">
        <v>204</v>
      </c>
      <c r="E17" s="123" t="s">
        <v>205</v>
      </c>
      <c r="F17" s="124"/>
      <c r="G17" s="1366"/>
      <c r="H17" s="971" t="s">
        <v>218</v>
      </c>
      <c r="I17" s="972" t="s">
        <v>2313</v>
      </c>
      <c r="J17" s="1983"/>
      <c r="K17" s="3315" t="s">
        <v>2571</v>
      </c>
      <c r="L17" s="3316"/>
      <c r="M17" s="3317"/>
      <c r="N17" s="3315" t="s">
        <v>2572</v>
      </c>
      <c r="O17" s="3316"/>
      <c r="P17" s="3317"/>
      <c r="R17" s="2298" t="s">
        <v>2312</v>
      </c>
      <c r="S17" s="143"/>
    </row>
    <row r="18" spans="1:19" ht="15">
      <c r="A18" s="117"/>
      <c r="B18" s="127"/>
      <c r="C18" s="128"/>
      <c r="D18" s="2666"/>
      <c r="E18" s="129" t="s">
        <v>220</v>
      </c>
      <c r="F18" s="130" t="s">
        <v>221</v>
      </c>
      <c r="G18" s="1367" t="s">
        <v>222</v>
      </c>
      <c r="H18" s="973" t="s">
        <v>223</v>
      </c>
      <c r="I18" s="974" t="s">
        <v>224</v>
      </c>
      <c r="J18" s="1983"/>
      <c r="K18" s="2628" t="s">
        <v>2573</v>
      </c>
      <c r="L18" s="2629" t="s">
        <v>2574</v>
      </c>
      <c r="M18" s="2630" t="s">
        <v>2575</v>
      </c>
      <c r="N18" s="2628" t="s">
        <v>2573</v>
      </c>
      <c r="O18" s="2629" t="s">
        <v>2574</v>
      </c>
      <c r="P18" s="2630" t="s">
        <v>2575</v>
      </c>
      <c r="R18" s="2299" t="s">
        <v>2310</v>
      </c>
      <c r="S18" s="2299" t="s">
        <v>2311</v>
      </c>
    </row>
    <row r="19" spans="1:19">
      <c r="A19" s="132"/>
      <c r="B19" s="115" t="s">
        <v>225</v>
      </c>
      <c r="C19" s="3050" t="s">
        <v>3113</v>
      </c>
      <c r="D19" s="111">
        <f t="shared" ref="D19:D26" si="1">ROUND($D$3*E19/$E$3,2)</f>
        <v>48034.05</v>
      </c>
      <c r="E19" s="133">
        <f t="shared" ref="E19:E26" si="2">SUM(F19:G19)</f>
        <v>86576.849999999991</v>
      </c>
      <c r="F19" s="134">
        <f>'数据-基础表'!I13</f>
        <v>86576.849999999991</v>
      </c>
      <c r="G19" s="1368"/>
      <c r="H19" s="975">
        <f>ROUND($D$3*I19/$E$3,2)</f>
        <v>9489.73</v>
      </c>
      <c r="I19" s="116">
        <f>IF($I$17="自定义",P19,M19)</f>
        <v>17104.349999999999</v>
      </c>
      <c r="J19" s="1983"/>
      <c r="K19" s="2631">
        <f t="shared" ref="K19:K26" si="3">ROUND(E$28*E19/E$27,2)</f>
        <v>17104.349999999999</v>
      </c>
      <c r="L19" s="273">
        <f t="shared" ref="L19:L26" si="4">ROUND(IF(COUNTIF(C19,"*住宅*")&gt;0,E$29*E19/E$32,0),2)</f>
        <v>0</v>
      </c>
      <c r="M19" s="2632">
        <f>K19+L19</f>
        <v>17104.349999999999</v>
      </c>
      <c r="N19" s="2633"/>
      <c r="O19" s="2634"/>
      <c r="P19" s="2635">
        <f>N19+O19</f>
        <v>0</v>
      </c>
      <c r="R19" s="273">
        <f t="shared" ref="R19:S26" si="5">D19+H19</f>
        <v>57523.78</v>
      </c>
      <c r="S19" s="2300">
        <f t="shared" si="5"/>
        <v>103681.19999999998</v>
      </c>
    </row>
    <row r="20" spans="1:19">
      <c r="A20" s="137"/>
      <c r="B20" s="115" t="s">
        <v>226</v>
      </c>
      <c r="C20" s="3050" t="s">
        <v>3114</v>
      </c>
      <c r="D20" s="111">
        <f t="shared" si="1"/>
        <v>9227.06</v>
      </c>
      <c r="E20" s="133">
        <f t="shared" si="2"/>
        <v>16630.900000000001</v>
      </c>
      <c r="F20" s="134">
        <f>'数据-基础表'!O16</f>
        <v>16630.900000000001</v>
      </c>
      <c r="G20" s="1368"/>
      <c r="H20" s="975">
        <f t="shared" ref="H20:H26" si="6">ROUND($D$3*I20/$E$3,2)</f>
        <v>1822.92</v>
      </c>
      <c r="I20" s="116">
        <f t="shared" ref="I20:I26" si="7">IF($I$17="自定义",P20,M20)</f>
        <v>3285.64</v>
      </c>
      <c r="J20" s="1983"/>
      <c r="K20" s="2631">
        <f t="shared" si="3"/>
        <v>3285.64</v>
      </c>
      <c r="L20" s="273">
        <f t="shared" si="4"/>
        <v>0</v>
      </c>
      <c r="M20" s="2632">
        <f t="shared" ref="M20:M26" si="8">K20+L20</f>
        <v>3285.64</v>
      </c>
      <c r="N20" s="2633"/>
      <c r="O20" s="2634"/>
      <c r="P20" s="2635">
        <f t="shared" ref="P20:P26" si="9">N20+O20</f>
        <v>0</v>
      </c>
      <c r="R20" s="273">
        <f t="shared" si="5"/>
        <v>11049.98</v>
      </c>
      <c r="S20" s="2300">
        <f t="shared" si="5"/>
        <v>19916.54</v>
      </c>
    </row>
    <row r="21" spans="1:19">
      <c r="A21" s="137"/>
      <c r="B21" s="115" t="s">
        <v>226</v>
      </c>
      <c r="C21" s="3050" t="s">
        <v>3115</v>
      </c>
      <c r="D21" s="111">
        <f t="shared" si="1"/>
        <v>25562.46</v>
      </c>
      <c r="E21" s="133">
        <f t="shared" si="2"/>
        <v>46073.919999999998</v>
      </c>
      <c r="F21" s="134">
        <f>'数据-基础表'!K14</f>
        <v>46073.919999999998</v>
      </c>
      <c r="G21" s="1368"/>
      <c r="H21" s="975">
        <f t="shared" si="6"/>
        <v>5050.1899999999996</v>
      </c>
      <c r="I21" s="116">
        <f t="shared" si="7"/>
        <v>9102.49</v>
      </c>
      <c r="J21" s="1983"/>
      <c r="K21" s="2631">
        <f t="shared" si="3"/>
        <v>9102.49</v>
      </c>
      <c r="L21" s="273">
        <f t="shared" si="4"/>
        <v>0</v>
      </c>
      <c r="M21" s="2632">
        <f t="shared" si="8"/>
        <v>9102.49</v>
      </c>
      <c r="N21" s="2633"/>
      <c r="O21" s="2634"/>
      <c r="P21" s="2635">
        <f t="shared" si="9"/>
        <v>0</v>
      </c>
      <c r="R21" s="273">
        <f t="shared" si="5"/>
        <v>30612.649999999998</v>
      </c>
      <c r="S21" s="2300">
        <f t="shared" si="5"/>
        <v>55176.409999999996</v>
      </c>
    </row>
    <row r="22" spans="1:19">
      <c r="A22" s="137"/>
      <c r="B22" s="115" t="s">
        <v>226</v>
      </c>
      <c r="C22" s="3176" t="s">
        <v>3116</v>
      </c>
      <c r="D22" s="111">
        <f t="shared" si="1"/>
        <v>24077.53</v>
      </c>
      <c r="E22" s="133">
        <f t="shared" si="2"/>
        <v>43397.479999999996</v>
      </c>
      <c r="F22" s="139">
        <f>'数据-基础表'!M15</f>
        <v>43397.479999999996</v>
      </c>
      <c r="G22" s="1369"/>
      <c r="H22" s="975">
        <f t="shared" si="6"/>
        <v>4756.82</v>
      </c>
      <c r="I22" s="116">
        <f t="shared" si="7"/>
        <v>8573.7199999999993</v>
      </c>
      <c r="J22" s="1983"/>
      <c r="K22" s="2631">
        <f t="shared" si="3"/>
        <v>8573.7199999999993</v>
      </c>
      <c r="L22" s="273">
        <f t="shared" si="4"/>
        <v>0</v>
      </c>
      <c r="M22" s="2632">
        <f t="shared" si="8"/>
        <v>8573.7199999999993</v>
      </c>
      <c r="N22" s="2633"/>
      <c r="O22" s="2634"/>
      <c r="P22" s="2635">
        <f t="shared" si="9"/>
        <v>0</v>
      </c>
      <c r="R22" s="273">
        <f t="shared" si="5"/>
        <v>28834.35</v>
      </c>
      <c r="S22" s="2300">
        <f t="shared" si="5"/>
        <v>51971.199999999997</v>
      </c>
    </row>
    <row r="23" spans="1:19">
      <c r="A23" s="137"/>
      <c r="B23" s="115" t="s">
        <v>226</v>
      </c>
      <c r="C23" s="3176" t="s">
        <v>3117</v>
      </c>
      <c r="D23" s="111">
        <f>ROUND($D$3*E23/$E$3,2)</f>
        <v>28273.32</v>
      </c>
      <c r="E23" s="133">
        <f>SUM(F23:G23)</f>
        <v>50960</v>
      </c>
      <c r="F23" s="139"/>
      <c r="G23" s="1369">
        <f>'数据-基础表'!Q17</f>
        <v>50960</v>
      </c>
      <c r="H23" s="975">
        <f>ROUND($D$3*I23/$E$3,2)</f>
        <v>5585.75</v>
      </c>
      <c r="I23" s="116">
        <f t="shared" si="7"/>
        <v>10067.790000000001</v>
      </c>
      <c r="J23" s="1983"/>
      <c r="K23" s="2631">
        <f t="shared" si="3"/>
        <v>10067.790000000001</v>
      </c>
      <c r="L23" s="273">
        <f t="shared" si="4"/>
        <v>0</v>
      </c>
      <c r="M23" s="2632">
        <f t="shared" si="8"/>
        <v>10067.790000000001</v>
      </c>
      <c r="N23" s="2633"/>
      <c r="O23" s="2634"/>
      <c r="P23" s="2635">
        <f t="shared" si="9"/>
        <v>0</v>
      </c>
      <c r="R23" s="273">
        <f t="shared" si="5"/>
        <v>33859.07</v>
      </c>
      <c r="S23" s="2300">
        <f t="shared" si="5"/>
        <v>61027.79</v>
      </c>
    </row>
    <row r="24" spans="1:19">
      <c r="A24" s="137"/>
      <c r="B24" s="115" t="s">
        <v>226</v>
      </c>
      <c r="C24" s="138"/>
      <c r="D24" s="111">
        <f>ROUND($D$3*E24/$E$3,2)</f>
        <v>0</v>
      </c>
      <c r="E24" s="133">
        <f>SUM(F24:G24)</f>
        <v>0</v>
      </c>
      <c r="F24" s="139"/>
      <c r="G24" s="1369"/>
      <c r="H24" s="975">
        <f>ROUND($D$3*I24/$E$3,2)</f>
        <v>0</v>
      </c>
      <c r="I24" s="116">
        <f t="shared" si="7"/>
        <v>0</v>
      </c>
      <c r="J24" s="1983"/>
      <c r="K24" s="2631">
        <f t="shared" si="3"/>
        <v>0</v>
      </c>
      <c r="L24" s="273">
        <f t="shared" si="4"/>
        <v>0</v>
      </c>
      <c r="M24" s="2632">
        <f t="shared" si="8"/>
        <v>0</v>
      </c>
      <c r="N24" s="2633"/>
      <c r="O24" s="2634"/>
      <c r="P24" s="2635">
        <f t="shared" si="9"/>
        <v>0</v>
      </c>
      <c r="R24" s="273">
        <f t="shared" si="5"/>
        <v>0</v>
      </c>
      <c r="S24" s="2300">
        <f t="shared" si="5"/>
        <v>0</v>
      </c>
    </row>
    <row r="25" spans="1:19">
      <c r="A25" s="137"/>
      <c r="B25" s="115" t="s">
        <v>226</v>
      </c>
      <c r="C25" s="138"/>
      <c r="D25" s="111">
        <f t="shared" si="1"/>
        <v>0</v>
      </c>
      <c r="E25" s="133">
        <f t="shared" si="2"/>
        <v>0</v>
      </c>
      <c r="F25" s="139"/>
      <c r="G25" s="1369"/>
      <c r="H25" s="110">
        <f t="shared" si="6"/>
        <v>0</v>
      </c>
      <c r="I25" s="116">
        <f t="shared" si="7"/>
        <v>0</v>
      </c>
      <c r="J25" s="1983"/>
      <c r="K25" s="2631">
        <f t="shared" si="3"/>
        <v>0</v>
      </c>
      <c r="L25" s="273">
        <f t="shared" si="4"/>
        <v>0</v>
      </c>
      <c r="M25" s="2632">
        <f t="shared" si="8"/>
        <v>0</v>
      </c>
      <c r="N25" s="2633"/>
      <c r="O25" s="2634"/>
      <c r="P25" s="2635">
        <f t="shared" si="9"/>
        <v>0</v>
      </c>
      <c r="R25" s="273">
        <f t="shared" si="5"/>
        <v>0</v>
      </c>
      <c r="S25" s="2300">
        <f t="shared" si="5"/>
        <v>0</v>
      </c>
    </row>
    <row r="26" spans="1:19">
      <c r="A26" s="137"/>
      <c r="B26" s="115" t="s">
        <v>226</v>
      </c>
      <c r="C26" s="141"/>
      <c r="D26" s="111">
        <f t="shared" si="1"/>
        <v>0</v>
      </c>
      <c r="E26" s="133">
        <f t="shared" si="2"/>
        <v>0</v>
      </c>
      <c r="F26" s="139"/>
      <c r="G26" s="1369"/>
      <c r="H26" s="110">
        <f t="shared" si="6"/>
        <v>0</v>
      </c>
      <c r="I26" s="116">
        <f t="shared" si="7"/>
        <v>0</v>
      </c>
      <c r="J26" s="1983"/>
      <c r="K26" s="2636">
        <f t="shared" si="3"/>
        <v>0</v>
      </c>
      <c r="L26" s="278">
        <f t="shared" si="4"/>
        <v>0</v>
      </c>
      <c r="M26" s="145">
        <f t="shared" si="8"/>
        <v>0</v>
      </c>
      <c r="N26" s="2637"/>
      <c r="O26" s="2638"/>
      <c r="P26" s="2639">
        <f t="shared" si="9"/>
        <v>0</v>
      </c>
      <c r="R26" s="273">
        <f t="shared" si="5"/>
        <v>0</v>
      </c>
      <c r="S26" s="2300">
        <f t="shared" si="5"/>
        <v>0</v>
      </c>
    </row>
    <row r="27" spans="1:19" ht="43.5" thickBot="1">
      <c r="A27" s="137"/>
      <c r="B27" s="111"/>
      <c r="C27" s="126" t="s">
        <v>215</v>
      </c>
      <c r="D27" s="133">
        <f>SUM(D19:D26)</f>
        <v>135174.42000000001</v>
      </c>
      <c r="E27" s="142">
        <f>IF(SUM(E19:E26)='数据-基础表'!BA5,SUM(E19:E26),IF(F27="地上面积有误","面积有误","地下面积有误"))</f>
        <v>243639.14999999997</v>
      </c>
      <c r="F27" s="133">
        <f>IF(SUM(F19:F26)=E8,SUM(F19:F26),"地上面积有误")</f>
        <v>192679.14999999997</v>
      </c>
      <c r="G27" s="112">
        <f>SUM(G19:G26)</f>
        <v>50960</v>
      </c>
      <c r="H27" s="976">
        <f>SUM(H19:H26)</f>
        <v>26705.41</v>
      </c>
      <c r="I27" s="977">
        <f>SUM(I19:I26)</f>
        <v>48133.99</v>
      </c>
      <c r="J27" s="1983"/>
      <c r="K27" s="2640">
        <f>SUM(K19:K26)</f>
        <v>48133.99</v>
      </c>
      <c r="L27" s="2641">
        <f>SUM(L19:L26)</f>
        <v>0</v>
      </c>
      <c r="M27" s="2642">
        <f>SUM(M19:M26)</f>
        <v>48133.99</v>
      </c>
      <c r="N27" s="2640">
        <f t="shared" ref="N27:O27" si="10">SUM(N19:N26)</f>
        <v>0</v>
      </c>
      <c r="O27" s="2641">
        <f t="shared" si="10"/>
        <v>0</v>
      </c>
      <c r="P27" s="2643">
        <f>SUM(P19:P26)</f>
        <v>0</v>
      </c>
      <c r="R27" s="2304" t="str">
        <f>IF(SUM(R19:R26)=$D$3,SUM(R19:R26),SUM(R19:R26)&amp;"误差"&amp;ROUND(SUM(R19:R26)-$D$3,2))</f>
        <v>161879.83误差-1627.27</v>
      </c>
      <c r="S27" s="273" t="str">
        <f>IF(SUM(S19:S26)=$E$3,SUM(S19:S26),SUM(S19:S26)&amp;"误差"&amp;ROUND(SUM(S19:S26)-E3,2))</f>
        <v>291773.14误差-2932.98</v>
      </c>
    </row>
    <row r="28" spans="1:19">
      <c r="A28" s="137"/>
      <c r="B28" s="115" t="s">
        <v>227</v>
      </c>
      <c r="C28" s="135" t="s">
        <v>228</v>
      </c>
      <c r="D28" s="111">
        <f>ROUND($D$3*E28/$E$3,2)</f>
        <v>26705.42</v>
      </c>
      <c r="E28" s="133">
        <f>SUM(F28:G28)</f>
        <v>48134</v>
      </c>
      <c r="F28" s="143">
        <f>'数据-基础表'!BQ5+'数据-基础表'!BS5</f>
        <v>594</v>
      </c>
      <c r="G28" s="144">
        <f>'数据-基础表'!BR5+'数据-基础表'!BT5</f>
        <v>47540</v>
      </c>
      <c r="H28" s="1983"/>
      <c r="I28" s="1983"/>
      <c r="J28" s="1983"/>
      <c r="K28" s="1983"/>
      <c r="L28" s="1983"/>
    </row>
    <row r="29" spans="1:19">
      <c r="A29" s="137"/>
      <c r="B29" s="115" t="s">
        <v>227</v>
      </c>
      <c r="C29" s="2312" t="s">
        <v>2321</v>
      </c>
      <c r="D29" s="111">
        <f>ROUND($D$3*E29/$E$3,2)</f>
        <v>1627.25</v>
      </c>
      <c r="E29" s="133">
        <f>SUM(F29:G29)</f>
        <v>2932.97</v>
      </c>
      <c r="F29" s="143">
        <f>'数据-基础表'!BM5+'数据-基础表'!BO5</f>
        <v>2932.97</v>
      </c>
      <c r="G29" s="145">
        <f>'数据-基础表'!BN5+'数据-基础表'!BP5</f>
        <v>0</v>
      </c>
      <c r="H29" s="1983"/>
      <c r="I29" s="1983"/>
      <c r="J29" s="1983"/>
      <c r="K29" s="1983"/>
      <c r="L29" s="1983"/>
    </row>
    <row r="30" spans="1:19">
      <c r="A30" s="137"/>
      <c r="B30" s="111"/>
      <c r="C30" s="146" t="s">
        <v>215</v>
      </c>
      <c r="D30" s="133">
        <f>SUM(D28:D29)</f>
        <v>28332.67</v>
      </c>
      <c r="E30" s="133">
        <f>SUM(E28:E29)</f>
        <v>51066.97</v>
      </c>
      <c r="F30" s="133">
        <f>SUM(F28:F29)</f>
        <v>3526.97</v>
      </c>
      <c r="G30" s="112">
        <f>SUM(G28:G29)</f>
        <v>47540</v>
      </c>
      <c r="H30" s="1983"/>
      <c r="I30" s="1983"/>
      <c r="J30" s="1983"/>
      <c r="K30" s="1983"/>
      <c r="L30" s="1983"/>
    </row>
    <row r="31" spans="1:19" ht="32.25" customHeight="1" thickBot="1">
      <c r="A31" s="1370"/>
      <c r="B31" s="1371" t="s">
        <v>229</v>
      </c>
      <c r="C31" s="2329" t="s">
        <v>2323</v>
      </c>
      <c r="D31" s="1372">
        <f>D27+D30</f>
        <v>163507.09000000003</v>
      </c>
      <c r="E31" s="1372">
        <f>E27+E30</f>
        <v>294706.12</v>
      </c>
      <c r="F31" s="1373">
        <f>F27+F30</f>
        <v>196206.11999999997</v>
      </c>
      <c r="G31" s="1374">
        <f>G27+G30</f>
        <v>98500</v>
      </c>
      <c r="H31" s="1983"/>
      <c r="I31" s="1983"/>
      <c r="J31" s="1983"/>
      <c r="K31" s="1983"/>
      <c r="L31" s="1983"/>
    </row>
    <row r="32" spans="1:19">
      <c r="A32" s="1983"/>
      <c r="B32" s="2362" t="s">
        <v>2322</v>
      </c>
      <c r="C32" s="2671"/>
      <c r="D32" s="1202"/>
      <c r="E32" s="1202">
        <f>SUMIF(C19:C26,"*住宅*",E19:E26)</f>
        <v>0</v>
      </c>
      <c r="F32" s="1202"/>
      <c r="G32" s="1202"/>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C23" sqref="C23"/>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7"/>
    <col min="42" max="42" width="0" style="1997" hidden="1" customWidth="1"/>
    <col min="43" max="83" width="13.75" style="1997"/>
    <col min="84" max="16384" width="13.75" style="1204"/>
  </cols>
  <sheetData>
    <row r="1" spans="1:83" ht="19.5" thickBot="1">
      <c r="A1" s="147" t="s">
        <v>234</v>
      </c>
      <c r="B1" s="1203"/>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7" customFormat="1" ht="15.75" thickBot="1">
      <c r="A2" s="148" t="s">
        <v>235</v>
      </c>
      <c r="B2" s="2337">
        <f>项目基本情况!D3</f>
        <v>43089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7" customFormat="1" ht="15" thickBot="1">
      <c r="A3" s="1208"/>
      <c r="B3" s="1205"/>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7" customFormat="1" ht="15" thickBot="1">
      <c r="A4" s="149" t="s">
        <v>864</v>
      </c>
      <c r="B4" s="151"/>
      <c r="C4" s="152"/>
      <c r="D4" s="1209"/>
      <c r="E4" s="1210" t="s">
        <v>865</v>
      </c>
      <c r="F4" s="152"/>
      <c r="G4" s="152"/>
      <c r="H4" s="152"/>
      <c r="I4" s="152"/>
      <c r="J4" s="153"/>
      <c r="K4" s="1211"/>
      <c r="L4" s="1212"/>
      <c r="M4" s="152"/>
      <c r="N4" s="1210" t="s">
        <v>866</v>
      </c>
      <c r="O4" s="152"/>
      <c r="P4" s="152"/>
      <c r="Q4" s="152"/>
      <c r="R4" s="152"/>
      <c r="S4" s="153"/>
      <c r="T4" s="978"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3" customFormat="1" ht="54">
      <c r="A5" s="2303"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20" t="s">
        <v>2834</v>
      </c>
      <c r="O5" s="162" t="s">
        <v>246</v>
      </c>
      <c r="P5" s="164" t="s">
        <v>247</v>
      </c>
      <c r="Q5" s="165" t="s">
        <v>248</v>
      </c>
      <c r="R5" s="166" t="s">
        <v>249</v>
      </c>
      <c r="S5" s="2644" t="s">
        <v>2576</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2324</v>
      </c>
      <c r="AI5" s="170" t="s">
        <v>2293</v>
      </c>
      <c r="AJ5" s="170" t="s">
        <v>258</v>
      </c>
      <c r="AK5" s="158" t="s">
        <v>259</v>
      </c>
      <c r="AL5" s="158" t="s">
        <v>260</v>
      </c>
      <c r="AM5" s="171"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7" customFormat="1" ht="14.25">
      <c r="A6" s="2301" t="str">
        <f>'数据-汇总表'!C19</f>
        <v>中高层</v>
      </c>
      <c r="B6" s="2336" t="str">
        <f>IF(A6=0,"","经营性")</f>
        <v>经营性</v>
      </c>
      <c r="C6" s="172" t="s">
        <v>923</v>
      </c>
      <c r="D6" s="2307">
        <f>SUMIF(项目基本情况!D$15:I$15,C6,项目基本情况!D$18:I$18)</f>
        <v>70</v>
      </c>
      <c r="E6" s="2308">
        <f>IF(B6="","",SUMIF(项目基本情况!D$15:I$15,C6,项目基本情况!D$17:I$17))</f>
        <v>66997</v>
      </c>
      <c r="F6" s="173">
        <f>SUMIF(项目基本情况!D$15:I$15,C6,项目基本情况!D$19:I$19)</f>
        <v>65.5</v>
      </c>
      <c r="G6" s="174">
        <f>IF(ISERROR(ROUND(POWER(1+H6,D6-F6)*(POWER(1+H6,F6)-1)/(POWER(1+H6,D6)-1),3)),0,ROUND(POWER(1+H6,D6-F6)*(POWER(1+H6,F6)-1)/(POWER(1+H6,D6)-1),3))</f>
        <v>0.98899999999999999</v>
      </c>
      <c r="H6" s="3051">
        <v>4.4999999999999998E-2</v>
      </c>
      <c r="I6" s="3051">
        <v>0.05</v>
      </c>
      <c r="J6" s="175">
        <v>0.08</v>
      </c>
      <c r="K6" s="178">
        <f>SUMIF('数据-汇总表'!C$19:C$33,'数据-取费表'!A6,'数据-汇总表'!E$19:E$33)</f>
        <v>86576.849999999991</v>
      </c>
      <c r="L6" s="3052">
        <v>2000</v>
      </c>
      <c r="M6" s="176">
        <f t="shared" ref="M6:M14" si="0">ROUND(K6*L6/10000,0)</f>
        <v>17315</v>
      </c>
      <c r="N6" s="3053">
        <v>0</v>
      </c>
      <c r="O6" s="176">
        <f>IF($N$5="成新度","——",ROUND(M6*N6,0))</f>
        <v>0</v>
      </c>
      <c r="P6" s="177">
        <f>IF($N$5="成新度","——",M6-O6)</f>
        <v>17315</v>
      </c>
      <c r="Q6" s="3054">
        <v>0.1</v>
      </c>
      <c r="R6" s="178">
        <f>SUMIF('数据-汇总表'!C$19:C$33,A6,'数据-汇总表'!R$19:R$33)</f>
        <v>57523.78</v>
      </c>
      <c r="S6" s="131">
        <f>IF('数据-汇总表'!$I$17="按面积比例",SUMIF('数据-汇总表'!C$19:C$33,A6,'数据-汇总表'!K$19:K$33),SUMIF('数据-汇总表'!C$19:C$33,A6,'数据-汇总表'!N$19:N$33))</f>
        <v>17104.349999999999</v>
      </c>
      <c r="T6" s="2233">
        <f>IF($T$4="按面积比例",IF(ISERROR(ROUND($M$14*S6/S$16,0)),"0",ROUND($M$14*S6/S$16,0)),"需自行计算录入")</f>
        <v>2566</v>
      </c>
      <c r="U6" s="3190"/>
      <c r="V6" s="180">
        <v>0.02</v>
      </c>
      <c r="W6" s="180">
        <v>0.1</v>
      </c>
      <c r="X6" s="2320"/>
      <c r="Y6" s="181">
        <v>1</v>
      </c>
      <c r="Z6" s="182"/>
      <c r="AA6" s="175"/>
      <c r="AB6" s="175"/>
      <c r="AC6" s="2323"/>
      <c r="AD6" s="183"/>
      <c r="AE6" s="973">
        <f ca="1">IF(AN6="",0,SUMIF(INDIRECT("'"&amp;AN6&amp;"'"&amp;"!E:E"),$AE$5,INDIRECT("'"&amp;AN6&amp;"'"&amp;"!F:F")))</f>
        <v>0</v>
      </c>
      <c r="AF6" s="140"/>
      <c r="AG6" s="1214">
        <f>IF(AF6="",0,AE6-AF6)</f>
        <v>0</v>
      </c>
      <c r="AH6" s="140"/>
      <c r="AI6" s="186">
        <v>365</v>
      </c>
      <c r="AJ6" s="187"/>
      <c r="AK6" s="188">
        <v>1.4999999999999999E-2</v>
      </c>
      <c r="AL6" s="189">
        <v>1.5E-3</v>
      </c>
      <c r="AM6" s="3064">
        <v>0.02</v>
      </c>
      <c r="AN6" s="2415"/>
      <c r="AO6" s="1999"/>
      <c r="AP6" s="1205">
        <f>ROUND(1-1/(1+H6)^F6,3)</f>
        <v>0.94399999999999995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7" customFormat="1" ht="14.25">
      <c r="A7" s="2301" t="str">
        <f>'数据-汇总表'!C20</f>
        <v>洋房</v>
      </c>
      <c r="B7" s="2336" t="str">
        <f t="shared" ref="B7:B13" si="1">IF(A7=0,"","经营性")</f>
        <v>经营性</v>
      </c>
      <c r="C7" s="172" t="s">
        <v>923</v>
      </c>
      <c r="D7" s="2307">
        <f>SUMIF(项目基本情况!D$15:I$15,C7,项目基本情况!D$18:I$18)</f>
        <v>70</v>
      </c>
      <c r="E7" s="2308">
        <f>IF(B7="","",SUMIF(项目基本情况!D$15:I$15,C7,项目基本情况!D$17:I$17))</f>
        <v>66997</v>
      </c>
      <c r="F7" s="173">
        <f>SUMIF(项目基本情况!D$15:I$15,C7,项目基本情况!D$19:I$19)</f>
        <v>65.5</v>
      </c>
      <c r="G7" s="174">
        <f t="shared" ref="G7:G11" si="2">IF(ISERROR(ROUND(POWER(1+H7,D7-F7)*(POWER(1+H7,F7)-1)/(POWER(1+H7,D7)-1),3)),0,ROUND(POWER(1+H7,D7-F7)*(POWER(1+H7,F7)-1)/(POWER(1+H7,D7)-1),3))</f>
        <v>0.98899999999999999</v>
      </c>
      <c r="H7" s="3051">
        <v>4.4999999999999998E-2</v>
      </c>
      <c r="I7" s="3051">
        <v>0.05</v>
      </c>
      <c r="J7" s="175">
        <v>0.08</v>
      </c>
      <c r="K7" s="178">
        <f>SUMIF('数据-汇总表'!C$19:C$33,'数据-取费表'!A7,'数据-汇总表'!E$19:E$33)</f>
        <v>16630.900000000001</v>
      </c>
      <c r="L7" s="3052">
        <v>1800</v>
      </c>
      <c r="M7" s="176">
        <f t="shared" si="0"/>
        <v>2994</v>
      </c>
      <c r="N7" s="3053">
        <v>0</v>
      </c>
      <c r="O7" s="176">
        <f t="shared" ref="O7:O14" si="3">IF($N$5="成新度","——",ROUND(M7*N7,0))</f>
        <v>0</v>
      </c>
      <c r="P7" s="177">
        <f t="shared" ref="P7:P14" si="4">IF($N$5="成新度","——",M7-O7)</f>
        <v>2994</v>
      </c>
      <c r="Q7" s="3054">
        <v>0.1</v>
      </c>
      <c r="R7" s="178">
        <f>SUMIF('数据-汇总表'!C$19:C$33,A7,'数据-汇总表'!R$19:R$33)</f>
        <v>11049.98</v>
      </c>
      <c r="S7" s="131">
        <f>IF('数据-汇总表'!$I$17="按面积比例",SUMIF('数据-汇总表'!C$19:C$33,A7,'数据-汇总表'!K$19:K$33),SUMIF('数据-汇总表'!C$19:C$33,A7,'数据-汇总表'!N$19:N$33))</f>
        <v>3285.64</v>
      </c>
      <c r="T7" s="2233">
        <f t="shared" ref="T7:T13" si="5">IF($T$4="按面积比例",IF(ISERROR(ROUND($M$14*S7/S$16,0)),"0",ROUND($M$14*S7/S$16,0)),"需自行计算录入")</f>
        <v>493</v>
      </c>
      <c r="U7" s="3190"/>
      <c r="V7" s="180">
        <v>0.02</v>
      </c>
      <c r="W7" s="180">
        <v>0.1</v>
      </c>
      <c r="X7" s="2320"/>
      <c r="Y7" s="181">
        <v>1</v>
      </c>
      <c r="Z7" s="182"/>
      <c r="AA7" s="175"/>
      <c r="AB7" s="175"/>
      <c r="AC7" s="2323"/>
      <c r="AD7" s="183"/>
      <c r="AE7" s="973">
        <f t="shared" ref="AE7:AE13" ca="1" si="6">IF(AN7="",0,SUMIF(INDIRECT("'"&amp;AN7&amp;"'"&amp;"!E:E"),$AE$5,INDIRECT("'"&amp;AN7&amp;"'"&amp;"!F:F")))</f>
        <v>0</v>
      </c>
      <c r="AF7" s="140"/>
      <c r="AG7" s="1214">
        <f t="shared" ref="AG7:AG13" si="7">IF(AF7="",0,AE7-AF7)</f>
        <v>0</v>
      </c>
      <c r="AH7" s="140"/>
      <c r="AI7" s="186">
        <v>365</v>
      </c>
      <c r="AJ7" s="187"/>
      <c r="AK7" s="188">
        <v>1.4999999999999999E-2</v>
      </c>
      <c r="AL7" s="189">
        <v>1.5E-3</v>
      </c>
      <c r="AM7" s="2413">
        <v>0.02</v>
      </c>
      <c r="AN7" s="2415"/>
      <c r="AO7" s="1999"/>
      <c r="AP7" s="1205">
        <f t="shared" ref="AP7:AP13" si="8">ROUND(1-1/(1+H7)^F7,3)</f>
        <v>0.94399999999999995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7" customFormat="1" ht="14.25">
      <c r="A8" s="2301" t="str">
        <f>'数据-汇总表'!C21</f>
        <v>联排</v>
      </c>
      <c r="B8" s="2336" t="str">
        <f t="shared" si="1"/>
        <v>经营性</v>
      </c>
      <c r="C8" s="172" t="s">
        <v>923</v>
      </c>
      <c r="D8" s="2307">
        <f>SUMIF(项目基本情况!D$15:I$15,C8,项目基本情况!D$18:I$18)</f>
        <v>70</v>
      </c>
      <c r="E8" s="2308">
        <f>IF(B8="","",SUMIF(项目基本情况!D$15:I$15,C8,项目基本情况!D$17:I$17))</f>
        <v>66997</v>
      </c>
      <c r="F8" s="173">
        <f>SUMIF(项目基本情况!D$15:I$15,C8,项目基本情况!D$19:I$19)</f>
        <v>65.5</v>
      </c>
      <c r="G8" s="174">
        <f t="shared" si="2"/>
        <v>0.98899999999999999</v>
      </c>
      <c r="H8" s="3051">
        <v>4.4999999999999998E-2</v>
      </c>
      <c r="I8" s="3051">
        <v>0.05</v>
      </c>
      <c r="J8" s="175">
        <v>0.08</v>
      </c>
      <c r="K8" s="178">
        <f>SUMIF('数据-汇总表'!C$19:C$33,'数据-取费表'!A8,'数据-汇总表'!E$19:E$33)</f>
        <v>46073.919999999998</v>
      </c>
      <c r="L8" s="3052">
        <v>1800</v>
      </c>
      <c r="M8" s="176">
        <f>ROUND(K8*L8/10000,0)</f>
        <v>8293</v>
      </c>
      <c r="N8" s="3053">
        <v>0</v>
      </c>
      <c r="O8" s="176">
        <f t="shared" si="3"/>
        <v>0</v>
      </c>
      <c r="P8" s="177">
        <f t="shared" si="4"/>
        <v>8293</v>
      </c>
      <c r="Q8" s="3054">
        <v>0.15</v>
      </c>
      <c r="R8" s="178">
        <f>SUMIF('数据-汇总表'!C$19:C$33,A8,'数据-汇总表'!R$19:R$33)</f>
        <v>30612.649999999998</v>
      </c>
      <c r="S8" s="131">
        <f>IF('数据-汇总表'!$I$17="按面积比例",SUMIF('数据-汇总表'!C$19:C$33,A8,'数据-汇总表'!K$19:K$33),SUMIF('数据-汇总表'!C$19:C$33,A8,'数据-汇总表'!N$19:N$33))</f>
        <v>9102.49</v>
      </c>
      <c r="T8" s="2233">
        <f t="shared" si="5"/>
        <v>1365</v>
      </c>
      <c r="U8" s="3190"/>
      <c r="V8" s="180">
        <v>0.02</v>
      </c>
      <c r="W8" s="180">
        <v>0.1</v>
      </c>
      <c r="X8" s="2320"/>
      <c r="Y8" s="181">
        <v>1</v>
      </c>
      <c r="Z8" s="182"/>
      <c r="AA8" s="175"/>
      <c r="AB8" s="175"/>
      <c r="AC8" s="2323"/>
      <c r="AD8" s="183"/>
      <c r="AE8" s="973">
        <f t="shared" ca="1" si="6"/>
        <v>0</v>
      </c>
      <c r="AF8" s="140"/>
      <c r="AG8" s="1214">
        <f t="shared" si="7"/>
        <v>0</v>
      </c>
      <c r="AH8" s="140"/>
      <c r="AI8" s="186">
        <v>365</v>
      </c>
      <c r="AJ8" s="187"/>
      <c r="AK8" s="188">
        <v>1.4999999999999999E-2</v>
      </c>
      <c r="AL8" s="189">
        <v>1.5E-3</v>
      </c>
      <c r="AM8" s="2413">
        <v>0.02</v>
      </c>
      <c r="AN8" s="2415"/>
      <c r="AO8" s="1999"/>
      <c r="AP8" s="1205">
        <f t="shared" si="8"/>
        <v>0.94399999999999995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7" customFormat="1" ht="14.25">
      <c r="A9" s="2301" t="str">
        <f>'数据-汇总表'!C22</f>
        <v>叠拼</v>
      </c>
      <c r="B9" s="2336" t="str">
        <f t="shared" si="1"/>
        <v>经营性</v>
      </c>
      <c r="C9" s="172" t="s">
        <v>923</v>
      </c>
      <c r="D9" s="2307">
        <f>SUMIF(项目基本情况!D$15:I$15,C9,项目基本情况!D$18:I$18)</f>
        <v>70</v>
      </c>
      <c r="E9" s="2308">
        <f>IF(B9="","",SUMIF(项目基本情况!D$15:I$15,C9,项目基本情况!D$17:I$17))</f>
        <v>66997</v>
      </c>
      <c r="F9" s="173">
        <f>SUMIF(项目基本情况!D$15:I$15,C9,项目基本情况!D$19:I$19)</f>
        <v>65.5</v>
      </c>
      <c r="G9" s="174">
        <f t="shared" si="2"/>
        <v>0.98899999999999999</v>
      </c>
      <c r="H9" s="3051">
        <v>4.4999999999999998E-2</v>
      </c>
      <c r="I9" s="175">
        <v>0.05</v>
      </c>
      <c r="J9" s="175">
        <v>0.08</v>
      </c>
      <c r="K9" s="178">
        <f>SUMIF('数据-汇总表'!C$19:C$33,'数据-取费表'!A9,'数据-汇总表'!E$19:E$33)</f>
        <v>43397.479999999996</v>
      </c>
      <c r="L9" s="3052">
        <v>1800</v>
      </c>
      <c r="M9" s="176">
        <f t="shared" si="0"/>
        <v>7812</v>
      </c>
      <c r="N9" s="193">
        <v>0</v>
      </c>
      <c r="O9" s="176">
        <f t="shared" si="3"/>
        <v>0</v>
      </c>
      <c r="P9" s="177">
        <f t="shared" si="4"/>
        <v>7812</v>
      </c>
      <c r="Q9" s="3054">
        <v>0.15</v>
      </c>
      <c r="R9" s="178">
        <f>SUMIF('数据-汇总表'!C$19:C$33,A9,'数据-汇总表'!R$19:R$33)</f>
        <v>28834.35</v>
      </c>
      <c r="S9" s="131">
        <f>IF('数据-汇总表'!$I$17="按面积比例",SUMIF('数据-汇总表'!C$19:C$33,A9,'数据-汇总表'!K$19:K$33),SUMIF('数据-汇总表'!C$19:C$33,A9,'数据-汇总表'!N$19:N$33))</f>
        <v>8573.7199999999993</v>
      </c>
      <c r="T9" s="2233">
        <f t="shared" si="5"/>
        <v>1286</v>
      </c>
      <c r="U9" s="3190"/>
      <c r="V9" s="180">
        <v>0.02</v>
      </c>
      <c r="W9" s="180">
        <v>0.1</v>
      </c>
      <c r="X9" s="2320"/>
      <c r="Y9" s="181">
        <v>1</v>
      </c>
      <c r="Z9" s="182"/>
      <c r="AA9" s="175"/>
      <c r="AB9" s="175"/>
      <c r="AC9" s="2323"/>
      <c r="AD9" s="183"/>
      <c r="AE9" s="973">
        <f t="shared" ca="1" si="6"/>
        <v>0</v>
      </c>
      <c r="AF9" s="140"/>
      <c r="AG9" s="1214">
        <f t="shared" si="7"/>
        <v>0</v>
      </c>
      <c r="AH9" s="140"/>
      <c r="AI9" s="186">
        <v>365</v>
      </c>
      <c r="AJ9" s="187"/>
      <c r="AK9" s="188">
        <v>1.4999999999999999E-2</v>
      </c>
      <c r="AL9" s="189">
        <v>1.5E-3</v>
      </c>
      <c r="AM9" s="2413">
        <v>0.02</v>
      </c>
      <c r="AN9" s="2415"/>
      <c r="AO9" s="1999"/>
      <c r="AP9" s="1205">
        <f t="shared" si="8"/>
        <v>0.94399999999999995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7" customFormat="1" ht="14.25">
      <c r="A10" s="2301" t="str">
        <f>'数据-汇总表'!C23</f>
        <v>地下车库</v>
      </c>
      <c r="B10" s="2336" t="str">
        <f t="shared" si="1"/>
        <v>经营性</v>
      </c>
      <c r="C10" s="172" t="s">
        <v>2987</v>
      </c>
      <c r="D10" s="2307">
        <f>SUMIF(项目基本情况!D$15:I$15,C10,项目基本情况!D$18:I$18)</f>
        <v>50</v>
      </c>
      <c r="E10" s="2308">
        <f>IF(B10="","",SUMIF(项目基本情况!D$15:I$15,C10,项目基本情况!D$17:I$17))</f>
        <v>59692</v>
      </c>
      <c r="F10" s="173">
        <f>SUMIF(项目基本情况!D$15:I$15,C10,项目基本情况!D$19:I$19)</f>
        <v>45.48</v>
      </c>
      <c r="G10" s="174">
        <f t="shared" si="2"/>
        <v>0.96799999999999997</v>
      </c>
      <c r="H10" s="3051">
        <v>0.04</v>
      </c>
      <c r="I10" s="175">
        <v>4.4999999999999998E-2</v>
      </c>
      <c r="J10" s="175">
        <v>0.08</v>
      </c>
      <c r="K10" s="178">
        <f>SUMIF('数据-汇总表'!C$19:C$33,'数据-取费表'!A10,'数据-汇总表'!E$19:E$33)</f>
        <v>50960</v>
      </c>
      <c r="L10" s="192">
        <v>1600</v>
      </c>
      <c r="M10" s="176">
        <f t="shared" si="0"/>
        <v>8154</v>
      </c>
      <c r="N10" s="193">
        <v>0</v>
      </c>
      <c r="O10" s="176">
        <f t="shared" si="3"/>
        <v>0</v>
      </c>
      <c r="P10" s="177">
        <f t="shared" si="4"/>
        <v>8154</v>
      </c>
      <c r="Q10" s="191">
        <v>0.05</v>
      </c>
      <c r="R10" s="178">
        <f>SUMIF('数据-汇总表'!C$19:C$33,A10,'数据-汇总表'!R$19:R$33)</f>
        <v>33859.07</v>
      </c>
      <c r="S10" s="131">
        <f>IF('数据-汇总表'!$I$17="按面积比例",SUMIF('数据-汇总表'!C$19:C$33,A10,'数据-汇总表'!K$19:K$33),SUMIF('数据-汇总表'!C$19:C$33,A10,'数据-汇总表'!N$19:N$33))</f>
        <v>10067.790000000001</v>
      </c>
      <c r="T10" s="2233">
        <f t="shared" si="5"/>
        <v>1510</v>
      </c>
      <c r="U10" s="3232">
        <v>800</v>
      </c>
      <c r="V10" s="180">
        <v>0.02</v>
      </c>
      <c r="W10" s="180">
        <v>0.1</v>
      </c>
      <c r="X10" s="2320"/>
      <c r="Y10" s="181">
        <v>1</v>
      </c>
      <c r="Z10" s="182"/>
      <c r="AA10" s="175"/>
      <c r="AB10" s="175"/>
      <c r="AC10" s="2323"/>
      <c r="AD10" s="183"/>
      <c r="AE10" s="973">
        <f t="shared" ca="1" si="6"/>
        <v>45.48</v>
      </c>
      <c r="AF10" s="140"/>
      <c r="AG10" s="1214">
        <f t="shared" si="7"/>
        <v>0</v>
      </c>
      <c r="AH10" s="1845">
        <v>1274</v>
      </c>
      <c r="AI10" s="186">
        <v>12</v>
      </c>
      <c r="AJ10" s="187"/>
      <c r="AK10" s="188">
        <v>1.4999999999999999E-2</v>
      </c>
      <c r="AL10" s="189">
        <v>1.5E-3</v>
      </c>
      <c r="AM10" s="2413">
        <v>0.02</v>
      </c>
      <c r="AN10" s="2415" t="s">
        <v>2989</v>
      </c>
      <c r="AO10" s="1999"/>
      <c r="AP10" s="1205">
        <f t="shared" si="8"/>
        <v>0.83199999999999996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7"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3">
        <f t="shared" ca="1" si="6"/>
        <v>0</v>
      </c>
      <c r="AF11" s="140"/>
      <c r="AG11" s="1214">
        <f t="shared" si="7"/>
        <v>0</v>
      </c>
      <c r="AH11" s="140"/>
      <c r="AI11" s="186"/>
      <c r="AJ11" s="187"/>
      <c r="AK11" s="195"/>
      <c r="AL11" s="196"/>
      <c r="AM11" s="1817"/>
      <c r="AN11" s="2415"/>
      <c r="AO11" s="1999"/>
      <c r="AP11" s="1205">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7"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3">
        <f t="shared" ca="1" si="6"/>
        <v>0</v>
      </c>
      <c r="AF12" s="140"/>
      <c r="AG12" s="1214">
        <f t="shared" si="7"/>
        <v>0</v>
      </c>
      <c r="AH12" s="140"/>
      <c r="AI12" s="186"/>
      <c r="AJ12" s="187"/>
      <c r="AK12" s="195"/>
      <c r="AL12" s="196"/>
      <c r="AM12" s="1817"/>
      <c r="AN12" s="2415"/>
      <c r="AO12" s="1999"/>
      <c r="AP12" s="1205">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7"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3">
        <f t="shared" ca="1" si="6"/>
        <v>0</v>
      </c>
      <c r="AF13" s="140"/>
      <c r="AG13" s="1214">
        <f t="shared" si="7"/>
        <v>0</v>
      </c>
      <c r="AH13" s="140"/>
      <c r="AI13" s="186"/>
      <c r="AJ13" s="187"/>
      <c r="AK13" s="188"/>
      <c r="AL13" s="189"/>
      <c r="AM13" s="2413"/>
      <c r="AN13" s="2415"/>
      <c r="AO13" s="1999"/>
      <c r="AP13" s="1205">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7" customFormat="1" ht="14.25">
      <c r="A14" s="2302" t="s">
        <v>2315</v>
      </c>
      <c r="B14" s="2305" t="s">
        <v>1680</v>
      </c>
      <c r="C14" s="2306" t="s">
        <v>2315</v>
      </c>
      <c r="D14" s="2307"/>
      <c r="E14" s="2308"/>
      <c r="F14" s="173"/>
      <c r="G14" s="174"/>
      <c r="H14" s="2309"/>
      <c r="I14" s="2309"/>
      <c r="J14" s="2309"/>
      <c r="K14" s="178">
        <f>SUMIF('数据-汇总表'!C$19:C$33,'数据-取费表'!A14,'数据-汇总表'!E$19:E$33)</f>
        <v>48134</v>
      </c>
      <c r="L14" s="192">
        <v>1500</v>
      </c>
      <c r="M14" s="176">
        <f t="shared" si="0"/>
        <v>7220</v>
      </c>
      <c r="N14" s="193">
        <v>0</v>
      </c>
      <c r="O14" s="176">
        <f t="shared" si="3"/>
        <v>0</v>
      </c>
      <c r="P14" s="177">
        <f t="shared" si="4"/>
        <v>7220</v>
      </c>
      <c r="Q14" s="2317"/>
      <c r="R14" s="178"/>
      <c r="S14" s="131"/>
      <c r="T14" s="2316"/>
      <c r="U14" s="975"/>
      <c r="V14" s="2319"/>
      <c r="W14" s="2319"/>
      <c r="X14" s="2320"/>
      <c r="Y14" s="2321"/>
      <c r="Z14" s="135"/>
      <c r="AA14" s="2322"/>
      <c r="AB14" s="2322"/>
      <c r="AC14" s="2323"/>
      <c r="AD14" s="2320"/>
      <c r="AE14" s="973"/>
      <c r="AF14" s="2295"/>
      <c r="AG14" s="1214"/>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7" customFormat="1" ht="27">
      <c r="A15" s="2311" t="s">
        <v>2317</v>
      </c>
      <c r="B15" s="2305" t="s">
        <v>1680</v>
      </c>
      <c r="C15" s="2306" t="s">
        <v>2316</v>
      </c>
      <c r="D15" s="2307"/>
      <c r="E15" s="2308"/>
      <c r="F15" s="173"/>
      <c r="G15" s="174"/>
      <c r="H15" s="2309"/>
      <c r="I15" s="2309"/>
      <c r="J15" s="2309"/>
      <c r="K15" s="178">
        <f>SUMIF('数据-汇总表'!C$19:C$33,'数据-取费表'!A15,'数据-汇总表'!E$19:E$33)</f>
        <v>2932.97</v>
      </c>
      <c r="L15" s="2315"/>
      <c r="M15" s="176"/>
      <c r="N15" s="2318"/>
      <c r="O15" s="176"/>
      <c r="P15" s="177"/>
      <c r="Q15" s="2317"/>
      <c r="R15" s="178"/>
      <c r="S15" s="131"/>
      <c r="T15" s="2316"/>
      <c r="U15" s="975"/>
      <c r="V15" s="2319"/>
      <c r="W15" s="2319"/>
      <c r="X15" s="2320"/>
      <c r="Y15" s="2321"/>
      <c r="Z15" s="135"/>
      <c r="AA15" s="2322"/>
      <c r="AB15" s="2322"/>
      <c r="AC15" s="2323"/>
      <c r="AD15" s="2320"/>
      <c r="AE15" s="973"/>
      <c r="AF15" s="2295"/>
      <c r="AG15" s="1214"/>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7" customFormat="1" ht="15.75" thickBot="1">
      <c r="A16" s="197" t="s">
        <v>262</v>
      </c>
      <c r="B16" s="198"/>
      <c r="C16" s="199"/>
      <c r="D16" s="200"/>
      <c r="E16" s="198"/>
      <c r="F16" s="198"/>
      <c r="G16" s="201">
        <f>ROUND(SUMPRODUCT(G6:G13,K6:K13)/SUMPRODUCT((G6:G13&gt;0)*(K6:K13)),3)</f>
        <v>0.98499999999999999</v>
      </c>
      <c r="H16" s="202">
        <f>ROUND(SUMPRODUCT(H6:H13,K6:K13)/SUMPRODUCT((H6:H13&gt;0)*(K6:K13)),3)</f>
        <v>4.3999999999999997E-2</v>
      </c>
      <c r="I16" s="203"/>
      <c r="J16" s="203"/>
      <c r="K16" s="204">
        <f>SUM(K6:K15)</f>
        <v>294706.11999999994</v>
      </c>
      <c r="L16" s="205">
        <f>ROUND(M16*10000/SUM(K6:K14),0)</f>
        <v>1775</v>
      </c>
      <c r="M16" s="205">
        <f>SUM(M6:M14)</f>
        <v>51788</v>
      </c>
      <c r="N16" s="206">
        <f>ROUND(SUMPRODUCT(M6:M14,N6:N14)/M16,3)</f>
        <v>0</v>
      </c>
      <c r="O16" s="205">
        <f>SUM(O6:O14)</f>
        <v>0</v>
      </c>
      <c r="P16" s="205">
        <f>SUM(P6:P14)</f>
        <v>51788</v>
      </c>
      <c r="Q16" s="207">
        <f>ROUND(SUMPRODUCT(Q6:Q13,K6:K13)/SUMPRODUCT((Q6:Q13&gt;0)*(K6:K13)),2)</f>
        <v>0.11</v>
      </c>
      <c r="R16" s="2310">
        <f>SUM(R6:R13)</f>
        <v>161879.82999999999</v>
      </c>
      <c r="S16" s="208">
        <f>SUM(S6:S13)</f>
        <v>48133.99</v>
      </c>
      <c r="T16" s="209">
        <f>IF(SUMIF(T6:T13,"&lt;9E307")=M14,SUMIF(T6:T13,"&lt;9E307"),"有误，请检查")</f>
        <v>7220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5">
        <f>ROUND(SUMPRODUCT(AP6:AP13,K6:K13)/SUMPRODUCT((AP6:AP13&gt;0)*(K6:K13)),3)</f>
        <v>0.92100000000000004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5"/>
      <c r="B17" s="1203"/>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5"/>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2337</v>
      </c>
      <c r="D19" s="1992"/>
      <c r="E19" s="1991"/>
      <c r="F19" s="1991"/>
      <c r="G19" s="1991"/>
      <c r="H19" s="1991"/>
      <c r="I19" s="1991"/>
      <c r="J19" s="1991"/>
      <c r="K19" s="1990"/>
      <c r="L19" s="1990"/>
      <c r="M19" s="1988"/>
      <c r="N19" s="1988"/>
      <c r="O19" s="1988"/>
      <c r="P19" s="1988"/>
      <c r="Q19" s="1988"/>
      <c r="R19" s="3183"/>
      <c r="S19" s="3183"/>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3183"/>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3237">
        <f>SUM(K6:K10)</f>
        <v>243639.14999999997</v>
      </c>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f>G6*SUM(K6:K9)/K23+G10*K10/K23</f>
        <v>0.98460760247275525</v>
      </c>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8"/>
      <c r="B25" s="1205"/>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6" customFormat="1" ht="27.75">
      <c r="A27" s="225" t="s">
        <v>2339</v>
      </c>
      <c r="B27" s="226">
        <v>215</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6" customFormat="1" ht="27.75">
      <c r="A28" s="227" t="s">
        <v>2340</v>
      </c>
      <c r="B28" s="228">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6" customFormat="1" ht="28.5" thickBot="1">
      <c r="A29" s="230" t="s">
        <v>2338</v>
      </c>
      <c r="B29" s="231"/>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6" customFormat="1" ht="27">
      <c r="A30" s="234" t="s">
        <v>273</v>
      </c>
      <c r="B30" s="979">
        <v>215</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6" customFormat="1" ht="27">
      <c r="A31" s="227" t="s">
        <v>274</v>
      </c>
      <c r="B31" s="229">
        <f>B30-B32</f>
        <v>215</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6" customFormat="1" ht="27.75" thickBot="1">
      <c r="A32" s="236"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6" customFormat="1" ht="14.25">
      <c r="A33" s="225"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2899</v>
      </c>
      <c r="D36" s="1989"/>
      <c r="E36" s="1203"/>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801">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5.5500000000000008E-2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80"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80" t="s">
        <v>284</v>
      </c>
      <c r="B43" s="240">
        <f>B42*(B44+B45+B46)+B47</f>
        <v>5.5000000000000014E-3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3235">
        <v>5.0000000000000001E-4</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49" t="s">
        <v>1410</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5">
        <v>25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5">
        <v>20</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5">
        <v>15</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5">
        <v>10</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5">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5">
        <v>1.5</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5">
        <v>1</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7" sqref="K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7" t="s">
        <v>1664</v>
      </c>
      <c r="B1" s="3328"/>
      <c r="C1" s="3328"/>
      <c r="D1" s="3328"/>
      <c r="E1" s="3328"/>
      <c r="F1" s="3328"/>
      <c r="G1" s="3328"/>
      <c r="H1" s="2001"/>
      <c r="I1" s="2002"/>
      <c r="J1" s="2003"/>
      <c r="K1" s="2001"/>
      <c r="L1" s="2002"/>
      <c r="M1" s="2003"/>
      <c r="N1" s="2001"/>
      <c r="O1" s="2002"/>
      <c r="P1" s="2003"/>
      <c r="Q1" s="2004"/>
      <c r="R1" s="2005"/>
    </row>
    <row r="2" spans="1:18" ht="14.25" thickBot="1">
      <c r="A2" s="1222"/>
      <c r="B2" s="1223"/>
      <c r="C2" s="1224" t="s">
        <v>1665</v>
      </c>
      <c r="D2" s="1225"/>
      <c r="E2" s="1226"/>
      <c r="F2" s="1227"/>
      <c r="G2" s="1224" t="s">
        <v>1666</v>
      </c>
      <c r="H2" s="2007"/>
      <c r="I2" s="2007"/>
      <c r="J2" s="2007"/>
      <c r="K2" s="2007"/>
      <c r="L2" s="2007"/>
      <c r="M2" s="2007"/>
      <c r="N2" s="2007"/>
      <c r="O2" s="2007"/>
      <c r="P2" s="2007"/>
      <c r="Q2" s="2007"/>
      <c r="R2" s="2007"/>
    </row>
    <row r="3" spans="1:18" ht="54">
      <c r="A3" s="1228" t="s">
        <v>1667</v>
      </c>
      <c r="B3" s="1229" t="s">
        <v>1654</v>
      </c>
      <c r="C3" s="3214" t="s">
        <v>3126</v>
      </c>
      <c r="D3" s="2008"/>
      <c r="E3" s="1230" t="s">
        <v>1667</v>
      </c>
      <c r="F3" s="1231" t="s">
        <v>1655</v>
      </c>
      <c r="G3" s="3108" t="s">
        <v>2923</v>
      </c>
      <c r="H3" s="2007"/>
      <c r="I3" s="2007"/>
      <c r="J3" s="2007"/>
      <c r="K3" s="2007"/>
      <c r="L3" s="2007"/>
      <c r="M3" s="2007"/>
      <c r="N3" s="2007"/>
      <c r="O3" s="2007"/>
      <c r="P3" s="2007"/>
      <c r="Q3" s="2007"/>
      <c r="R3" s="2007"/>
    </row>
    <row r="4" spans="1:18" ht="54">
      <c r="A4" s="1230"/>
      <c r="B4" s="1232" t="s">
        <v>1668</v>
      </c>
      <c r="C4" s="3184" t="s">
        <v>3127</v>
      </c>
      <c r="D4" s="2008"/>
      <c r="E4" s="1233"/>
      <c r="F4" s="1234" t="s">
        <v>1669</v>
      </c>
      <c r="G4" s="3106" t="s">
        <v>2920</v>
      </c>
      <c r="H4" s="2007"/>
      <c r="I4" s="2007"/>
      <c r="J4" s="2007"/>
      <c r="K4" s="2007"/>
      <c r="L4" s="2007"/>
      <c r="M4" s="2007"/>
      <c r="N4" s="2007"/>
      <c r="O4" s="2007"/>
      <c r="P4" s="2007"/>
      <c r="Q4" s="2007"/>
      <c r="R4" s="2007"/>
    </row>
    <row r="5" spans="1:18" ht="40.5">
      <c r="A5" s="1230"/>
      <c r="B5" s="1232" t="s">
        <v>1670</v>
      </c>
      <c r="C5" s="3184" t="s">
        <v>3017</v>
      </c>
      <c r="D5" s="2008"/>
      <c r="E5" s="1233"/>
      <c r="F5" s="1232" t="s">
        <v>2550</v>
      </c>
      <c r="G5" s="3106" t="s">
        <v>2921</v>
      </c>
      <c r="H5" s="2007"/>
      <c r="I5" s="2007"/>
      <c r="J5" s="2007"/>
      <c r="K5" s="2007"/>
      <c r="L5" s="2007"/>
      <c r="M5" s="2007"/>
      <c r="N5" s="2007"/>
      <c r="O5" s="2007"/>
      <c r="P5" s="2007"/>
      <c r="Q5" s="2007"/>
      <c r="R5" s="2007"/>
    </row>
    <row r="6" spans="1:18" ht="67.5">
      <c r="A6" s="1230"/>
      <c r="B6" s="1232" t="s">
        <v>1656</v>
      </c>
      <c r="C6" s="3185" t="s">
        <v>3158</v>
      </c>
      <c r="D6" s="2008"/>
      <c r="E6" s="1233"/>
      <c r="F6" s="1232" t="s">
        <v>2551</v>
      </c>
      <c r="G6" s="3106" t="s">
        <v>2919</v>
      </c>
      <c r="H6" s="2007"/>
      <c r="I6" s="2007"/>
      <c r="J6" s="2007"/>
      <c r="K6" s="2007"/>
      <c r="L6" s="2007"/>
      <c r="M6" s="2007"/>
      <c r="N6" s="2007"/>
      <c r="O6" s="2007"/>
      <c r="P6" s="2007"/>
      <c r="Q6" s="2007"/>
      <c r="R6" s="2007"/>
    </row>
    <row r="7" spans="1:18" ht="68.25" thickBot="1">
      <c r="A7" s="1230"/>
      <c r="B7" s="1232" t="s">
        <v>2550</v>
      </c>
      <c r="C7" s="3185" t="s">
        <v>3159</v>
      </c>
      <c r="D7" s="2009"/>
      <c r="E7" s="1235"/>
      <c r="F7" s="1236" t="s">
        <v>1671</v>
      </c>
      <c r="G7" s="3109" t="s">
        <v>2922</v>
      </c>
      <c r="H7" s="2007"/>
      <c r="I7" s="2007"/>
      <c r="J7" s="2007"/>
      <c r="K7" s="2007"/>
      <c r="L7" s="2007"/>
      <c r="M7" s="2007"/>
      <c r="N7" s="2007"/>
      <c r="O7" s="2007"/>
      <c r="P7" s="2007"/>
      <c r="Q7" s="2007"/>
      <c r="R7" s="2007"/>
    </row>
    <row r="8" spans="1:18">
      <c r="A8" s="1230"/>
      <c r="B8" s="1232" t="s">
        <v>2551</v>
      </c>
      <c r="C8" s="3185" t="s">
        <v>3132</v>
      </c>
      <c r="D8" s="2009"/>
      <c r="E8" s="2009"/>
      <c r="F8" s="1554"/>
      <c r="G8" s="1554"/>
      <c r="H8" s="2007"/>
      <c r="I8" s="2007"/>
      <c r="J8" s="2007"/>
      <c r="K8" s="2007"/>
      <c r="L8" s="2007"/>
      <c r="M8" s="2007"/>
      <c r="N8" s="2007"/>
      <c r="O8" s="2007"/>
      <c r="P8" s="2007"/>
      <c r="Q8" s="2007"/>
      <c r="R8" s="2007"/>
    </row>
    <row r="9" spans="1:18" ht="40.5">
      <c r="A9" s="1230"/>
      <c r="B9" s="1232" t="s">
        <v>1657</v>
      </c>
      <c r="C9" s="3184" t="s">
        <v>3129</v>
      </c>
      <c r="D9" s="2008"/>
      <c r="E9" s="2009"/>
      <c r="F9" s="1554"/>
      <c r="G9" s="1554"/>
      <c r="H9" s="2007"/>
      <c r="I9" s="2007"/>
      <c r="J9" s="2007"/>
      <c r="K9" s="2007"/>
      <c r="L9" s="2007"/>
      <c r="M9" s="2007"/>
      <c r="N9" s="2007"/>
      <c r="O9" s="2007"/>
      <c r="P9" s="2007"/>
      <c r="Q9" s="2007"/>
      <c r="R9" s="2007"/>
    </row>
    <row r="10" spans="1:18" s="2015" customFormat="1" ht="15" thickBot="1">
      <c r="A10" s="1237"/>
      <c r="B10" s="1238" t="s">
        <v>1672</v>
      </c>
      <c r="C10" s="3107" t="s">
        <v>3128</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5"/>
      <c r="E13" s="2601"/>
      <c r="F13" s="2601"/>
      <c r="G13" s="2601"/>
    </row>
    <row r="14" spans="1:18" ht="14.25" thickBot="1">
      <c r="A14" s="1239"/>
      <c r="B14" s="1240"/>
      <c r="C14" s="1241" t="s">
        <v>1665</v>
      </c>
      <c r="D14" s="2008"/>
      <c r="E14" s="1242"/>
      <c r="F14" s="1242"/>
      <c r="G14" s="1224" t="s">
        <v>1666</v>
      </c>
    </row>
    <row r="15" spans="1:18" ht="54">
      <c r="A15" s="2611" t="s">
        <v>1658</v>
      </c>
      <c r="B15" s="1243" t="s">
        <v>1654</v>
      </c>
      <c r="C15" s="1244" t="str">
        <f>C3</f>
        <v>估价对象、居住小区规模及数量一般，社区发展完善程度一般，综合评价居住社区成熟度一般</v>
      </c>
      <c r="D15" s="2008"/>
      <c r="E15" s="2608" t="s">
        <v>1659</v>
      </c>
      <c r="F15" s="1243" t="s">
        <v>1674</v>
      </c>
      <c r="G15" s="1245" t="str">
        <f>G3</f>
        <v>估价对象位于XX开发区，园区建设成熟度XX，产业集聚程度XX</v>
      </c>
    </row>
    <row r="16" spans="1:18" ht="54">
      <c r="A16" s="2612"/>
      <c r="B16" s="1246" t="s">
        <v>1668</v>
      </c>
      <c r="C16" s="1247" t="str">
        <f>C4</f>
        <v>估价对象位于椰海大道南侧，周边商业氛围一般，人流量一般，商业繁华度一般</v>
      </c>
      <c r="D16" s="2008"/>
      <c r="E16" s="2609"/>
      <c r="F16" s="1248" t="s">
        <v>1669</v>
      </c>
      <c r="G16" s="1006" t="str">
        <f>G4</f>
        <v>估价对象周边道路状况、公共交通通达情况、停车便捷程度，综合评价交通便捷度较好</v>
      </c>
    </row>
    <row r="17" spans="1:7" ht="40.5">
      <c r="A17" s="2612"/>
      <c r="B17" s="1246" t="s">
        <v>1670</v>
      </c>
      <c r="C17" s="1247" t="str">
        <f>C5</f>
        <v>估价对象位于椰海大道南侧，周边办公楼项目一般，办公集聚程度一般</v>
      </c>
      <c r="D17" s="2009"/>
      <c r="E17" s="2609"/>
      <c r="F17" s="1248" t="s">
        <v>1675</v>
      </c>
      <c r="G17" s="2819"/>
    </row>
    <row r="18" spans="1:7" ht="67.5">
      <c r="A18" s="2612"/>
      <c r="B18" s="1248" t="s">
        <v>1656</v>
      </c>
      <c r="C18" s="1006" t="str">
        <f>C6</f>
        <v>估价对象东北侧临主干道-津塘公路，有186路、207路、659路等公交线路，停车便捷程度较好，综合评价交通便捷度一般</v>
      </c>
      <c r="D18" s="2009"/>
      <c r="E18" s="2609"/>
      <c r="F18" s="1248" t="s">
        <v>1671</v>
      </c>
      <c r="G18" s="1006" t="str">
        <f>G7</f>
        <v>该园区内是否有污染型企业，绿化情况，卫生条件，整体环境状况判断</v>
      </c>
    </row>
    <row r="19" spans="1:7" ht="27">
      <c r="A19" s="2612"/>
      <c r="B19" s="1248" t="s">
        <v>1660</v>
      </c>
      <c r="C19" s="3186" t="s">
        <v>3018</v>
      </c>
      <c r="D19" s="2008"/>
      <c r="E19" s="2609"/>
      <c r="F19" s="1232" t="s">
        <v>2550</v>
      </c>
      <c r="G19" s="1006" t="str">
        <f>G5</f>
        <v>估价对象所在区域公共配套设施齐备情况</v>
      </c>
    </row>
    <row r="20" spans="1:7" ht="40.5">
      <c r="A20" s="2612"/>
      <c r="B20" s="1248" t="s">
        <v>1661</v>
      </c>
      <c r="C20" s="1247" t="str">
        <f>C9</f>
        <v>区域内无特殊自然环境及大学，综合评价环境状况一般</v>
      </c>
      <c r="D20" s="2009"/>
      <c r="E20" s="2609"/>
      <c r="F20" s="1232" t="s">
        <v>2551</v>
      </c>
      <c r="G20" s="1006" t="str">
        <f>G6</f>
        <v>估价对象所在区域基础设施水平</v>
      </c>
    </row>
    <row r="21" spans="1:7" ht="67.5">
      <c r="A21" s="2612"/>
      <c r="B21" s="1232" t="s">
        <v>2550</v>
      </c>
      <c r="C21" s="1006" t="str">
        <f>C7</f>
        <v>估价对象所在区域有农业银行、龙跃财富广场、八里台第一小学、天津津南新华医院，公共配套设施较好</v>
      </c>
      <c r="D21" s="2008"/>
      <c r="E21" s="2609"/>
      <c r="F21" s="1248" t="s">
        <v>1662</v>
      </c>
      <c r="G21" s="3110"/>
    </row>
    <row r="22" spans="1:7" ht="14.25">
      <c r="A22" s="2612"/>
      <c r="B22" s="1232" t="s">
        <v>2551</v>
      </c>
      <c r="C22" s="1006" t="str">
        <f>C8</f>
        <v>七通一平</v>
      </c>
      <c r="D22" s="2008"/>
      <c r="E22" s="2609"/>
      <c r="F22" s="1248" t="s">
        <v>1672</v>
      </c>
      <c r="G22" s="2819"/>
    </row>
    <row r="23" spans="1:7" ht="15" thickBot="1">
      <c r="A23" s="2612"/>
      <c r="B23" s="1248" t="s">
        <v>1662</v>
      </c>
      <c r="C23" s="3110" t="s">
        <v>3011</v>
      </c>
      <c r="E23" s="2610"/>
      <c r="F23" s="1249" t="s">
        <v>1676</v>
      </c>
      <c r="G23" s="3111"/>
    </row>
    <row r="24" spans="1:7" ht="14.25" thickBot="1">
      <c r="A24" s="2613"/>
      <c r="B24" s="1249" t="s">
        <v>1663</v>
      </c>
      <c r="C24" s="1250" t="str">
        <f>C10</f>
        <v>主干道-津塘公路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294706.12</v>
      </c>
      <c r="C1" s="3071"/>
      <c r="D1" s="3071"/>
      <c r="E1" s="3071"/>
      <c r="F1" s="3071"/>
    </row>
    <row r="2" spans="1:9" ht="16.5">
      <c r="A2" s="3070" t="s">
        <v>2851</v>
      </c>
      <c r="B2" s="3070">
        <f>SUM(C14:C23)</f>
        <v>163507.1</v>
      </c>
      <c r="C2" s="3071"/>
      <c r="D2" s="3071"/>
      <c r="E2" s="3071"/>
      <c r="F2" s="3071"/>
    </row>
    <row r="3" spans="1:9" ht="16.5">
      <c r="A3" s="3070" t="s">
        <v>2852</v>
      </c>
      <c r="B3" s="3072">
        <f>项目基本情况!D3</f>
        <v>43089</v>
      </c>
      <c r="C3" s="3071"/>
      <c r="D3" s="3071"/>
      <c r="E3" s="3071"/>
      <c r="F3" s="3071"/>
    </row>
    <row r="4" spans="1:9" ht="33">
      <c r="A4" s="3070" t="s">
        <v>2853</v>
      </c>
      <c r="B4" s="3070" t="s">
        <v>2854</v>
      </c>
      <c r="C4" s="3070" t="s">
        <v>2855</v>
      </c>
      <c r="D4" s="3070" t="s">
        <v>2856</v>
      </c>
      <c r="E4" s="3071"/>
      <c r="F4" s="3071"/>
    </row>
    <row r="5" spans="1:9" ht="16.5">
      <c r="A5" s="3070" t="s">
        <v>2857</v>
      </c>
      <c r="B5" s="3070">
        <f ca="1">SUM(D14:D23)</f>
        <v>213593</v>
      </c>
      <c r="C5" s="3070">
        <f ca="1">ROUND(B5*10000/$B$1,0)</f>
        <v>7248</v>
      </c>
      <c r="D5" s="3070">
        <f ca="1">ROUND(B5*10000/$B$2,0)</f>
        <v>13063</v>
      </c>
      <c r="E5" s="3071"/>
      <c r="F5" s="3071"/>
    </row>
    <row r="6" spans="1:9" ht="16.5">
      <c r="A6" s="3070" t="s">
        <v>2858</v>
      </c>
      <c r="B6" s="3070">
        <f ca="1">SUM(G14:G23)</f>
        <v>188593</v>
      </c>
      <c r="C6" s="3070">
        <f t="shared" ref="C6:C8" ca="1" si="0">ROUND(B6*10000/$B$1,0)</f>
        <v>6399</v>
      </c>
      <c r="D6" s="3070">
        <f t="shared" ref="D6:D8" ca="1" si="1">ROUND(B6*10000/$B$2,0)</f>
        <v>11534</v>
      </c>
      <c r="E6" s="3071"/>
      <c r="F6" s="3071"/>
    </row>
    <row r="7" spans="1:9" ht="16.5">
      <c r="A7" s="3070" t="s">
        <v>2859</v>
      </c>
      <c r="B7" s="3070">
        <f ca="1">SUM(H14:H23)</f>
        <v>213593</v>
      </c>
      <c r="C7" s="3070">
        <f t="shared" ca="1" si="0"/>
        <v>7248</v>
      </c>
      <c r="D7" s="3070">
        <f t="shared" ca="1" si="1"/>
        <v>13063</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294706.12</v>
      </c>
      <c r="C14" s="3074">
        <f>结果表!K38</f>
        <v>163507.1</v>
      </c>
      <c r="D14" s="3074">
        <f ca="1">结果表!C42</f>
        <v>213593</v>
      </c>
      <c r="E14" s="3074">
        <f ca="1">ROUND(D14*10000/B14,0)</f>
        <v>7248</v>
      </c>
      <c r="F14" s="3074">
        <f ca="1">ROUND(D14*10000/C14,0)</f>
        <v>13063</v>
      </c>
      <c r="G14" s="3074">
        <f ca="1">结果表!C44</f>
        <v>188593</v>
      </c>
      <c r="H14" s="3074">
        <f ca="1">结果表!C45</f>
        <v>213593</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D50" sqref="D5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2056</v>
      </c>
      <c r="B1" s="1778"/>
      <c r="C1" s="1805" t="s">
        <v>2057</v>
      </c>
      <c r="D1" s="1806" t="s">
        <v>3175</v>
      </c>
      <c r="E1" s="1805" t="s">
        <v>2058</v>
      </c>
      <c r="F1" s="1807" t="s">
        <v>3174</v>
      </c>
      <c r="G1" s="312"/>
      <c r="H1" s="312"/>
      <c r="I1" s="312"/>
      <c r="J1" s="2028"/>
      <c r="K1" s="2028"/>
      <c r="L1" s="2028"/>
      <c r="M1" s="2028"/>
      <c r="N1" s="2028"/>
      <c r="O1" s="2028"/>
      <c r="P1" s="2028"/>
      <c r="Q1" s="2028"/>
      <c r="R1" s="2028"/>
      <c r="S1" s="2028"/>
      <c r="T1" s="2028"/>
      <c r="U1" s="2028"/>
      <c r="V1" s="2028"/>
    </row>
    <row r="2" spans="1:22" ht="21.75" customHeight="1" thickBot="1">
      <c r="A2" s="3365" t="str">
        <f>项目基本情况!K2</f>
        <v>天津市津南区八里台镇出让国有建设用地使用权</v>
      </c>
      <c r="B2" s="3366"/>
      <c r="C2" s="3367"/>
      <c r="D2" s="3367"/>
      <c r="E2" s="3367"/>
      <c r="F2" s="3367"/>
      <c r="G2" s="3366"/>
      <c r="H2" s="3366"/>
      <c r="I2" s="3368"/>
      <c r="J2" s="2029"/>
      <c r="K2" s="2028"/>
      <c r="L2" s="2028"/>
      <c r="M2" s="2028"/>
      <c r="N2" s="2028"/>
      <c r="O2" s="2028"/>
      <c r="P2" s="2028"/>
      <c r="Q2" s="2028"/>
      <c r="R2" s="2028"/>
      <c r="S2" s="2028"/>
      <c r="T2" s="2028"/>
      <c r="U2" s="2028"/>
      <c r="V2" s="2028"/>
    </row>
    <row r="3" spans="1:22" ht="14.25">
      <c r="A3" s="3358" t="s">
        <v>298</v>
      </c>
      <c r="B3" s="3359"/>
      <c r="C3" s="3359"/>
      <c r="D3" s="3359"/>
      <c r="E3" s="3359"/>
      <c r="F3" s="3359"/>
      <c r="G3" s="3359"/>
      <c r="H3" s="3359"/>
      <c r="I3" s="3359"/>
      <c r="J3" s="2029"/>
      <c r="K3" s="2028"/>
      <c r="L3" s="2028"/>
      <c r="M3" s="2028"/>
      <c r="N3" s="2028"/>
      <c r="O3" s="2028"/>
      <c r="P3" s="2028"/>
      <c r="Q3" s="2028"/>
      <c r="R3" s="2028"/>
      <c r="S3" s="2028"/>
      <c r="T3" s="2028"/>
      <c r="U3" s="2028"/>
      <c r="V3" s="2028"/>
    </row>
    <row r="4" spans="1:22" ht="14.25">
      <c r="A4" s="256" t="s">
        <v>299</v>
      </c>
      <c r="B4" s="257" t="s">
        <v>300</v>
      </c>
      <c r="C4" s="258" t="s">
        <v>3014</v>
      </c>
      <c r="D4" s="258" t="s">
        <v>3015</v>
      </c>
      <c r="E4" s="3330" t="s">
        <v>301</v>
      </c>
      <c r="F4" s="3331"/>
      <c r="G4" s="3331"/>
      <c r="H4" s="3331"/>
      <c r="I4" s="3360"/>
      <c r="J4" s="2029"/>
      <c r="K4" s="2028"/>
      <c r="L4" s="949" t="str">
        <f>IF(ISNUMBER(FIND("比较法",C4)),"比较法",IF(ISNUMBER(FIND("成本法",C4)),"成本法",IF(ISNUMBER(FIND("剩余法",C4)),"剩余法",IF(ISNUMBER(FIND("收益法",C4)),"收益法","基准地价系数修正法"))))</f>
        <v>剩余法</v>
      </c>
      <c r="M4" s="949"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29" t="s">
        <v>302</v>
      </c>
      <c r="B5" s="3355">
        <v>25</v>
      </c>
      <c r="C5" s="3353">
        <v>18</v>
      </c>
      <c r="D5" s="3357">
        <v>24</v>
      </c>
      <c r="E5" s="259" t="s">
        <v>303</v>
      </c>
      <c r="F5" s="260"/>
      <c r="G5" s="260"/>
      <c r="H5" s="260"/>
      <c r="I5" s="261"/>
      <c r="J5" s="2029"/>
      <c r="K5" s="2028"/>
      <c r="L5" s="2028"/>
      <c r="M5" s="2028"/>
      <c r="N5" s="2028"/>
      <c r="O5" s="2028"/>
      <c r="P5" s="2028"/>
      <c r="Q5" s="2028"/>
      <c r="R5" s="2028"/>
      <c r="S5" s="2028"/>
      <c r="T5" s="2028"/>
      <c r="U5" s="2028"/>
      <c r="V5" s="2028"/>
    </row>
    <row r="6" spans="1:22" ht="14.25">
      <c r="A6" s="3329"/>
      <c r="B6" s="3355"/>
      <c r="C6" s="3356"/>
      <c r="D6" s="3357"/>
      <c r="E6" s="259" t="s">
        <v>304</v>
      </c>
      <c r="F6" s="260"/>
      <c r="G6" s="260"/>
      <c r="H6" s="260"/>
      <c r="I6" s="261"/>
      <c r="J6" s="2029"/>
      <c r="K6" s="2028"/>
      <c r="L6" s="2028"/>
      <c r="M6" s="2028"/>
      <c r="N6" s="2028"/>
      <c r="O6" s="2028"/>
      <c r="P6" s="2028"/>
      <c r="Q6" s="2028"/>
      <c r="R6" s="2028"/>
      <c r="S6" s="2028"/>
      <c r="T6" s="2028"/>
      <c r="U6" s="2028"/>
      <c r="V6" s="2028"/>
    </row>
    <row r="7" spans="1:22" ht="14.25">
      <c r="A7" s="3329"/>
      <c r="B7" s="3355"/>
      <c r="C7" s="3354"/>
      <c r="D7" s="3357"/>
      <c r="E7" s="259" t="s">
        <v>305</v>
      </c>
      <c r="F7" s="260"/>
      <c r="G7" s="260"/>
      <c r="H7" s="260"/>
      <c r="I7" s="261"/>
      <c r="J7" s="2029"/>
      <c r="K7" s="2028"/>
      <c r="L7" s="2028"/>
      <c r="M7" s="2028"/>
      <c r="N7" s="2028"/>
      <c r="O7" s="2028"/>
      <c r="P7" s="2028"/>
      <c r="Q7" s="2028"/>
      <c r="R7" s="2028"/>
      <c r="S7" s="2028"/>
      <c r="T7" s="2028"/>
      <c r="U7" s="2028"/>
      <c r="V7" s="2028"/>
    </row>
    <row r="8" spans="1:22" ht="14.25">
      <c r="A8" s="3329" t="s">
        <v>306</v>
      </c>
      <c r="B8" s="3355">
        <v>15</v>
      </c>
      <c r="C8" s="3353">
        <v>9</v>
      </c>
      <c r="D8" s="3357">
        <v>14</v>
      </c>
      <c r="E8" s="259" t="s">
        <v>307</v>
      </c>
      <c r="F8" s="260"/>
      <c r="G8" s="260"/>
      <c r="H8" s="260"/>
      <c r="I8" s="261"/>
      <c r="J8" s="2029"/>
      <c r="K8" s="2028"/>
      <c r="L8" s="2028"/>
      <c r="M8" s="2028"/>
      <c r="N8" s="2028"/>
      <c r="O8" s="2028"/>
      <c r="P8" s="2028"/>
      <c r="Q8" s="2028"/>
      <c r="R8" s="2028"/>
      <c r="S8" s="2028"/>
      <c r="T8" s="2028"/>
      <c r="U8" s="2028"/>
      <c r="V8" s="2028"/>
    </row>
    <row r="9" spans="1:22" ht="14.25">
      <c r="A9" s="3329"/>
      <c r="B9" s="3355"/>
      <c r="C9" s="3354"/>
      <c r="D9" s="3357"/>
      <c r="E9" s="259" t="s">
        <v>308</v>
      </c>
      <c r="F9" s="260"/>
      <c r="G9" s="260"/>
      <c r="H9" s="260"/>
      <c r="I9" s="261"/>
      <c r="J9" s="2029"/>
      <c r="K9" s="2028"/>
      <c r="L9" s="2028"/>
      <c r="M9" s="2028"/>
      <c r="N9" s="2028"/>
      <c r="O9" s="2028"/>
      <c r="P9" s="2028"/>
      <c r="Q9" s="2028"/>
      <c r="R9" s="2028"/>
      <c r="S9" s="2028"/>
      <c r="T9" s="2028"/>
      <c r="U9" s="2028"/>
      <c r="V9" s="2028"/>
    </row>
    <row r="10" spans="1:22" ht="14.25">
      <c r="A10" s="3329" t="s">
        <v>309</v>
      </c>
      <c r="B10" s="3355">
        <v>15</v>
      </c>
      <c r="C10" s="3353">
        <v>9</v>
      </c>
      <c r="D10" s="3357">
        <v>14</v>
      </c>
      <c r="E10" s="259" t="s">
        <v>310</v>
      </c>
      <c r="F10" s="260"/>
      <c r="G10" s="260"/>
      <c r="H10" s="260"/>
      <c r="I10" s="261"/>
      <c r="J10" s="2029"/>
      <c r="K10" s="2028"/>
      <c r="L10" s="2028"/>
      <c r="M10" s="2028"/>
      <c r="N10" s="2028"/>
      <c r="O10" s="2028"/>
      <c r="P10" s="2028"/>
      <c r="Q10" s="2028"/>
      <c r="R10" s="2028"/>
      <c r="S10" s="2028"/>
      <c r="T10" s="2028"/>
      <c r="U10" s="2028"/>
      <c r="V10" s="2028"/>
    </row>
    <row r="11" spans="1:22" ht="14.25">
      <c r="A11" s="3329"/>
      <c r="B11" s="3355"/>
      <c r="C11" s="3354"/>
      <c r="D11" s="3357"/>
      <c r="E11" s="259" t="s">
        <v>311</v>
      </c>
      <c r="F11" s="260"/>
      <c r="G11" s="260"/>
      <c r="H11" s="260"/>
      <c r="I11" s="261"/>
      <c r="J11" s="2029"/>
      <c r="K11" s="2028"/>
      <c r="L11" s="2028"/>
      <c r="M11" s="2028"/>
      <c r="N11" s="2028"/>
      <c r="O11" s="2028"/>
      <c r="P11" s="2028"/>
      <c r="Q11" s="2028"/>
      <c r="R11" s="2028"/>
      <c r="S11" s="2028"/>
      <c r="T11" s="2028"/>
      <c r="U11" s="2028"/>
      <c r="V11" s="2028"/>
    </row>
    <row r="12" spans="1:22" ht="14.25">
      <c r="A12" s="3329" t="s">
        <v>312</v>
      </c>
      <c r="B12" s="3355">
        <v>15</v>
      </c>
      <c r="C12" s="3353">
        <v>9</v>
      </c>
      <c r="D12" s="3357">
        <v>14</v>
      </c>
      <c r="E12" s="259" t="s">
        <v>313</v>
      </c>
      <c r="F12" s="260"/>
      <c r="G12" s="260"/>
      <c r="H12" s="260"/>
      <c r="I12" s="261"/>
      <c r="J12" s="2029"/>
      <c r="K12" s="2028"/>
      <c r="L12" s="2028"/>
      <c r="M12" s="2028"/>
      <c r="N12" s="2028"/>
      <c r="O12" s="2028"/>
      <c r="P12" s="2028"/>
      <c r="Q12" s="2028"/>
      <c r="R12" s="2028"/>
      <c r="S12" s="2028"/>
      <c r="T12" s="2028"/>
      <c r="U12" s="2028"/>
      <c r="V12" s="2028"/>
    </row>
    <row r="13" spans="1:22" ht="14.25">
      <c r="A13" s="3329"/>
      <c r="B13" s="3355"/>
      <c r="C13" s="3354"/>
      <c r="D13" s="3357"/>
      <c r="E13" s="259" t="s">
        <v>314</v>
      </c>
      <c r="F13" s="260"/>
      <c r="G13" s="260"/>
      <c r="H13" s="260"/>
      <c r="I13" s="261"/>
      <c r="J13" s="2029"/>
      <c r="K13" s="2028"/>
      <c r="L13" s="2028"/>
      <c r="M13" s="2028"/>
      <c r="N13" s="2028"/>
      <c r="O13" s="2028"/>
      <c r="P13" s="2028"/>
      <c r="Q13" s="2028"/>
      <c r="R13" s="2028"/>
      <c r="S13" s="2028"/>
      <c r="T13" s="2028"/>
      <c r="U13" s="2028"/>
      <c r="V13" s="2028"/>
    </row>
    <row r="14" spans="1:22" ht="14.25">
      <c r="A14" s="3329" t="s">
        <v>315</v>
      </c>
      <c r="B14" s="3355">
        <v>30</v>
      </c>
      <c r="C14" s="3353">
        <v>19</v>
      </c>
      <c r="D14" s="3357">
        <v>29</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29"/>
      <c r="B15" s="3355"/>
      <c r="C15" s="3356"/>
      <c r="D15" s="3357"/>
      <c r="E15" s="259" t="s">
        <v>317</v>
      </c>
      <c r="F15" s="260"/>
      <c r="G15" s="260"/>
      <c r="H15" s="260"/>
      <c r="I15" s="261"/>
      <c r="J15" s="2029"/>
      <c r="K15" s="2028"/>
      <c r="L15" s="2028"/>
      <c r="M15" s="2028"/>
      <c r="N15" s="2028"/>
      <c r="O15" s="2028"/>
      <c r="P15" s="2028"/>
      <c r="Q15" s="2028"/>
      <c r="R15" s="2028"/>
      <c r="S15" s="2028"/>
      <c r="T15" s="2028"/>
      <c r="U15" s="2028"/>
      <c r="V15" s="2028"/>
    </row>
    <row r="16" spans="1:22" ht="14.25">
      <c r="A16" s="3329"/>
      <c r="B16" s="3355"/>
      <c r="C16" s="3354"/>
      <c r="D16" s="3357"/>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3"/>
      <c r="C17" s="263">
        <f>SUM(C5:C16)</f>
        <v>64</v>
      </c>
      <c r="D17" s="263">
        <f>SUM(D5:D16)</f>
        <v>95</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4" t="s">
        <v>320</v>
      </c>
      <c r="B18" s="105"/>
      <c r="C18" s="265">
        <f>ROUND(C17/SUM(C17:D17),2)</f>
        <v>0.4</v>
      </c>
      <c r="D18" s="265">
        <f>1-C18</f>
        <v>0.6</v>
      </c>
      <c r="E18" s="312"/>
      <c r="F18" s="312"/>
      <c r="G18" s="312"/>
      <c r="H18" s="312"/>
      <c r="I18" s="312"/>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115862</v>
      </c>
      <c r="D19" s="269">
        <f ca="1">SUMIF(INDIRECT("'"&amp;D4&amp;"'"&amp;"!A:A"),结果表!B19,INDIRECT("'"&amp;D4&amp;"'"&amp;"!B:B"))</f>
        <v>278747</v>
      </c>
      <c r="E19" s="266" t="s">
        <v>323</v>
      </c>
      <c r="F19" s="267" t="s">
        <v>322</v>
      </c>
      <c r="G19" s="270">
        <f ca="1">ROUND(C19*$C$18+D19*$D$18,0)</f>
        <v>213593</v>
      </c>
      <c r="H19" s="271" t="s">
        <v>324</v>
      </c>
      <c r="I19" s="312"/>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3931</v>
      </c>
      <c r="D20" s="275">
        <f ca="1">SUMIF(INDIRECT("'"&amp;D4&amp;"'"&amp;"!A:A"),结果表!B20,INDIRECT("'"&amp;D4&amp;"'"&amp;"!B:B"))</f>
        <v>9458</v>
      </c>
      <c r="E20" s="272"/>
      <c r="F20" s="273" t="s">
        <v>325</v>
      </c>
      <c r="G20" s="276">
        <f ca="1">ROUND(C20*$C$18+D20*$D$18,0)</f>
        <v>7247</v>
      </c>
      <c r="H20" s="277" t="s">
        <v>326</v>
      </c>
      <c r="I20" s="312"/>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7086</v>
      </c>
      <c r="D21" s="150">
        <f ca="1">SUMIF(INDIRECT("'"&amp;D4&amp;"'"&amp;"!A:A"),结果表!B21,INDIRECT("'"&amp;D4&amp;"'"&amp;"!B:B"))</f>
        <v>17048</v>
      </c>
      <c r="E21" s="272"/>
      <c r="F21" s="278" t="s">
        <v>327</v>
      </c>
      <c r="G21" s="280">
        <f ca="1">ROUND(C21*$C$18+D21*$D$18,0)</f>
        <v>13063</v>
      </c>
      <c r="H21" s="1252" t="s">
        <v>326</v>
      </c>
      <c r="I21" s="312"/>
      <c r="J21" s="2028"/>
      <c r="K21" s="2028"/>
      <c r="L21" s="2028"/>
      <c r="M21" s="2028"/>
      <c r="N21" s="2028"/>
      <c r="O21" s="2028"/>
      <c r="P21" s="2028"/>
      <c r="Q21" s="2028"/>
      <c r="R21" s="2028"/>
      <c r="S21" s="2028"/>
      <c r="T21" s="2028"/>
      <c r="U21" s="2028"/>
      <c r="V21" s="2028"/>
    </row>
    <row r="22" spans="1:26" ht="15.75" thickBot="1">
      <c r="A22" s="125" t="s">
        <v>328</v>
      </c>
      <c r="B22" s="1253"/>
      <c r="C22" s="1254"/>
      <c r="D22" s="281">
        <f ca="1">IF(C19&lt;D19,D19/C19-1,C19/D19-1)</f>
        <v>1.4058535153889973</v>
      </c>
      <c r="E22" s="282"/>
      <c r="F22" s="283"/>
      <c r="G22" s="284">
        <f ca="1">ROUND(G19/('数据-汇总表'!D3/666.67),0)</f>
        <v>871</v>
      </c>
      <c r="H22" s="285"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35" t="s">
        <v>330</v>
      </c>
      <c r="B24" s="267" t="s">
        <v>322</v>
      </c>
      <c r="C24" s="286">
        <f>IF(B30=0,0,D30)</f>
        <v>0</v>
      </c>
      <c r="D24" s="287"/>
      <c r="E24" s="312"/>
      <c r="F24" s="312"/>
      <c r="G24" s="312"/>
      <c r="H24" s="312"/>
      <c r="I24" s="312"/>
      <c r="J24" s="2028"/>
      <c r="K24" s="2028"/>
      <c r="L24" s="2028"/>
      <c r="M24" s="2028"/>
      <c r="N24" s="2028"/>
      <c r="O24" s="2028"/>
      <c r="P24" s="2028"/>
      <c r="Q24" s="2028"/>
      <c r="R24" s="2028"/>
      <c r="S24" s="2028"/>
      <c r="T24" s="2028"/>
      <c r="U24" s="2028"/>
      <c r="V24" s="2028"/>
    </row>
    <row r="25" spans="1:26" ht="18">
      <c r="A25" s="3336"/>
      <c r="B25" s="1322" t="s">
        <v>331</v>
      </c>
      <c r="C25" s="288">
        <f>IF(B30=0,0,C30)</f>
        <v>0</v>
      </c>
      <c r="D25" s="289"/>
      <c r="E25" s="312"/>
      <c r="F25" s="312"/>
      <c r="G25" s="312"/>
      <c r="H25" s="312"/>
      <c r="I25" s="312"/>
      <c r="J25" s="2028"/>
      <c r="K25" s="1256" t="str">
        <f ca="1">项目基本情况!B16&amp;"国有建设用地使用权价格："&amp;O38&amp;"万元"</f>
        <v>出让国有建设用地使用权价格：213593万元</v>
      </c>
      <c r="L25" s="1257"/>
      <c r="M25" s="1257"/>
      <c r="N25" s="1257"/>
      <c r="O25" s="1258"/>
      <c r="P25" s="2028"/>
      <c r="Q25" s="2028"/>
      <c r="R25" s="2028"/>
      <c r="S25" s="2028"/>
      <c r="T25" s="2028"/>
      <c r="U25" s="2028"/>
      <c r="V25" s="2028"/>
    </row>
    <row r="26" spans="1:26" s="1255" customFormat="1" ht="18">
      <c r="A26" s="291" t="s">
        <v>332</v>
      </c>
      <c r="B26" s="292" t="s">
        <v>333</v>
      </c>
      <c r="C26" s="292" t="s">
        <v>334</v>
      </c>
      <c r="D26" s="293" t="s">
        <v>335</v>
      </c>
      <c r="E26" s="312"/>
      <c r="F26" s="312"/>
      <c r="G26" s="312"/>
      <c r="H26" s="312"/>
      <c r="I26" s="312"/>
      <c r="J26" s="2028"/>
      <c r="K26" s="1259" t="str">
        <f ca="1">"大写金额：人民币"&amp;NUMBERSTRING(INT(O38*10000),2)&amp;"元整"</f>
        <v>大写金额：人民币贰拾壹亿叁仟伍佰玖拾叁万元整</v>
      </c>
      <c r="L26" s="1253"/>
      <c r="M26" s="1253"/>
      <c r="N26" s="1253"/>
      <c r="O26" s="1252"/>
      <c r="P26" s="2028"/>
      <c r="Q26" s="2028"/>
      <c r="R26" s="2028"/>
      <c r="S26" s="2028"/>
      <c r="T26" s="2028"/>
      <c r="U26" s="2028"/>
      <c r="V26" s="2028"/>
      <c r="W26" s="290"/>
      <c r="X26" s="290"/>
      <c r="Y26" s="290"/>
      <c r="Z26" s="290"/>
    </row>
    <row r="27" spans="1:26" ht="18">
      <c r="A27" s="291"/>
      <c r="B27" s="292"/>
      <c r="C27" s="292"/>
      <c r="D27" s="293">
        <f ca="1">G19*10000/'数据-汇总表'!F27</f>
        <v>11085.423617449011</v>
      </c>
      <c r="E27" s="312"/>
      <c r="F27" s="312"/>
      <c r="G27" s="312"/>
      <c r="H27" s="312"/>
      <c r="I27" s="312"/>
      <c r="J27" s="2028"/>
      <c r="K27" s="1259" t="str">
        <f ca="1">"单位面积地价："&amp;M38&amp;"元/平方米"</f>
        <v>单位面积地价：13063元/平方米</v>
      </c>
      <c r="L27" s="1253"/>
      <c r="M27" s="1253"/>
      <c r="N27" s="1253"/>
      <c r="O27" s="1252"/>
      <c r="P27" s="2028"/>
      <c r="Q27" s="2028"/>
      <c r="R27" s="2028"/>
      <c r="S27" s="2028"/>
      <c r="T27" s="2028"/>
      <c r="U27" s="2028"/>
      <c r="V27" s="2028"/>
    </row>
    <row r="28" spans="1:26" ht="18.75" customHeight="1">
      <c r="A28" s="291"/>
      <c r="B28" s="292"/>
      <c r="C28" s="292"/>
      <c r="D28" s="293"/>
      <c r="E28" s="312"/>
      <c r="F28" s="312"/>
      <c r="G28" s="312"/>
      <c r="H28" s="312"/>
      <c r="I28" s="312"/>
      <c r="J28" s="2028"/>
      <c r="K28" s="1259" t="str">
        <f ca="1">"楼面地价："&amp;N38&amp;"元/平方米"</f>
        <v>楼面地价：7248元/平方米</v>
      </c>
      <c r="L28" s="1253"/>
      <c r="M28" s="1253"/>
      <c r="N28" s="1253"/>
      <c r="O28" s="1252"/>
      <c r="P28" s="2028"/>
      <c r="V28" s="2028"/>
    </row>
    <row r="29" spans="1:26" ht="18">
      <c r="A29" s="291"/>
      <c r="B29" s="292"/>
      <c r="C29" s="292"/>
      <c r="D29" s="293"/>
      <c r="E29" s="312"/>
      <c r="F29" s="312"/>
      <c r="G29" s="312"/>
      <c r="H29" s="312"/>
      <c r="I29" s="312"/>
      <c r="J29" s="2028"/>
      <c r="K29" s="1259" t="str">
        <f ca="1">IF(OR(项目基本情况!E8="抵押价格",项目基本情况!E8="已注销及未注销"),"抵押价格："&amp;O39&amp;"万元","——")</f>
        <v>抵押价格：188593万元</v>
      </c>
      <c r="L29" s="1253"/>
      <c r="M29" s="1253"/>
      <c r="N29" s="1253"/>
      <c r="O29" s="1252"/>
      <c r="P29" s="2028"/>
      <c r="V29" s="2028"/>
    </row>
    <row r="30" spans="1:26" ht="18.75" thickBot="1">
      <c r="A30" s="294" t="s">
        <v>336</v>
      </c>
      <c r="B30" s="295">
        <f>SUM(B27:B29)</f>
        <v>0</v>
      </c>
      <c r="C30" s="295" t="e">
        <f ca="1">ROUND(D30*10000/B30,0)</f>
        <v>#DIV/0!</v>
      </c>
      <c r="D30" s="296">
        <f ca="1">SUM(D27:D29)</f>
        <v>11085.423617449011</v>
      </c>
      <c r="E30" s="312"/>
      <c r="F30" s="312"/>
      <c r="G30" s="312"/>
      <c r="H30" s="312"/>
      <c r="I30" s="312"/>
      <c r="J30" s="2028"/>
      <c r="K30" s="1259" t="str">
        <f ca="1">IF(K29="——","——","大写金额：人民币"&amp;NUMBERSTRING(INT(O39*10000),2)&amp;"元整")</f>
        <v>大写金额：人民币壹拾捌亿捌仟伍佰玖拾叁万元整</v>
      </c>
      <c r="L30" s="1253"/>
      <c r="M30" s="1253"/>
      <c r="N30" s="1253"/>
      <c r="O30" s="1252"/>
      <c r="P30" s="2028"/>
      <c r="V30" s="2028"/>
    </row>
    <row r="31" spans="1:26" ht="24" customHeight="1" thickBot="1">
      <c r="A31" s="312"/>
      <c r="B31" s="312"/>
      <c r="C31" s="312"/>
      <c r="D31" s="312"/>
      <c r="E31" s="312"/>
      <c r="F31" s="312"/>
      <c r="G31" s="312"/>
      <c r="H31" s="312"/>
      <c r="I31" s="312"/>
      <c r="J31" s="2028"/>
      <c r="K31" s="2492" t="str">
        <f ca="1">IF(项目基本情况!E8="抵押价格","——","抵押担保权已注销时的抵押价格："&amp;O40&amp;"万元")</f>
        <v>抵押担保权已注销时的抵押价格：213593万元</v>
      </c>
      <c r="L31" s="2488"/>
      <c r="M31" s="2488"/>
      <c r="N31" s="2488"/>
      <c r="O31" s="2489"/>
      <c r="P31" s="2028"/>
      <c r="V31" s="2028"/>
    </row>
    <row r="32" spans="1:26" ht="18.75" thickBot="1">
      <c r="A32" s="266" t="s">
        <v>337</v>
      </c>
      <c r="B32" s="1382" t="s">
        <v>1689</v>
      </c>
      <c r="C32" s="1383">
        <f ca="1">G19-C24</f>
        <v>213593</v>
      </c>
      <c r="D32" s="1384" t="s">
        <v>1690</v>
      </c>
      <c r="E32" s="312"/>
      <c r="F32" s="312"/>
      <c r="G32" s="312"/>
      <c r="H32" s="312"/>
      <c r="I32" s="312"/>
      <c r="J32" s="2028"/>
      <c r="K32" s="2487" t="str">
        <f ca="1">IF(K31="——","——","大写金额：人民币"&amp;NUMBERSTRING(INT(O40*10000),2)&amp;"元整")</f>
        <v>大写金额：人民币贰拾壹亿叁仟伍佰玖拾叁万元整</v>
      </c>
      <c r="L32" s="2490"/>
      <c r="M32" s="2490"/>
      <c r="N32" s="2490"/>
      <c r="O32" s="2491"/>
      <c r="P32" s="2028"/>
      <c r="V32" s="2028"/>
    </row>
    <row r="33" spans="1:26" ht="18.75" thickBot="1">
      <c r="A33" s="299" t="s">
        <v>340</v>
      </c>
      <c r="B33" s="1385" t="s">
        <v>1691</v>
      </c>
      <c r="C33" s="262">
        <f ca="1">ROUND(C32*10000/'数据-汇总表'!E3,0)</f>
        <v>7248</v>
      </c>
      <c r="D33" s="1386" t="s">
        <v>1692</v>
      </c>
      <c r="E33" s="3335" t="s">
        <v>338</v>
      </c>
      <c r="F33" s="297" t="s">
        <v>339</v>
      </c>
      <c r="G33" s="298">
        <v>25000</v>
      </c>
      <c r="H33" s="981" t="s">
        <v>3198</v>
      </c>
      <c r="I33" s="1260"/>
      <c r="J33" s="2028"/>
      <c r="K33" s="1259" t="str">
        <f>IF(项目基本情况!E9="——","——","抵押净值："&amp;C46&amp;"万元")</f>
        <v>抵押净值：——万元</v>
      </c>
      <c r="L33" s="1253"/>
      <c r="M33" s="1253"/>
      <c r="N33" s="1253"/>
      <c r="O33" s="1252"/>
      <c r="P33" s="2028"/>
      <c r="V33" s="2028"/>
    </row>
    <row r="34" spans="1:26" s="1255" customFormat="1" ht="18.75" thickBot="1">
      <c r="A34" s="301"/>
      <c r="B34" s="1387" t="s">
        <v>1693</v>
      </c>
      <c r="C34" s="262">
        <f ca="1">ROUND(C32*10000/'数据-汇总表'!D3,0)</f>
        <v>13063</v>
      </c>
      <c r="D34" s="1388" t="s">
        <v>1692</v>
      </c>
      <c r="E34" s="3376"/>
      <c r="F34" s="126" t="s">
        <v>341</v>
      </c>
      <c r="G34" s="300"/>
      <c r="H34" s="105"/>
      <c r="I34" s="312"/>
      <c r="J34" s="2028"/>
      <c r="K34" s="1262" t="e">
        <f>IF(K33="——","——","大写金额：人民币"&amp;NUMBERSTRING(INT(O41*10000),2)&amp;"元整")</f>
        <v>#VALUE!</v>
      </c>
      <c r="L34" s="1263"/>
      <c r="M34" s="1263"/>
      <c r="N34" s="1263"/>
      <c r="O34" s="1264"/>
      <c r="P34" s="2028"/>
      <c r="Q34" s="290"/>
      <c r="R34" s="290"/>
      <c r="S34" s="290"/>
      <c r="T34" s="290"/>
      <c r="U34" s="290"/>
      <c r="V34" s="2028"/>
      <c r="W34" s="290"/>
      <c r="X34" s="290"/>
      <c r="Y34" s="290"/>
      <c r="Z34" s="290"/>
    </row>
    <row r="35" spans="1:26" ht="15.75" thickBot="1">
      <c r="A35" s="282"/>
      <c r="B35" s="1389"/>
      <c r="C35" s="1390">
        <f ca="1">ROUND(C32/('数据-汇总表'!D3/666.67),0)</f>
        <v>871</v>
      </c>
      <c r="D35" s="1391" t="s">
        <v>1694</v>
      </c>
      <c r="E35" s="3377"/>
      <c r="F35" s="302" t="s">
        <v>342</v>
      </c>
      <c r="G35" s="983"/>
      <c r="H35" s="982" t="s">
        <v>343</v>
      </c>
      <c r="I35" s="312"/>
      <c r="J35" s="2028"/>
      <c r="K35" s="3350" t="s">
        <v>350</v>
      </c>
      <c r="L35" s="3350" t="s">
        <v>351</v>
      </c>
      <c r="M35" s="1265" t="s">
        <v>352</v>
      </c>
      <c r="N35" s="3350" t="s">
        <v>353</v>
      </c>
      <c r="O35" s="3350" t="s">
        <v>354</v>
      </c>
      <c r="P35" s="2028"/>
      <c r="V35" s="2028"/>
    </row>
    <row r="36" spans="1:26" ht="16.5" customHeight="1">
      <c r="A36" s="304" t="s">
        <v>344</v>
      </c>
      <c r="B36" s="305" t="s">
        <v>333</v>
      </c>
      <c r="C36" s="306" t="s">
        <v>345</v>
      </c>
      <c r="D36" s="306" t="s">
        <v>346</v>
      </c>
      <c r="E36" s="307" t="s">
        <v>347</v>
      </c>
      <c r="F36" s="312"/>
      <c r="G36" s="312"/>
      <c r="H36" s="312"/>
      <c r="I36" s="312"/>
      <c r="J36" s="2030"/>
      <c r="K36" s="3351"/>
      <c r="L36" s="3351"/>
      <c r="M36" s="1267" t="s">
        <v>355</v>
      </c>
      <c r="N36" s="3351"/>
      <c r="O36" s="3351"/>
      <c r="P36" s="2028"/>
      <c r="V36" s="2028"/>
    </row>
    <row r="37" spans="1:26" ht="16.5" customHeight="1" thickBot="1">
      <c r="A37" s="1261" t="s">
        <v>348</v>
      </c>
      <c r="B37" s="308"/>
      <c r="C37" s="292"/>
      <c r="D37" s="292"/>
      <c r="E37" s="293"/>
      <c r="F37" s="312"/>
      <c r="G37" s="312"/>
      <c r="H37" s="312"/>
      <c r="I37" s="312"/>
      <c r="J37" s="2030"/>
      <c r="K37" s="3352"/>
      <c r="L37" s="3352"/>
      <c r="M37" s="1268"/>
      <c r="N37" s="3352"/>
      <c r="O37" s="3352"/>
      <c r="P37" s="2028"/>
      <c r="V37" s="2028"/>
    </row>
    <row r="38" spans="1:26" ht="16.5" customHeight="1" thickBot="1">
      <c r="A38" s="1261" t="s">
        <v>349</v>
      </c>
      <c r="B38" s="308"/>
      <c r="C38" s="292"/>
      <c r="D38" s="292"/>
      <c r="E38" s="293"/>
      <c r="F38" s="312"/>
      <c r="G38" s="312"/>
      <c r="H38" s="312"/>
      <c r="I38" s="312"/>
      <c r="J38" s="2030"/>
      <c r="K38" s="1269">
        <f>'数据-汇总表'!D3</f>
        <v>163507.1</v>
      </c>
      <c r="L38" s="1270">
        <f>'数据-汇总表'!E3</f>
        <v>294706.12</v>
      </c>
      <c r="M38" s="1270">
        <f ca="1">C34</f>
        <v>13063</v>
      </c>
      <c r="N38" s="1270">
        <f ca="1">C33</f>
        <v>7248</v>
      </c>
      <c r="O38" s="1271">
        <f ca="1">C32</f>
        <v>213593</v>
      </c>
      <c r="P38" s="2028"/>
      <c r="V38" s="2028"/>
    </row>
    <row r="39" spans="1:26" ht="16.5" customHeight="1" thickBot="1">
      <c r="A39" s="1266"/>
      <c r="B39" s="309"/>
      <c r="C39" s="310"/>
      <c r="D39" s="310"/>
      <c r="E39" s="311"/>
      <c r="F39" s="312"/>
      <c r="G39" s="312"/>
      <c r="H39" s="312"/>
      <c r="I39" s="312"/>
      <c r="J39" s="2030"/>
      <c r="K39" s="3395" t="str">
        <f>MID(A44,3,LEN(A44)-2)</f>
        <v>抵押价格</v>
      </c>
      <c r="L39" s="3396"/>
      <c r="M39" s="3396"/>
      <c r="N39" s="3397"/>
      <c r="O39" s="1393">
        <f ca="1">C44</f>
        <v>188593</v>
      </c>
      <c r="P39" s="2028"/>
      <c r="V39" s="2028"/>
    </row>
    <row r="40" spans="1:26" ht="19.5" thickBot="1">
      <c r="A40" s="104" t="s">
        <v>873</v>
      </c>
      <c r="B40" s="312"/>
      <c r="C40" s="312"/>
      <c r="D40" s="312"/>
      <c r="E40" s="312"/>
      <c r="F40" s="312"/>
      <c r="G40" s="312"/>
      <c r="H40" s="312"/>
      <c r="I40" s="312"/>
      <c r="J40" s="2030"/>
      <c r="K40" s="3395" t="str">
        <f t="shared" ref="K40:K41" si="0">MID(A45,3,LEN(A45)-2)</f>
        <v>抵押担保权已注销时的抵押价格</v>
      </c>
      <c r="L40" s="3396"/>
      <c r="M40" s="3396"/>
      <c r="N40" s="3397"/>
      <c r="O40" s="1393">
        <f ca="1">C45</f>
        <v>213593</v>
      </c>
      <c r="P40" s="2028"/>
      <c r="V40" s="2028"/>
    </row>
    <row r="41" spans="1:26" ht="16.5" thickBot="1">
      <c r="A41" s="313" t="s">
        <v>356</v>
      </c>
      <c r="B41" s="314"/>
      <c r="C41" s="315" t="s">
        <v>357</v>
      </c>
      <c r="D41" s="316" t="s">
        <v>358</v>
      </c>
      <c r="E41" s="316" t="s">
        <v>359</v>
      </c>
      <c r="F41" s="317" t="s">
        <v>360</v>
      </c>
      <c r="G41" s="312"/>
      <c r="H41" s="312"/>
      <c r="I41" s="312"/>
      <c r="J41" s="2030"/>
      <c r="K41" s="3395" t="str">
        <f t="shared" si="0"/>
        <v/>
      </c>
      <c r="L41" s="3396"/>
      <c r="M41" s="3396"/>
      <c r="N41" s="3397"/>
      <c r="O41" s="1393" t="str">
        <f>C46</f>
        <v>——</v>
      </c>
      <c r="P41" s="2028"/>
      <c r="V41" s="2028"/>
    </row>
    <row r="42" spans="1:26" ht="29.25">
      <c r="A42" s="3337" t="s">
        <v>2068</v>
      </c>
      <c r="B42" s="3338"/>
      <c r="C42" s="262">
        <f ca="1">C32</f>
        <v>213593</v>
      </c>
      <c r="D42" s="318">
        <f ca="1">C33</f>
        <v>7248</v>
      </c>
      <c r="E42" s="318">
        <f ca="1">C34</f>
        <v>13063</v>
      </c>
      <c r="F42" s="319">
        <f ca="1">C35</f>
        <v>871</v>
      </c>
      <c r="G42" s="312"/>
      <c r="H42" s="312"/>
      <c r="I42" s="320"/>
      <c r="J42" s="2030"/>
      <c r="K42" s="1272" t="s">
        <v>361</v>
      </c>
      <c r="L42" s="2047" t="s">
        <v>362</v>
      </c>
      <c r="M42" s="1273" t="s">
        <v>363</v>
      </c>
      <c r="N42" s="2048" t="s">
        <v>364</v>
      </c>
      <c r="O42" s="2049" t="s">
        <v>365</v>
      </c>
      <c r="P42" s="2028"/>
      <c r="V42" s="2028"/>
    </row>
    <row r="43" spans="1:26" ht="30">
      <c r="A43" s="3348" t="s">
        <v>2736</v>
      </c>
      <c r="B43" s="3349"/>
      <c r="C43" s="262">
        <f>IF(H33="正常操作",G33+G34+G35,G34+G35)</f>
        <v>25000</v>
      </c>
      <c r="D43" s="318" t="s">
        <v>43</v>
      </c>
      <c r="E43" s="318" t="s">
        <v>44</v>
      </c>
      <c r="F43" s="319" t="s">
        <v>44</v>
      </c>
      <c r="G43" s="2892" t="s">
        <v>952</v>
      </c>
      <c r="H43" s="312"/>
      <c r="I43" s="320"/>
      <c r="J43" s="2030"/>
      <c r="K43" s="1274" t="str">
        <f>C4</f>
        <v>剩余法-待开发</v>
      </c>
      <c r="L43" s="1275">
        <f ca="1">IF(L42="估价结果/万元",C19,C20)</f>
        <v>115862</v>
      </c>
      <c r="M43" s="1276">
        <f>C18</f>
        <v>0.4</v>
      </c>
      <c r="N43" s="1277">
        <f ca="1">IF(N42="测算结果/万元",G19,G20)</f>
        <v>213593</v>
      </c>
      <c r="O43" s="1278">
        <f ca="1">IF(O42="最终结果/万元",C32,C33)</f>
        <v>213593</v>
      </c>
      <c r="P43" s="2028"/>
      <c r="V43" s="2028"/>
    </row>
    <row r="44" spans="1:26" ht="30.75" thickBot="1">
      <c r="A44" s="3337" t="str">
        <f>IF(OR(项目基本情况!E8="抵押价格",项目基本情况!E8="已注销及未注销"),"3.抵押价格","——")</f>
        <v>3.抵押价格</v>
      </c>
      <c r="B44" s="3338"/>
      <c r="C44" s="262">
        <f ca="1">IF(A44="——","——",C42-C43)</f>
        <v>188593</v>
      </c>
      <c r="D44" s="318">
        <f ca="1">ROUND(C44*10000/'数据-汇总表'!E3,0)</f>
        <v>6399</v>
      </c>
      <c r="E44" s="318">
        <f ca="1">ROUND(C44*10000/'数据-汇总表'!D3,0)</f>
        <v>11534</v>
      </c>
      <c r="F44" s="319">
        <f ca="1">ROUND(C44/('数据-汇总表'!D3/666.67),0)</f>
        <v>769</v>
      </c>
      <c r="G44" s="312"/>
      <c r="H44" s="312"/>
      <c r="I44" s="320"/>
      <c r="J44" s="2030"/>
      <c r="K44" s="1279" t="str">
        <f>D4</f>
        <v>比较法-住宅、综合</v>
      </c>
      <c r="L44" s="1280">
        <f ca="1">IF(L42="估价结果/万元",D19,D20)</f>
        <v>278747</v>
      </c>
      <c r="M44" s="1281">
        <f>D18</f>
        <v>0.6</v>
      </c>
      <c r="N44" s="1282"/>
      <c r="O44" s="1283"/>
      <c r="P44" s="2028"/>
      <c r="V44" s="2028"/>
    </row>
    <row r="45" spans="1:26" ht="15">
      <c r="A45" s="3343" t="str">
        <f>IF(项目基本情况!E8="已注销及未注销","4.抵押担保权已注销时的抵押价格",IF(项目基本情况!E8="已注销","3.抵押担保权已注销时的抵押价格","——"))</f>
        <v>4.抵押担保权已注销时的抵押价格</v>
      </c>
      <c r="B45" s="3344"/>
      <c r="C45" s="1804">
        <f ca="1">IF(A45="——","——",IF(项目基本情况!E8="抵押价格","——",C32-G34-G35))</f>
        <v>213593</v>
      </c>
      <c r="D45" s="318">
        <f ca="1">ROUND(C45*10000/'数据-汇总表'!E3,0)</f>
        <v>7248</v>
      </c>
      <c r="E45" s="318">
        <f ca="1">ROUND(C45*10000/'数据-汇总表'!D3,0)</f>
        <v>13063</v>
      </c>
      <c r="F45" s="319">
        <f ca="1">ROUND(C45/('数据-汇总表'!D3/666.67),0)</f>
        <v>871</v>
      </c>
      <c r="G45" s="312"/>
      <c r="H45" s="312"/>
      <c r="I45" s="320"/>
      <c r="J45" s="2030"/>
      <c r="K45" s="2028"/>
      <c r="L45" s="2028"/>
      <c r="M45" s="2028"/>
      <c r="N45" s="2028"/>
      <c r="O45" s="2028"/>
      <c r="P45" s="2028"/>
      <c r="V45" s="2028"/>
    </row>
    <row r="46" spans="1:26" ht="15.75" thickBot="1">
      <c r="A46" s="3339" t="str">
        <f>IF(项目基本情况!E9="抵押净值",IF(A45="——","4.抵押净值","5.抵押净值"),"——")</f>
        <v>——</v>
      </c>
      <c r="B46" s="3340"/>
      <c r="C46" s="321" t="str">
        <f>IF(A46="——","——",O79)</f>
        <v>——</v>
      </c>
      <c r="D46" s="318" t="e">
        <f>ROUND(C46*10000/'数据-汇总表'!E3,0)</f>
        <v>#VALUE!</v>
      </c>
      <c r="E46" s="318" t="e">
        <f>ROUND(C46*10000/'数据-汇总表'!D3,0)</f>
        <v>#VALUE!</v>
      </c>
      <c r="F46" s="319" t="e">
        <f>ROUND(C46/('数据-汇总表'!D3/666.67),0)</f>
        <v>#VALUE!</v>
      </c>
      <c r="G46" s="312"/>
      <c r="H46" s="312"/>
      <c r="I46" s="320"/>
      <c r="J46" s="2030"/>
      <c r="K46" s="2028"/>
      <c r="L46" s="2028"/>
      <c r="M46" s="2028"/>
      <c r="N46" s="2028"/>
      <c r="O46" s="2028"/>
      <c r="P46" s="2028"/>
      <c r="Q46" s="2028"/>
      <c r="R46" s="2028"/>
      <c r="S46" s="2028"/>
      <c r="T46" s="2028"/>
      <c r="U46" s="2028"/>
      <c r="V46" s="2028"/>
    </row>
    <row r="47" spans="1:26" ht="15.75">
      <c r="A47" s="322" t="s">
        <v>366</v>
      </c>
      <c r="B47" s="1284"/>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本次评估估价师知悉的法定优先受偿款为人民币25000万元整。</v>
      </c>
      <c r="L47" s="2028"/>
      <c r="M47" s="2028"/>
      <c r="N47" s="2028"/>
      <c r="O47" s="2028"/>
      <c r="P47" s="2028"/>
      <c r="Q47" s="2028"/>
      <c r="R47" s="2028"/>
      <c r="S47" s="2028"/>
      <c r="T47" s="2028"/>
      <c r="U47" s="2028"/>
      <c r="V47" s="2028"/>
    </row>
    <row r="48" spans="1:26" ht="12.75">
      <c r="A48" s="328">
        <v>1</v>
      </c>
      <c r="B48" s="329"/>
      <c r="C48" s="329"/>
      <c r="D48" s="324"/>
      <c r="E48" s="324"/>
      <c r="F48" s="324"/>
      <c r="G48" s="324"/>
      <c r="H48" s="330"/>
      <c r="I48" s="331"/>
      <c r="J48" s="2030"/>
      <c r="K48" s="2028"/>
      <c r="L48" s="2028"/>
      <c r="M48" s="2028"/>
      <c r="N48" s="2028"/>
      <c r="O48" s="2028"/>
      <c r="P48" s="2028"/>
      <c r="Q48" s="2028"/>
      <c r="R48" s="2028"/>
      <c r="S48" s="2028"/>
      <c r="T48" s="2028"/>
      <c r="U48" s="2028"/>
      <c r="V48" s="2028"/>
    </row>
    <row r="49" spans="1:22" ht="12.75">
      <c r="A49" s="328">
        <v>2</v>
      </c>
      <c r="B49" s="329"/>
      <c r="C49" s="329"/>
      <c r="D49" s="324"/>
      <c r="E49" s="324"/>
      <c r="F49" s="324"/>
      <c r="G49" s="324"/>
      <c r="H49" s="330"/>
      <c r="I49" s="331"/>
      <c r="J49" s="2031"/>
      <c r="K49" s="2028"/>
      <c r="L49" s="2028"/>
      <c r="M49" s="2028"/>
      <c r="N49" s="2028"/>
      <c r="O49" s="2028"/>
      <c r="P49" s="2028"/>
      <c r="Q49" s="2028"/>
      <c r="R49" s="2028"/>
      <c r="S49" s="2028"/>
      <c r="T49" s="2028"/>
      <c r="U49" s="2028"/>
      <c r="V49" s="2028"/>
    </row>
    <row r="50" spans="1:22" ht="12.75">
      <c r="A50" s="328">
        <v>3</v>
      </c>
      <c r="B50" s="329"/>
      <c r="C50" s="329"/>
      <c r="D50" s="324"/>
      <c r="E50" s="324"/>
      <c r="F50" s="324"/>
      <c r="G50" s="324"/>
      <c r="H50" s="330"/>
      <c r="I50" s="331"/>
      <c r="J50" s="2031"/>
      <c r="K50" s="2028"/>
      <c r="L50" s="2028"/>
      <c r="M50" s="2028"/>
      <c r="N50" s="2028"/>
      <c r="O50" s="2028"/>
      <c r="P50" s="2028"/>
      <c r="Q50" s="2028"/>
      <c r="R50" s="2028"/>
      <c r="S50" s="2028"/>
      <c r="T50" s="2028"/>
      <c r="U50" s="2028"/>
      <c r="V50" s="2028"/>
    </row>
    <row r="51" spans="1:22" ht="12.75">
      <c r="A51" s="332"/>
      <c r="B51" s="333"/>
      <c r="C51" s="333"/>
      <c r="D51" s="334"/>
      <c r="E51" s="334"/>
      <c r="F51" s="334"/>
      <c r="G51" s="334"/>
      <c r="H51" s="335"/>
      <c r="I51" s="336"/>
      <c r="J51" s="2031"/>
      <c r="K51" s="2028"/>
      <c r="L51" s="2028"/>
      <c r="M51" s="2028"/>
      <c r="N51" s="2028"/>
      <c r="O51" s="2028"/>
      <c r="P51" s="2028"/>
      <c r="Q51" s="2028"/>
      <c r="R51" s="2028"/>
      <c r="S51" s="2028"/>
      <c r="T51" s="2028"/>
      <c r="U51" s="2028"/>
      <c r="V51" s="2028"/>
    </row>
    <row r="52" spans="1:22" ht="12.75">
      <c r="A52" s="329"/>
      <c r="B52" s="329"/>
      <c r="C52" s="329"/>
      <c r="D52" s="324"/>
      <c r="E52" s="324"/>
      <c r="F52" s="324"/>
      <c r="G52" s="324"/>
      <c r="H52" s="330"/>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7" t="s">
        <v>368</v>
      </c>
      <c r="G53" s="338"/>
      <c r="H53" s="338"/>
      <c r="I53" s="339" t="s">
        <v>369</v>
      </c>
      <c r="J53" s="2031"/>
      <c r="K53" s="2028"/>
      <c r="L53" s="2028"/>
      <c r="M53" s="2028"/>
      <c r="N53" s="2028"/>
      <c r="O53" s="2028"/>
      <c r="P53" s="2028"/>
      <c r="Q53" s="2028"/>
      <c r="R53" s="2028"/>
      <c r="S53" s="2028"/>
      <c r="T53" s="2028"/>
      <c r="U53" s="2028"/>
      <c r="V53" s="2028"/>
    </row>
    <row r="54" spans="1:22" ht="12.75">
      <c r="A54" s="255"/>
      <c r="B54" s="340"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8"/>
      <c r="C56" s="338"/>
      <c r="D56" s="338"/>
      <c r="E56" s="338"/>
      <c r="F56" s="338"/>
      <c r="G56" s="338"/>
      <c r="H56" s="338"/>
      <c r="I56" s="339" t="s">
        <v>371</v>
      </c>
      <c r="J56" s="2031"/>
      <c r="K56" s="2028"/>
      <c r="L56" s="2028"/>
      <c r="M56" s="2028"/>
      <c r="N56" s="2028"/>
      <c r="O56" s="2028"/>
      <c r="P56" s="2028"/>
      <c r="Q56" s="2028"/>
      <c r="R56" s="2028"/>
      <c r="S56" s="2028"/>
      <c r="T56" s="2028"/>
      <c r="U56" s="2028"/>
      <c r="V56" s="2028"/>
    </row>
    <row r="57" spans="1:22" ht="12.75">
      <c r="A57" s="255"/>
      <c r="B57" s="340"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40"/>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8"/>
      <c r="C59" s="338"/>
      <c r="D59" s="338"/>
      <c r="E59" s="338"/>
      <c r="F59" s="338"/>
      <c r="G59" s="338"/>
      <c r="H59" s="338"/>
      <c r="I59" s="339"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40"/>
      <c r="C61" s="341"/>
      <c r="D61" s="215"/>
      <c r="E61" s="215"/>
      <c r="F61" s="251"/>
      <c r="G61" s="255"/>
      <c r="H61" s="255"/>
      <c r="I61" s="255"/>
      <c r="J61" s="2031"/>
      <c r="K61" s="2028"/>
      <c r="L61" s="2028"/>
      <c r="M61" s="2028"/>
      <c r="N61" s="2028"/>
      <c r="O61" s="2028"/>
      <c r="P61" s="2028"/>
      <c r="Q61" s="2028"/>
      <c r="R61" s="2028"/>
      <c r="S61" s="2028"/>
      <c r="T61" s="2028"/>
      <c r="U61" s="2028"/>
      <c r="V61" s="2028"/>
    </row>
    <row r="62" spans="1:22" ht="18.75">
      <c r="A62" s="1285" t="s">
        <v>373</v>
      </c>
      <c r="B62" s="1286"/>
      <c r="C62" s="1286"/>
      <c r="D62" s="1287"/>
      <c r="E62" s="1287"/>
      <c r="F62" s="1288"/>
      <c r="G62" s="1288"/>
      <c r="H62" s="1288"/>
      <c r="I62" s="1288"/>
      <c r="J62" s="2032"/>
      <c r="K62" s="2028"/>
      <c r="L62" s="2028"/>
      <c r="M62" s="2028"/>
      <c r="N62" s="2028"/>
      <c r="O62" s="2028"/>
      <c r="P62" s="2028"/>
      <c r="Q62" s="2028"/>
      <c r="R62" s="2028"/>
      <c r="S62" s="2028"/>
      <c r="T62" s="2028"/>
      <c r="U62" s="2028"/>
      <c r="V62" s="2028"/>
    </row>
    <row r="63" spans="1:22" ht="14.25" customHeight="1" thickBot="1">
      <c r="A63" s="3384" t="s">
        <v>374</v>
      </c>
      <c r="B63" s="3385"/>
      <c r="C63" s="3386"/>
      <c r="D63" s="342">
        <f ca="1">ROUND(C42*F63,0)</f>
        <v>128156</v>
      </c>
      <c r="E63" s="303" t="s">
        <v>375</v>
      </c>
      <c r="F63" s="343">
        <v>0.6</v>
      </c>
      <c r="G63" s="344" t="s">
        <v>376</v>
      </c>
      <c r="H63" s="312"/>
      <c r="I63" s="312"/>
      <c r="J63" s="2028"/>
      <c r="K63" s="2028"/>
      <c r="L63" s="2028"/>
      <c r="M63" s="2028"/>
      <c r="N63" s="2028"/>
      <c r="O63" s="2028"/>
      <c r="P63" s="312"/>
      <c r="Q63" s="2028"/>
      <c r="R63" s="2028"/>
      <c r="S63" s="2028"/>
      <c r="T63" s="2028"/>
      <c r="U63" s="2028"/>
      <c r="V63" s="2028"/>
    </row>
    <row r="64" spans="1:22" ht="14.25" customHeight="1">
      <c r="A64" s="3345" t="s">
        <v>378</v>
      </c>
      <c r="B64" s="3346"/>
      <c r="C64" s="3346"/>
      <c r="D64" s="3346"/>
      <c r="E64" s="3346"/>
      <c r="F64" s="3346"/>
      <c r="G64" s="3347"/>
      <c r="H64" s="1289"/>
      <c r="I64" s="949"/>
      <c r="J64" s="1990"/>
      <c r="K64" s="1562" t="s">
        <v>377</v>
      </c>
      <c r="L64" s="11"/>
      <c r="M64" s="11"/>
      <c r="N64" s="11"/>
      <c r="O64" s="11"/>
      <c r="P64" s="312"/>
      <c r="Q64" s="2028"/>
      <c r="R64" s="2028"/>
      <c r="S64" s="2028"/>
      <c r="T64" s="2028"/>
      <c r="U64" s="2028"/>
      <c r="V64" s="2028"/>
    </row>
    <row r="65" spans="1:22" ht="12" customHeight="1">
      <c r="A65" s="345" t="s">
        <v>380</v>
      </c>
      <c r="B65" s="346"/>
      <c r="C65" s="347"/>
      <c r="D65" s="348" t="s">
        <v>381</v>
      </c>
      <c r="E65" s="53" t="s">
        <v>382</v>
      </c>
      <c r="F65" s="349" t="s">
        <v>383</v>
      </c>
      <c r="G65" s="350" t="s">
        <v>384</v>
      </c>
      <c r="H65" s="1289"/>
      <c r="I65" s="949"/>
      <c r="J65" s="1990"/>
      <c r="K65" s="1290"/>
      <c r="L65" s="1291"/>
      <c r="M65" s="1291"/>
      <c r="N65" s="1323" t="s">
        <v>379</v>
      </c>
      <c r="O65" s="1324"/>
      <c r="P65" s="1325"/>
      <c r="Q65" s="2028"/>
      <c r="R65" s="2028"/>
      <c r="S65" s="2028"/>
      <c r="T65" s="2028"/>
      <c r="U65" s="2028"/>
      <c r="V65" s="2028"/>
    </row>
    <row r="66" spans="1:22" ht="25.5">
      <c r="A66" s="3341" t="s">
        <v>386</v>
      </c>
      <c r="B66" s="3342"/>
      <c r="C66" s="3342"/>
      <c r="D66" s="259">
        <f ca="1">IF(H66="情况1",0,IF(H66="情况2",D70,IF(H66="情况3",D71,IF(H66="情况4",D72))))</f>
        <v>6774</v>
      </c>
      <c r="E66" s="994" t="str">
        <f>IF(H66="情况4","(销售额-原购置价)×税（费）率","销售额×税（费）率")</f>
        <v>销售额×税（费）率</v>
      </c>
      <c r="F66" s="351">
        <f>IF(H66="情况1","免征",'数据-取费表'!B41)</f>
        <v>5.5500000000000008E-2</v>
      </c>
      <c r="G66" s="352" t="s">
        <v>387</v>
      </c>
      <c r="H66" s="190" t="s">
        <v>388</v>
      </c>
      <c r="I66" s="1289"/>
      <c r="J66" s="2034"/>
      <c r="K66" s="1292">
        <v>1</v>
      </c>
      <c r="L66" s="3399" t="s">
        <v>385</v>
      </c>
      <c r="M66" s="3400"/>
      <c r="N66" s="2482"/>
      <c r="O66" s="2483"/>
      <c r="P66" s="2484"/>
      <c r="Q66" s="2028"/>
      <c r="R66" s="2028"/>
      <c r="S66" s="2028"/>
      <c r="T66" s="2028"/>
      <c r="U66" s="2028"/>
      <c r="V66" s="2028"/>
    </row>
    <row r="67" spans="1:22" ht="25.5" customHeight="1">
      <c r="A67" s="353" t="s">
        <v>390</v>
      </c>
      <c r="B67" s="3332" t="s">
        <v>391</v>
      </c>
      <c r="C67" s="3332"/>
      <c r="D67" s="354">
        <v>0</v>
      </c>
      <c r="E67" s="41" t="s">
        <v>392</v>
      </c>
      <c r="F67" s="62" t="s">
        <v>21</v>
      </c>
      <c r="G67" s="3387"/>
      <c r="H67" s="312"/>
      <c r="I67" s="1293"/>
      <c r="J67" s="2035"/>
      <c r="K67" s="1976">
        <v>2</v>
      </c>
      <c r="L67" s="3398" t="s">
        <v>389</v>
      </c>
      <c r="M67" s="3398"/>
      <c r="N67" s="1326">
        <f>'数据-取费表'!B2</f>
        <v>43089</v>
      </c>
      <c r="O67" s="1326"/>
      <c r="P67" s="1326"/>
      <c r="Q67" s="2028"/>
      <c r="R67" s="2028"/>
      <c r="S67" s="2028"/>
      <c r="T67" s="2028"/>
      <c r="U67" s="2028"/>
      <c r="V67" s="2028"/>
    </row>
    <row r="68" spans="1:22" ht="25.5" customHeight="1">
      <c r="A68" s="355"/>
      <c r="B68" s="3332" t="s">
        <v>394</v>
      </c>
      <c r="C68" s="3332"/>
      <c r="D68" s="356"/>
      <c r="E68" s="77"/>
      <c r="F68" s="357"/>
      <c r="G68" s="3388"/>
      <c r="H68" s="312"/>
      <c r="I68" s="1293"/>
      <c r="J68" s="2035"/>
      <c r="K68" s="1976">
        <v>3</v>
      </c>
      <c r="L68" s="3398" t="s">
        <v>393</v>
      </c>
      <c r="M68" s="3398"/>
      <c r="N68" s="1294">
        <f ca="1">C42</f>
        <v>213593</v>
      </c>
      <c r="O68" s="1294"/>
      <c r="P68" s="1294"/>
      <c r="Q68" s="2028"/>
      <c r="R68" s="2028"/>
      <c r="S68" s="2028"/>
      <c r="T68" s="2028"/>
      <c r="U68" s="2028"/>
      <c r="V68" s="2028"/>
    </row>
    <row r="69" spans="1:22" ht="12" customHeight="1">
      <c r="A69" s="358"/>
      <c r="B69" s="3332" t="s">
        <v>395</v>
      </c>
      <c r="C69" s="3332"/>
      <c r="D69" s="359"/>
      <c r="E69" s="73"/>
      <c r="F69" s="357"/>
      <c r="G69" s="3389"/>
      <c r="H69" s="312"/>
      <c r="I69" s="1293"/>
      <c r="J69" s="2035"/>
      <c r="K69" s="1295">
        <v>4</v>
      </c>
      <c r="L69" s="3403" t="s">
        <v>2889</v>
      </c>
      <c r="M69" s="3404"/>
      <c r="N69" s="1296">
        <f ca="1">C44</f>
        <v>188593</v>
      </c>
      <c r="O69" s="1296"/>
      <c r="P69" s="1296"/>
      <c r="Q69" s="2028"/>
      <c r="R69" s="2028"/>
      <c r="S69" s="2028"/>
      <c r="T69" s="2028"/>
      <c r="U69" s="2028"/>
      <c r="V69" s="2028"/>
    </row>
    <row r="70" spans="1:22" ht="24" customHeight="1">
      <c r="A70" s="360" t="s">
        <v>396</v>
      </c>
      <c r="B70" s="3332" t="s">
        <v>397</v>
      </c>
      <c r="C70" s="3332"/>
      <c r="D70" s="359">
        <f ca="1">ROUND(D63*'数据-取费表'!B41/(1+'数据-取费表'!C42),0)</f>
        <v>6774</v>
      </c>
      <c r="E70" s="17" t="s">
        <v>398</v>
      </c>
      <c r="F70" s="361">
        <f>'数据-取费表'!B41</f>
        <v>5.5500000000000008E-2</v>
      </c>
      <c r="G70" s="362"/>
      <c r="H70" s="312"/>
      <c r="I70" s="1293"/>
      <c r="J70" s="2035"/>
      <c r="K70" s="3087"/>
      <c r="L70" s="3088"/>
      <c r="M70" s="3088"/>
      <c r="N70" s="3089" t="s">
        <v>2894</v>
      </c>
      <c r="O70" s="3088"/>
      <c r="P70" s="3090"/>
      <c r="Q70" s="2028"/>
      <c r="R70" s="2028"/>
      <c r="S70" s="2028"/>
      <c r="T70" s="2028"/>
      <c r="U70" s="2028"/>
      <c r="V70" s="2028"/>
    </row>
    <row r="71" spans="1:22" ht="12" customHeight="1">
      <c r="A71" s="360" t="s">
        <v>404</v>
      </c>
      <c r="B71" s="3333" t="s">
        <v>405</v>
      </c>
      <c r="C71" s="3334"/>
      <c r="D71" s="359">
        <f ca="1">ROUND(D63*'数据-取费表'!B41/(1+'数据-取费表'!C42),0)</f>
        <v>6774</v>
      </c>
      <c r="E71" s="17" t="s">
        <v>398</v>
      </c>
      <c r="F71" s="361">
        <f>'数据-取费表'!B41</f>
        <v>5.5500000000000008E-2</v>
      </c>
      <c r="G71" s="362"/>
      <c r="H71" s="312"/>
      <c r="I71" s="1293"/>
      <c r="J71" s="2035"/>
      <c r="K71" s="3086" t="s">
        <v>399</v>
      </c>
      <c r="L71" s="3405" t="s">
        <v>400</v>
      </c>
      <c r="M71" s="3405"/>
      <c r="N71" s="3086" t="s">
        <v>401</v>
      </c>
      <c r="O71" s="3086" t="s">
        <v>402</v>
      </c>
      <c r="P71" s="3086" t="s">
        <v>403</v>
      </c>
      <c r="Q71" s="2028"/>
      <c r="R71" s="2028"/>
      <c r="S71" s="2028"/>
      <c r="T71" s="2028"/>
      <c r="U71" s="2028"/>
      <c r="V71" s="2028"/>
    </row>
    <row r="72" spans="1:22" ht="12" customHeight="1">
      <c r="A72" s="360" t="s">
        <v>407</v>
      </c>
      <c r="B72" s="3333" t="s">
        <v>408</v>
      </c>
      <c r="C72" s="3334"/>
      <c r="D72" s="359">
        <f ca="1">C86</f>
        <v>6663</v>
      </c>
      <c r="E72" s="73" t="s">
        <v>409</v>
      </c>
      <c r="F72" s="361">
        <f>'数据-取费表'!B41</f>
        <v>5.5500000000000008E-2</v>
      </c>
      <c r="G72" s="362"/>
      <c r="H72" s="1299"/>
      <c r="I72" s="1293"/>
      <c r="J72" s="2035"/>
      <c r="K72" s="1976">
        <v>1</v>
      </c>
      <c r="L72" s="3380" t="s">
        <v>406</v>
      </c>
      <c r="M72" s="3380"/>
      <c r="N72" s="1297">
        <f ca="1">D66</f>
        <v>6774</v>
      </c>
      <c r="O72" s="1859" t="str">
        <f>E66</f>
        <v>销售额×税（费）率</v>
      </c>
      <c r="P72" s="1298">
        <f>F66</f>
        <v>5.5500000000000008E-2</v>
      </c>
      <c r="Q72" s="2028"/>
      <c r="R72" s="2028"/>
      <c r="S72" s="2028"/>
      <c r="T72" s="2028"/>
      <c r="U72" s="2028"/>
      <c r="V72" s="2028"/>
    </row>
    <row r="73" spans="1:22" ht="24" customHeight="1">
      <c r="A73" s="3374" t="s">
        <v>411</v>
      </c>
      <c r="B73" s="3342"/>
      <c r="C73" s="3342"/>
      <c r="D73" s="363">
        <f>IF(H73="个人住宅",0,ROUND(D63*I73,0))</f>
        <v>0</v>
      </c>
      <c r="E73" s="17" t="s">
        <v>412</v>
      </c>
      <c r="F73" s="361" t="str">
        <f>IF(H73="正常",I73,"免征")</f>
        <v>免征</v>
      </c>
      <c r="G73" s="362"/>
      <c r="H73" s="190" t="s">
        <v>2458</v>
      </c>
      <c r="I73" s="361">
        <f>'数据-取费表'!B49</f>
        <v>5.0000000000000001E-4</v>
      </c>
      <c r="J73" s="2035"/>
      <c r="K73" s="1976">
        <v>2</v>
      </c>
      <c r="L73" s="3380" t="s">
        <v>410</v>
      </c>
      <c r="M73" s="3380"/>
      <c r="N73" s="1297">
        <f t="shared" ref="N73:P74" si="1">D73</f>
        <v>0</v>
      </c>
      <c r="O73" s="1859" t="str">
        <f t="shared" si="1"/>
        <v>销售额×税（费）率</v>
      </c>
      <c r="P73" s="1298" t="str">
        <f t="shared" si="1"/>
        <v>免征</v>
      </c>
      <c r="Q73" s="2028"/>
      <c r="R73" s="2028"/>
      <c r="S73" s="2028"/>
      <c r="T73" s="2028"/>
      <c r="U73" s="2028"/>
      <c r="V73" s="2028"/>
    </row>
    <row r="74" spans="1:22" ht="24.75">
      <c r="A74" s="3374" t="s">
        <v>415</v>
      </c>
      <c r="B74" s="3342"/>
      <c r="C74" s="3342"/>
      <c r="D74" s="363">
        <f ca="1">IF(H74="个人住宅",D75,D76)</f>
        <v>71939</v>
      </c>
      <c r="E74" s="17" t="s">
        <v>416</v>
      </c>
      <c r="F74" s="361" t="str">
        <f>IF(H74="正常",F76,"免征")</f>
        <v>——</v>
      </c>
      <c r="G74" s="984" t="s">
        <v>417</v>
      </c>
      <c r="H74" s="364" t="s">
        <v>413</v>
      </c>
      <c r="I74" s="42"/>
      <c r="J74" s="2035"/>
      <c r="K74" s="1976">
        <v>3</v>
      </c>
      <c r="L74" s="3380" t="s">
        <v>414</v>
      </c>
      <c r="M74" s="3380"/>
      <c r="N74" s="1297">
        <f t="shared" ca="1" si="1"/>
        <v>71939</v>
      </c>
      <c r="O74" s="1859" t="str">
        <f t="shared" si="1"/>
        <v>增值额×税（费）率</v>
      </c>
      <c r="P74" s="1300" t="str">
        <f t="shared" si="1"/>
        <v>——</v>
      </c>
      <c r="Q74" s="2028"/>
      <c r="R74" s="2028"/>
      <c r="S74" s="2028"/>
      <c r="T74" s="2028"/>
      <c r="U74" s="2028"/>
      <c r="V74" s="2028"/>
    </row>
    <row r="75" spans="1:22" ht="24">
      <c r="A75" s="360" t="s">
        <v>418</v>
      </c>
      <c r="B75" s="3330" t="s">
        <v>419</v>
      </c>
      <c r="C75" s="3360"/>
      <c r="D75" s="365">
        <v>0</v>
      </c>
      <c r="E75" s="41" t="s">
        <v>420</v>
      </c>
      <c r="F75" s="366"/>
      <c r="G75" s="362"/>
      <c r="H75" s="42"/>
      <c r="I75" s="42"/>
      <c r="J75" s="2035"/>
      <c r="K75" s="3079">
        <f>IF(H77="非个人房产","",4)</f>
        <v>4</v>
      </c>
      <c r="L75" s="3380" t="str">
        <f>IF(H77="非个人房产","——","个人所得税")</f>
        <v>个人所得税</v>
      </c>
      <c r="M75" s="3380"/>
      <c r="N75" s="1301">
        <f ca="1">D77</f>
        <v>1282</v>
      </c>
      <c r="O75" s="1872" t="str">
        <f>E77</f>
        <v>销售额×税（费）率</v>
      </c>
      <c r="P75" s="1302">
        <f>F77</f>
        <v>0.01</v>
      </c>
      <c r="Q75" s="2028"/>
      <c r="R75" s="2028"/>
      <c r="S75" s="2028"/>
      <c r="T75" s="2028"/>
      <c r="U75" s="2028"/>
      <c r="V75" s="2028"/>
    </row>
    <row r="76" spans="1:22" ht="24.75">
      <c r="A76" s="360" t="s">
        <v>396</v>
      </c>
      <c r="B76" s="3330" t="s">
        <v>422</v>
      </c>
      <c r="C76" s="3331"/>
      <c r="D76" s="363">
        <f ca="1">IF(H76="转让取得",C99,C115)</f>
        <v>71939</v>
      </c>
      <c r="E76" s="17" t="s">
        <v>423</v>
      </c>
      <c r="F76" s="53" t="s">
        <v>21</v>
      </c>
      <c r="G76" s="362"/>
      <c r="H76" s="364" t="s">
        <v>424</v>
      </c>
      <c r="I76" s="42"/>
      <c r="J76" s="2035"/>
      <c r="K76" s="3079" t="str">
        <f>IF(项目基本情况!K6="上海银行",IF(K75="",4,K75+1),"")</f>
        <v/>
      </c>
      <c r="L76" s="3391" t="str">
        <f>IF(项目基本情况!K6="上海银行","其他处置费用","")</f>
        <v/>
      </c>
      <c r="M76" s="3392"/>
      <c r="N76" s="1297" t="str">
        <f>IF(项目基本情况!K6="上海银行",N89,"")</f>
        <v/>
      </c>
      <c r="O76" s="3393" t="str">
        <f>IF(项目基本情况!K6="上海银行","包含处置中涉及的律师、诉讼、拍卖、评估等费用","")</f>
        <v/>
      </c>
      <c r="P76" s="3394"/>
      <c r="Q76" s="2028"/>
      <c r="R76" s="2028"/>
      <c r="S76" s="2028"/>
      <c r="T76" s="2028"/>
      <c r="U76" s="2028"/>
      <c r="V76" s="2028"/>
    </row>
    <row r="77" spans="1:22" ht="26.25" thickBot="1">
      <c r="A77" s="3382" t="s">
        <v>426</v>
      </c>
      <c r="B77" s="3383"/>
      <c r="C77" s="3383"/>
      <c r="D77" s="367">
        <f ca="1">IF(H77="非个人房产","——",IF(H77="个人住宅",0,ROUND(D63*I77,0)))</f>
        <v>1282</v>
      </c>
      <c r="E77" s="368" t="str">
        <f>IF(H77="非个人房产","——","销售额×税（费）率")</f>
        <v>销售额×税（费）率</v>
      </c>
      <c r="F77" s="369">
        <f>IF(H77="非个人房产","——",IF(H77="个人住宅","免征",I77))</f>
        <v>0.01</v>
      </c>
      <c r="G77" s="985" t="s">
        <v>417</v>
      </c>
      <c r="H77" s="364" t="s">
        <v>2890</v>
      </c>
      <c r="I77" s="370">
        <v>0.01</v>
      </c>
      <c r="J77" s="2035"/>
      <c r="K77" s="3381">
        <f>IF(AND(K75="",K76=""),4,IF(项目基本情况!K6="上海银行",K76+1,K75+1))</f>
        <v>5</v>
      </c>
      <c r="L77" s="3380" t="s">
        <v>2891</v>
      </c>
      <c r="M77" s="3085" t="s">
        <v>421</v>
      </c>
      <c r="N77" s="1303"/>
      <c r="O77" s="1304">
        <f ca="1">SUMIF(N72:N76,"&lt;9e307")</f>
        <v>79995</v>
      </c>
      <c r="P77" s="1305"/>
      <c r="Q77" s="3083">
        <f ca="1">O77/N69</f>
        <v>0.42416738691255773</v>
      </c>
      <c r="R77" s="2028"/>
      <c r="S77" s="2028"/>
      <c r="T77" s="2028"/>
      <c r="U77" s="2028"/>
      <c r="V77" s="2028"/>
    </row>
    <row r="78" spans="1:22" ht="12" customHeight="1">
      <c r="A78" s="1306"/>
      <c r="B78" s="312"/>
      <c r="C78" s="312"/>
      <c r="D78" s="312"/>
      <c r="E78" s="42"/>
      <c r="F78" s="42"/>
      <c r="G78" s="42"/>
      <c r="H78" s="1004"/>
      <c r="I78" s="312"/>
      <c r="J78" s="2035"/>
      <c r="K78" s="3381"/>
      <c r="L78" s="3380"/>
      <c r="M78" s="3085" t="s">
        <v>425</v>
      </c>
      <c r="N78" s="1303"/>
      <c r="O78" s="1304" t="str">
        <f ca="1">NUMBERSTRING(INT(O77*10000),2)&amp;"元整"</f>
        <v>柒亿玖仟玖佰玖拾伍万元整</v>
      </c>
      <c r="P78" s="1305"/>
      <c r="Q78" s="2028"/>
      <c r="R78" s="2028"/>
      <c r="S78" s="2028"/>
      <c r="T78" s="2028"/>
      <c r="U78" s="2028"/>
      <c r="V78" s="2028"/>
    </row>
    <row r="79" spans="1:22" ht="13.5" thickBot="1">
      <c r="A79" s="3375" t="s">
        <v>427</v>
      </c>
      <c r="B79" s="3375"/>
      <c r="C79" s="3375"/>
      <c r="D79" s="3375"/>
      <c r="E79" s="3375"/>
      <c r="F79" s="42"/>
      <c r="G79" s="42"/>
      <c r="H79" s="1004"/>
      <c r="I79" s="312"/>
      <c r="J79" s="2035"/>
      <c r="K79" s="3401">
        <f>K77+1</f>
        <v>6</v>
      </c>
      <c r="L79" s="3380" t="s">
        <v>2892</v>
      </c>
      <c r="M79" s="3085" t="s">
        <v>421</v>
      </c>
      <c r="N79" s="1303"/>
      <c r="O79" s="1304">
        <f ca="1">N69-O77</f>
        <v>108598</v>
      </c>
      <c r="P79" s="1305"/>
      <c r="Q79" s="2028"/>
      <c r="R79" s="2028"/>
      <c r="S79" s="2028"/>
      <c r="T79" s="2028"/>
      <c r="U79" s="2028"/>
      <c r="V79" s="2028"/>
    </row>
    <row r="80" spans="1:22" ht="12.75">
      <c r="A80" s="3370" t="s">
        <v>428</v>
      </c>
      <c r="B80" s="3371"/>
      <c r="C80" s="995"/>
      <c r="D80" s="995" t="s">
        <v>429</v>
      </c>
      <c r="E80" s="371" t="s">
        <v>430</v>
      </c>
      <c r="F80" s="42"/>
      <c r="G80" s="42"/>
      <c r="H80" s="1004"/>
      <c r="I80" s="312"/>
      <c r="J80" s="2028"/>
      <c r="K80" s="3402"/>
      <c r="L80" s="3380"/>
      <c r="M80" s="3085" t="s">
        <v>425</v>
      </c>
      <c r="N80" s="1303"/>
      <c r="O80" s="1304" t="str">
        <f ca="1">NUMBERSTRING(INT(O79*10000),2)&amp;"元整"</f>
        <v>壹拾亿捌仟伍佰玖拾捌万元整</v>
      </c>
      <c r="P80" s="1305"/>
      <c r="Q80" s="2028"/>
      <c r="R80" s="2028"/>
      <c r="S80" s="2028"/>
      <c r="T80" s="2028"/>
      <c r="U80" s="2028"/>
      <c r="V80" s="2028"/>
    </row>
    <row r="81" spans="1:26" ht="13.5" thickBot="1">
      <c r="A81" s="382" t="s">
        <v>1824</v>
      </c>
      <c r="B81" s="372" t="s">
        <v>431</v>
      </c>
      <c r="C81" s="373">
        <f ca="1">ROUND((C82+C83)/(1+'数据-取费表'!C42),0)</f>
        <v>122053</v>
      </c>
      <c r="D81" s="374"/>
      <c r="E81" s="375"/>
      <c r="F81" s="42"/>
      <c r="G81" s="42"/>
      <c r="H81" s="1004"/>
      <c r="I81" s="312"/>
      <c r="J81" s="2028"/>
      <c r="K81" s="3079">
        <f>K79+1</f>
        <v>7</v>
      </c>
      <c r="L81" s="3378" t="s">
        <v>2893</v>
      </c>
      <c r="M81" s="3379"/>
      <c r="N81" s="1307"/>
      <c r="O81" s="1308">
        <f ca="1">ROUND(O79*10000/'数据-汇总表'!E3,0)</f>
        <v>3685</v>
      </c>
      <c r="P81" s="1309"/>
      <c r="Q81" s="2028"/>
      <c r="R81" s="2028"/>
      <c r="S81" s="2028"/>
      <c r="T81" s="2028"/>
      <c r="U81" s="2028"/>
      <c r="V81" s="2028"/>
    </row>
    <row r="82" spans="1:26" ht="13.5" thickTop="1">
      <c r="A82" s="376" t="s">
        <v>1825</v>
      </c>
      <c r="B82" s="377" t="s">
        <v>432</v>
      </c>
      <c r="C82" s="378">
        <f ca="1">D63</f>
        <v>128156</v>
      </c>
      <c r="D82" s="379" t="s">
        <v>19</v>
      </c>
      <c r="E82" s="380"/>
      <c r="F82" s="42"/>
      <c r="G82" s="42"/>
      <c r="H82" s="1004"/>
      <c r="I82" s="312"/>
      <c r="J82" s="2028"/>
      <c r="K82" s="2028"/>
      <c r="L82" s="2028"/>
      <c r="M82" s="2028"/>
      <c r="N82" s="2028"/>
      <c r="O82" s="2028"/>
      <c r="P82" s="2028"/>
      <c r="Q82" s="2028"/>
      <c r="R82" s="2028"/>
      <c r="S82" s="2028"/>
      <c r="T82" s="2028"/>
      <c r="U82" s="2028"/>
      <c r="V82" s="2028"/>
    </row>
    <row r="83" spans="1:26" ht="12.75">
      <c r="A83" s="376" t="s">
        <v>1826</v>
      </c>
      <c r="B83" s="377" t="s">
        <v>433</v>
      </c>
      <c r="C83" s="381">
        <v>0</v>
      </c>
      <c r="D83" s="379"/>
      <c r="E83" s="380"/>
      <c r="F83" s="42"/>
      <c r="G83" s="42"/>
      <c r="H83" s="1004"/>
      <c r="I83" s="312"/>
      <c r="J83" s="2028"/>
      <c r="K83" s="3390" t="s">
        <v>2880</v>
      </c>
      <c r="L83" s="3091" t="s">
        <v>2881</v>
      </c>
      <c r="M83" s="3081">
        <f ca="1">IF(N69&gt;10000,N69*0.5%,IF(AND(N69&gt;1000,N69&lt;=10000),N69*1%,IF(AND(N69&gt;100,N69&lt;=1000),N69*3%,IF(AND(N69&gt;10,N69&lt;=100),N69*5%,N69*8%))))</f>
        <v>942.96500000000003</v>
      </c>
      <c r="N83" s="53">
        <f ca="1">ROUND(M83,1)</f>
        <v>943</v>
      </c>
      <c r="O83" s="3084"/>
      <c r="P83" s="2028"/>
      <c r="Q83" s="2028"/>
      <c r="R83" s="2028"/>
      <c r="S83" s="2028"/>
      <c r="T83" s="2028"/>
      <c r="U83" s="2028"/>
      <c r="V83" s="2028"/>
    </row>
    <row r="84" spans="1:26" ht="12.75">
      <c r="A84" s="382" t="s">
        <v>1827</v>
      </c>
      <c r="B84" s="383" t="s">
        <v>434</v>
      </c>
      <c r="C84" s="384">
        <v>2000</v>
      </c>
      <c r="D84" s="385" t="s">
        <v>19</v>
      </c>
      <c r="E84" s="3124" t="s">
        <v>2941</v>
      </c>
      <c r="F84" s="42"/>
      <c r="G84" s="42"/>
      <c r="H84" s="1004"/>
      <c r="I84" s="312"/>
      <c r="J84" s="2028"/>
      <c r="K84" s="3390"/>
      <c r="L84" s="3091" t="s">
        <v>2882</v>
      </c>
      <c r="M84" s="3081">
        <f ca="1">IF(N69&gt;2000,N69*0.5%,IF(AND(N69&gt;1000,N69&lt;=2000),N69*0.6%,IF(AND(N69&gt;500,N69&lt;=1000),N69*0.7%,IF(AND(N69&gt;200,N69&lt;=500),N69*0.8%,IF(AND(N69&gt;100,N69&lt;=200),N69*0.9%,IF(AND(N69&gt;50,N69&lt;=100),N69*1%,IF(AND(N69&gt;20,N69&lt;=50),N69*1.5%,IF(AND(N69&gt;10,N69&lt;=20),N69*2%,IF(AND(N69&gt;1,N69&lt;=10),N69*2.5%)))))))))</f>
        <v>942.96500000000003</v>
      </c>
      <c r="N84" s="53">
        <f t="shared" ref="N84:N85" ca="1" si="2">ROUND(M84,1)</f>
        <v>943</v>
      </c>
      <c r="O84" s="2028" t="s">
        <v>2883</v>
      </c>
      <c r="P84" s="2028"/>
      <c r="Q84" s="2028"/>
      <c r="R84" s="2028"/>
      <c r="S84" s="2028"/>
      <c r="T84" s="2028"/>
      <c r="U84" s="2028"/>
      <c r="V84" s="2028"/>
    </row>
    <row r="85" spans="1:26" ht="12.75">
      <c r="A85" s="382" t="s">
        <v>1828</v>
      </c>
      <c r="B85" s="383" t="s">
        <v>435</v>
      </c>
      <c r="C85" s="386">
        <f ca="1">C81-C84</f>
        <v>120053</v>
      </c>
      <c r="D85" s="379" t="s">
        <v>19</v>
      </c>
      <c r="E85" s="380"/>
      <c r="F85" s="42"/>
      <c r="G85" s="42"/>
      <c r="H85" s="1004"/>
      <c r="I85" s="312"/>
      <c r="J85" s="2028"/>
      <c r="K85" s="3390"/>
      <c r="L85" s="3091" t="s">
        <v>2884</v>
      </c>
      <c r="M85" s="3081">
        <f ca="1">IF(N69&gt;1000,N69*0.1%,IF(AND(N69&gt;500,N69&lt;=1000),N69*0.5%,IF(AND(N69&gt;50,N69&lt;=500),N69*1%,IF(AND(N69&gt;1,N69&lt;=50),N69*1.5%))))</f>
        <v>188.59300000000002</v>
      </c>
      <c r="N85" s="53">
        <f t="shared" ca="1" si="2"/>
        <v>188.6</v>
      </c>
      <c r="O85" s="2028" t="s">
        <v>2883</v>
      </c>
      <c r="P85" s="2028"/>
      <c r="Q85" s="2028"/>
      <c r="R85" s="2028"/>
      <c r="S85" s="2028"/>
      <c r="T85" s="2028"/>
      <c r="U85" s="2028"/>
      <c r="V85" s="2028"/>
    </row>
    <row r="86" spans="1:26" ht="13.5" thickBot="1">
      <c r="A86" s="387" t="s">
        <v>1829</v>
      </c>
      <c r="B86" s="388" t="s">
        <v>436</v>
      </c>
      <c r="C86" s="389">
        <f ca="1">IF(C85&lt;=0,0,ROUND(C85*D86,0))</f>
        <v>6663</v>
      </c>
      <c r="D86" s="390">
        <f>'数据-取费表'!B41</f>
        <v>5.5500000000000008E-2</v>
      </c>
      <c r="E86" s="391"/>
      <c r="F86" s="42"/>
      <c r="G86" s="42"/>
      <c r="H86" s="1004"/>
      <c r="I86" s="312"/>
      <c r="J86" s="2028"/>
      <c r="K86" s="3390"/>
      <c r="L86" s="3091" t="s">
        <v>2885</v>
      </c>
      <c r="M86" s="3081">
        <f ca="1">N69*0.5%</f>
        <v>942.96500000000003</v>
      </c>
      <c r="N86" s="53">
        <f ca="1">IF(M86&gt;0.5,0.5,ROUND(M86,0))</f>
        <v>0.5</v>
      </c>
      <c r="O86" s="2028" t="s">
        <v>2886</v>
      </c>
      <c r="P86" s="2028"/>
      <c r="Q86" s="2028"/>
      <c r="R86" s="2028"/>
      <c r="S86" s="2028"/>
      <c r="T86" s="2028"/>
      <c r="U86" s="2028"/>
      <c r="V86" s="2028"/>
    </row>
    <row r="87" spans="1:26" s="1255" customFormat="1" ht="14.25" customHeight="1">
      <c r="A87" s="1310"/>
      <c r="B87" s="1311"/>
      <c r="C87" s="1312"/>
      <c r="D87" s="1313"/>
      <c r="E87" s="1314"/>
      <c r="F87" s="42"/>
      <c r="G87" s="42"/>
      <c r="H87" s="1004"/>
      <c r="I87" s="312"/>
      <c r="J87" s="2028"/>
      <c r="K87" s="3390"/>
      <c r="L87" s="3091" t="s">
        <v>2887</v>
      </c>
      <c r="M87" s="3081">
        <f ca="1">IF(N69&gt;=10000,(8.25+(N69-10000)*0.01%),IF(AND(N69&gt;=8000,N69&lt;10000),(7.85+(N69-8000)*0.02%),IF(AND(N69&gt;=5000,N69&lt;8000),(6.65+(N69-5000)*0.04%),IF(AND(N69&gt;=2000,N69&lt;5000),(4.25+(PN69-2000)*0.08%),IF(AND(N69&gt;=1000,N69&lt;2000),(2.75+(N69-1000)*0.15%),IF(AND(N69&gt;=100,N69&lt;1000),(0.5+(N69-100)*0.25%),IF(AND(N69&gt;0,N69&lt;100),N69*0.5%)))))))</f>
        <v>26.109300000000001</v>
      </c>
      <c r="N87" s="53">
        <f ca="1">ROUND(M87*0.9,1)</f>
        <v>23.5</v>
      </c>
      <c r="O87" s="3084"/>
      <c r="P87" s="312"/>
      <c r="Q87" s="2028"/>
      <c r="R87" s="2028"/>
      <c r="S87" s="2028"/>
      <c r="T87" s="2028"/>
      <c r="U87" s="2028"/>
      <c r="V87" s="2028"/>
      <c r="W87" s="290"/>
      <c r="X87" s="290"/>
      <c r="Y87" s="290"/>
      <c r="Z87" s="290"/>
    </row>
    <row r="88" spans="1:26" s="1315" customFormat="1" ht="15" thickBot="1">
      <c r="A88" s="3372" t="s">
        <v>437</v>
      </c>
      <c r="B88" s="3373"/>
      <c r="C88" s="3373"/>
      <c r="D88" s="3373"/>
      <c r="E88" s="3373"/>
      <c r="F88" s="3373"/>
      <c r="G88" s="3373"/>
      <c r="H88" s="3373"/>
      <c r="I88" s="1316"/>
      <c r="J88" s="2036"/>
      <c r="K88" s="3390"/>
      <c r="L88" s="3091" t="s">
        <v>2888</v>
      </c>
      <c r="M88" s="3081">
        <f ca="1">IF(N69&gt;10000,N69*0.5%,IF(AND(N69&gt;5000,N69&lt;=10000),N69*1%,IF(AND(N69&gt;1000,N69&lt;=5000),N69*2%,IF(AND(N69&gt;200,N69&lt;=1000),N69*3%,N69*5%))))</f>
        <v>942.96500000000003</v>
      </c>
      <c r="N88" s="53">
        <f ca="1">ROUND(M88,1)</f>
        <v>943</v>
      </c>
      <c r="O88" s="3084"/>
      <c r="P88" s="11"/>
      <c r="Q88" s="2033"/>
      <c r="R88" s="2033"/>
      <c r="S88" s="2033"/>
      <c r="T88" s="2033"/>
      <c r="U88" s="2033"/>
      <c r="V88" s="2033"/>
      <c r="W88" s="2037"/>
      <c r="X88" s="2037"/>
      <c r="Y88" s="2037"/>
      <c r="Z88" s="2037"/>
    </row>
    <row r="89" spans="1:26" s="1315" customFormat="1" ht="14.25">
      <c r="A89" s="3370" t="s">
        <v>428</v>
      </c>
      <c r="B89" s="3371"/>
      <c r="C89" s="995"/>
      <c r="D89" s="995" t="s">
        <v>429</v>
      </c>
      <c r="E89" s="392" t="s">
        <v>438</v>
      </c>
      <c r="F89" s="393"/>
      <c r="G89" s="393"/>
      <c r="H89" s="394"/>
      <c r="I89" s="1317"/>
      <c r="J89" s="2038"/>
      <c r="K89" s="3390"/>
      <c r="L89" s="3091" t="s">
        <v>27</v>
      </c>
      <c r="M89" s="3082"/>
      <c r="N89" s="53">
        <f ca="1">ROUND(SUM(N83:N88),0)</f>
        <v>3042</v>
      </c>
      <c r="O89" s="3092">
        <f ca="1">N89/N69</f>
        <v>1.6129973010663174E-2</v>
      </c>
      <c r="P89" s="2033"/>
      <c r="Q89" s="2033"/>
      <c r="R89" s="2033"/>
      <c r="S89" s="2033"/>
      <c r="T89" s="2033"/>
      <c r="U89" s="2033"/>
      <c r="V89" s="2033"/>
      <c r="W89" s="2037"/>
      <c r="X89" s="2037"/>
      <c r="Y89" s="2037"/>
      <c r="Z89" s="2037"/>
    </row>
    <row r="90" spans="1:26" s="1315" customFormat="1" ht="14.25">
      <c r="A90" s="382" t="s">
        <v>1824</v>
      </c>
      <c r="B90" s="383" t="s">
        <v>439</v>
      </c>
      <c r="C90" s="386">
        <f ca="1">ROUND(D63/(1+'数据-取费表'!C42),0)</f>
        <v>122053</v>
      </c>
      <c r="D90" s="379" t="s">
        <v>19</v>
      </c>
      <c r="E90" s="992"/>
      <c r="F90" s="991"/>
      <c r="G90" s="991"/>
      <c r="H90" s="395"/>
      <c r="I90" s="1317"/>
      <c r="J90" s="2038"/>
      <c r="K90" s="2033"/>
      <c r="L90" s="2033"/>
      <c r="M90" s="2033"/>
      <c r="N90" s="2033"/>
      <c r="O90" s="2033"/>
      <c r="P90" s="2033"/>
      <c r="Q90" s="2033"/>
      <c r="R90" s="2033"/>
      <c r="S90" s="2033"/>
      <c r="T90" s="2033"/>
      <c r="U90" s="2033"/>
      <c r="V90" s="2033"/>
      <c r="W90" s="2037"/>
      <c r="X90" s="2037"/>
      <c r="Y90" s="2037"/>
      <c r="Z90" s="2037"/>
    </row>
    <row r="91" spans="1:26" s="1315" customFormat="1" ht="14.25">
      <c r="A91" s="382" t="s">
        <v>1830</v>
      </c>
      <c r="B91" s="349" t="s">
        <v>440</v>
      </c>
      <c r="C91" s="386">
        <f ca="1">C92+C96</f>
        <v>3232</v>
      </c>
      <c r="D91" s="379" t="s">
        <v>19</v>
      </c>
      <c r="E91" s="992"/>
      <c r="F91" s="991"/>
      <c r="G91" s="991"/>
      <c r="H91" s="395"/>
      <c r="I91" s="1317"/>
      <c r="J91" s="2038"/>
      <c r="K91" s="2033"/>
      <c r="L91" s="2033"/>
      <c r="M91" s="2033"/>
      <c r="N91" s="2033"/>
      <c r="O91" s="2033"/>
      <c r="P91" s="2033"/>
      <c r="Q91" s="2033"/>
      <c r="R91" s="2033"/>
      <c r="S91" s="2033"/>
      <c r="T91" s="2033"/>
      <c r="U91" s="2033"/>
      <c r="V91" s="2033"/>
      <c r="W91" s="2037"/>
      <c r="X91" s="2037"/>
      <c r="Y91" s="2037"/>
      <c r="Z91" s="2037"/>
    </row>
    <row r="92" spans="1:26" s="1315" customFormat="1" ht="24">
      <c r="A92" s="396" t="s">
        <v>1831</v>
      </c>
      <c r="B92" s="377" t="s">
        <v>441</v>
      </c>
      <c r="C92" s="379">
        <f>ROUND(IF(G95="2016年5月1日后购买",C93/(1+'数据-取费表'!C30)+C94+C95,C93+C94+C95),0)</f>
        <v>2561</v>
      </c>
      <c r="D92" s="379" t="s">
        <v>19</v>
      </c>
      <c r="E92" s="992"/>
      <c r="F92" s="991"/>
      <c r="G92" s="991"/>
      <c r="H92" s="395"/>
      <c r="I92" s="1317"/>
      <c r="J92" s="2038"/>
      <c r="K92" s="2033"/>
      <c r="L92" s="2033"/>
      <c r="M92" s="2033"/>
      <c r="N92" s="2033"/>
      <c r="O92" s="2033"/>
      <c r="P92" s="2033"/>
      <c r="Q92" s="2033"/>
      <c r="R92" s="2033"/>
      <c r="S92" s="2033"/>
      <c r="T92" s="2033"/>
      <c r="U92" s="2033"/>
      <c r="V92" s="2033"/>
      <c r="W92" s="2037"/>
      <c r="X92" s="2037"/>
      <c r="Y92" s="2037"/>
      <c r="Z92" s="2037"/>
    </row>
    <row r="93" spans="1:26" s="1315" customFormat="1" ht="14.25">
      <c r="A93" s="396" t="s">
        <v>1832</v>
      </c>
      <c r="B93" s="377" t="s">
        <v>442</v>
      </c>
      <c r="C93" s="397">
        <v>2000</v>
      </c>
      <c r="D93" s="379" t="s">
        <v>19</v>
      </c>
      <c r="E93" s="398" t="s">
        <v>443</v>
      </c>
      <c r="F93" s="399" t="s">
        <v>444</v>
      </c>
      <c r="G93" s="398" t="s">
        <v>445</v>
      </c>
      <c r="H93" s="400">
        <v>5</v>
      </c>
      <c r="I93" s="11"/>
      <c r="J93" s="2033"/>
      <c r="K93" s="2033"/>
      <c r="L93" s="2033"/>
      <c r="M93" s="2033"/>
      <c r="N93" s="2033"/>
      <c r="O93" s="2033"/>
      <c r="P93" s="2033"/>
      <c r="Q93" s="2033"/>
      <c r="R93" s="2033"/>
      <c r="S93" s="2033"/>
      <c r="T93" s="2033"/>
      <c r="U93" s="2033"/>
      <c r="V93" s="2033"/>
      <c r="W93" s="2037"/>
      <c r="X93" s="2037"/>
      <c r="Y93" s="2037"/>
      <c r="Z93" s="2037"/>
    </row>
    <row r="94" spans="1:26" s="1315" customFormat="1" ht="24.75" customHeight="1">
      <c r="A94" s="396" t="s">
        <v>1833</v>
      </c>
      <c r="B94" s="401" t="s">
        <v>446</v>
      </c>
      <c r="C94" s="379">
        <f>IF(F93="购房发票",ROUND(C93*H93*5%,0),0)</f>
        <v>500</v>
      </c>
      <c r="D94" s="402">
        <v>0.05</v>
      </c>
      <c r="E94" s="3333" t="s">
        <v>447</v>
      </c>
      <c r="F94" s="3332"/>
      <c r="G94" s="3332"/>
      <c r="H94" s="3369"/>
      <c r="I94" s="1317"/>
      <c r="J94" s="2038"/>
      <c r="K94" s="2033"/>
      <c r="L94" s="2033"/>
      <c r="M94" s="2033"/>
      <c r="N94" s="2033"/>
      <c r="O94" s="2033"/>
      <c r="P94" s="2033"/>
      <c r="Q94" s="2033"/>
      <c r="R94" s="2033"/>
      <c r="S94" s="2033"/>
      <c r="T94" s="2033"/>
      <c r="U94" s="2033"/>
      <c r="V94" s="2033"/>
      <c r="W94" s="2037"/>
      <c r="X94" s="2037"/>
      <c r="Y94" s="2037"/>
      <c r="Z94" s="2037"/>
    </row>
    <row r="95" spans="1:26" s="1315" customFormat="1" ht="24.75" customHeight="1">
      <c r="A95" s="396" t="s">
        <v>1834</v>
      </c>
      <c r="B95" s="377" t="s">
        <v>448</v>
      </c>
      <c r="C95" s="379">
        <f>ROUND(IF(G95="个人买卖住房",0,IF(G95="2016年5月1日前购买",C93*D95,C93*D95/(1+'数据-取费表'!C42))),0)</f>
        <v>61</v>
      </c>
      <c r="D95" s="403">
        <f>'数据-取费表'!B48+'数据-取费表'!B49</f>
        <v>3.0499999999999999E-2</v>
      </c>
      <c r="E95" s="26" t="s">
        <v>449</v>
      </c>
      <c r="F95" s="404"/>
      <c r="G95" s="405" t="s">
        <v>2431</v>
      </c>
      <c r="H95" s="1000" t="str">
        <f>IF(G95="个人买卖住房","免征印花税"," ")</f>
        <v xml:space="preserve"> </v>
      </c>
      <c r="I95" s="1317"/>
      <c r="J95" s="2038"/>
      <c r="K95" s="2033"/>
      <c r="L95" s="2033"/>
      <c r="M95" s="2033"/>
      <c r="N95" s="2033"/>
      <c r="O95" s="2033"/>
      <c r="P95" s="2033"/>
      <c r="Q95" s="2033"/>
      <c r="R95" s="2033"/>
      <c r="S95" s="2033"/>
      <c r="T95" s="2033"/>
      <c r="U95" s="2033"/>
      <c r="V95" s="2033"/>
      <c r="W95" s="2037"/>
      <c r="X95" s="2037"/>
      <c r="Y95" s="2037"/>
      <c r="Z95" s="2037"/>
    </row>
    <row r="96" spans="1:26" s="1315" customFormat="1" ht="24.75" customHeight="1">
      <c r="A96" s="396" t="s">
        <v>1835</v>
      </c>
      <c r="B96" s="377" t="s">
        <v>450</v>
      </c>
      <c r="C96" s="406">
        <f ca="1">ROUND(D63*D96/(1+'数据-取费表'!C42),0)</f>
        <v>671</v>
      </c>
      <c r="D96" s="407">
        <f>'数据-取费表'!B43</f>
        <v>5.5000000000000014E-3</v>
      </c>
      <c r="E96" s="3361" t="s">
        <v>2430</v>
      </c>
      <c r="F96" s="3362"/>
      <c r="G96" s="3362"/>
      <c r="H96" s="3363"/>
      <c r="I96" s="1318"/>
      <c r="J96" s="2039"/>
      <c r="K96" s="2033"/>
      <c r="L96" s="2033"/>
      <c r="M96" s="2033"/>
      <c r="N96" s="2033"/>
      <c r="O96" s="2033"/>
      <c r="P96" s="2033"/>
      <c r="Q96" s="2033"/>
      <c r="R96" s="2033"/>
      <c r="S96" s="2033"/>
      <c r="T96" s="2033"/>
      <c r="U96" s="2033"/>
      <c r="V96" s="2033"/>
      <c r="W96" s="2037"/>
      <c r="X96" s="2037"/>
      <c r="Y96" s="2037"/>
      <c r="Z96" s="2037"/>
    </row>
    <row r="97" spans="1:26" s="1315" customFormat="1" ht="14.25">
      <c r="A97" s="1618" t="s">
        <v>1836</v>
      </c>
      <c r="B97" s="383" t="s">
        <v>451</v>
      </c>
      <c r="C97" s="386">
        <f ca="1">C90-C91</f>
        <v>118821</v>
      </c>
      <c r="D97" s="379" t="s">
        <v>19</v>
      </c>
      <c r="E97" s="992"/>
      <c r="F97" s="991"/>
      <c r="G97" s="991"/>
      <c r="H97" s="395"/>
      <c r="I97" s="1317"/>
      <c r="J97" s="2038"/>
      <c r="K97" s="2033"/>
      <c r="L97" s="2033"/>
      <c r="M97" s="2033"/>
      <c r="N97" s="2033"/>
      <c r="O97" s="2033"/>
      <c r="P97" s="2033"/>
      <c r="Q97" s="2033"/>
      <c r="R97" s="2033"/>
      <c r="S97" s="2033"/>
      <c r="T97" s="2033"/>
      <c r="U97" s="2033"/>
      <c r="V97" s="2033"/>
      <c r="W97" s="2037"/>
      <c r="X97" s="2037"/>
      <c r="Y97" s="2037"/>
      <c r="Z97" s="2037"/>
    </row>
    <row r="98" spans="1:26" s="1315" customFormat="1" ht="24">
      <c r="A98" s="1618" t="s">
        <v>1837</v>
      </c>
      <c r="B98" s="383" t="s">
        <v>452</v>
      </c>
      <c r="C98" s="408">
        <f ca="1">IF(C97&lt;=0,0,C97/C91)</f>
        <v>36.763923267326732</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38"/>
      <c r="K98" s="2033"/>
      <c r="L98" s="2033"/>
      <c r="M98" s="2033"/>
      <c r="N98" s="2033"/>
      <c r="O98" s="2033"/>
      <c r="P98" s="2033"/>
      <c r="Q98" s="2033"/>
      <c r="R98" s="2033"/>
      <c r="S98" s="2033"/>
      <c r="T98" s="2033"/>
      <c r="U98" s="2033"/>
      <c r="V98" s="2033"/>
      <c r="W98" s="2037"/>
      <c r="X98" s="2037"/>
      <c r="Y98" s="2037"/>
      <c r="Z98" s="2037"/>
    </row>
    <row r="99" spans="1:26" s="1315" customFormat="1" ht="24.75" thickBot="1">
      <c r="A99" s="1619" t="s">
        <v>1838</v>
      </c>
      <c r="B99" s="388" t="s">
        <v>453</v>
      </c>
      <c r="C99" s="409">
        <f ca="1">ROUND(IF(C97&lt;=0,0,IF(C98&gt;=200%,C97*60%-C91*35%,IF(C98&gt;=100%,C97*50%-C91*15%,IF(C98&gt;=50%,C97*40%-C91*5%,IF(C98&lt;50%,C97*30%,0))))),0)</f>
        <v>70161</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38"/>
      <c r="K99" s="2033"/>
      <c r="L99" s="2033"/>
      <c r="M99" s="2033"/>
      <c r="N99" s="2033"/>
      <c r="O99" s="2033"/>
      <c r="P99" s="2033"/>
      <c r="Q99" s="2033"/>
      <c r="R99" s="2033"/>
      <c r="S99" s="2033"/>
      <c r="T99" s="2033"/>
      <c r="U99" s="2033"/>
      <c r="V99" s="2033"/>
      <c r="W99" s="2037"/>
      <c r="X99" s="2037"/>
      <c r="Y99" s="2037"/>
      <c r="Z99" s="2037"/>
    </row>
    <row r="100" spans="1:26" s="1315" customFormat="1" ht="7.5" customHeight="1">
      <c r="A100" s="1319"/>
      <c r="B100" s="1320"/>
      <c r="C100" s="11"/>
      <c r="D100" s="11"/>
      <c r="E100" s="1320"/>
      <c r="F100" s="1320"/>
      <c r="G100" s="1320"/>
      <c r="H100" s="1321"/>
      <c r="I100" s="1318"/>
      <c r="J100" s="2039"/>
      <c r="K100" s="2033"/>
      <c r="L100" s="2033"/>
      <c r="M100" s="2033"/>
      <c r="N100" s="2033"/>
      <c r="O100" s="2033"/>
      <c r="P100" s="2033"/>
      <c r="Q100" s="2033"/>
      <c r="R100" s="2033"/>
      <c r="S100" s="2033"/>
      <c r="T100" s="2033"/>
      <c r="U100" s="2033"/>
      <c r="V100" s="2033"/>
      <c r="W100" s="2037"/>
      <c r="X100" s="2037"/>
      <c r="Y100" s="2037"/>
      <c r="Z100" s="2037"/>
    </row>
    <row r="101" spans="1:26" s="1315" customFormat="1" ht="15" thickBot="1">
      <c r="A101" s="3372" t="s">
        <v>454</v>
      </c>
      <c r="B101" s="3373"/>
      <c r="C101" s="3373"/>
      <c r="D101" s="3373"/>
      <c r="E101" s="3373"/>
      <c r="F101" s="3373"/>
      <c r="G101" s="3373"/>
      <c r="H101" s="3373"/>
      <c r="I101" s="11"/>
      <c r="J101" s="2033"/>
      <c r="K101" s="2033"/>
      <c r="L101" s="2033"/>
      <c r="M101" s="2033"/>
      <c r="N101" s="2033"/>
      <c r="O101" s="2033"/>
      <c r="P101" s="2033"/>
      <c r="Q101" s="2033"/>
      <c r="R101" s="2033"/>
      <c r="S101" s="2033"/>
      <c r="T101" s="2033"/>
      <c r="U101" s="2033"/>
      <c r="V101" s="2033"/>
      <c r="W101" s="2037"/>
      <c r="X101" s="2037"/>
      <c r="Y101" s="2037"/>
      <c r="Z101" s="2037"/>
    </row>
    <row r="102" spans="1:26" s="1315" customFormat="1" ht="14.25">
      <c r="A102" s="3370" t="s">
        <v>428</v>
      </c>
      <c r="B102" s="3371"/>
      <c r="C102" s="995"/>
      <c r="D102" s="995" t="s">
        <v>429</v>
      </c>
      <c r="E102" s="392" t="s">
        <v>438</v>
      </c>
      <c r="F102" s="393"/>
      <c r="G102" s="393"/>
      <c r="H102" s="414"/>
      <c r="I102" s="11"/>
      <c r="J102" s="2033"/>
      <c r="K102" s="2033"/>
      <c r="L102" s="2033"/>
      <c r="M102" s="2033"/>
      <c r="N102" s="2033"/>
      <c r="O102" s="2033"/>
      <c r="P102" s="2033"/>
      <c r="Q102" s="2033"/>
      <c r="R102" s="2033"/>
      <c r="S102" s="2033"/>
      <c r="T102" s="2033"/>
      <c r="U102" s="2033"/>
      <c r="V102" s="2033"/>
      <c r="W102" s="2037"/>
      <c r="X102" s="2037"/>
      <c r="Y102" s="2037"/>
      <c r="Z102" s="2037"/>
    </row>
    <row r="103" spans="1:26" s="1315" customFormat="1" ht="14.25">
      <c r="A103" s="382" t="s">
        <v>1824</v>
      </c>
      <c r="B103" s="383" t="s">
        <v>439</v>
      </c>
      <c r="C103" s="386">
        <f ca="1">ROUND(D63/(1+'数据-取费表'!C42),0)</f>
        <v>122053</v>
      </c>
      <c r="D103" s="379" t="s">
        <v>19</v>
      </c>
      <c r="E103" s="992"/>
      <c r="F103" s="991"/>
      <c r="G103" s="991"/>
      <c r="H103" s="415"/>
      <c r="I103" s="11"/>
      <c r="J103" s="2033"/>
      <c r="K103" s="2033"/>
      <c r="L103" s="2033"/>
      <c r="M103" s="2033"/>
      <c r="N103" s="2033"/>
      <c r="O103" s="2033"/>
      <c r="P103" s="2033"/>
      <c r="Q103" s="2033"/>
      <c r="R103" s="2033"/>
      <c r="S103" s="2033"/>
      <c r="T103" s="2033"/>
      <c r="U103" s="2033"/>
      <c r="V103" s="2033"/>
      <c r="W103" s="2037"/>
      <c r="X103" s="2037"/>
      <c r="Y103" s="2037"/>
      <c r="Z103" s="2037"/>
    </row>
    <row r="104" spans="1:26" s="1315" customFormat="1" ht="14.25">
      <c r="A104" s="382" t="s">
        <v>1830</v>
      </c>
      <c r="B104" s="349" t="s">
        <v>440</v>
      </c>
      <c r="C104" s="386">
        <f ca="1">IF(H106="仅含出让金",C105+C108+C109+C110+C111+C112,C105+C109+C110+C111+C112)</f>
        <v>1361</v>
      </c>
      <c r="D104" s="416"/>
      <c r="E104" s="992"/>
      <c r="F104" s="991"/>
      <c r="G104" s="991"/>
      <c r="H104" s="415"/>
      <c r="I104" s="11"/>
      <c r="J104" s="2033"/>
      <c r="K104" s="2033"/>
      <c r="L104" s="2033"/>
      <c r="M104" s="2033"/>
      <c r="N104" s="2033"/>
      <c r="O104" s="2033"/>
      <c r="P104" s="2033"/>
      <c r="Q104" s="2033"/>
      <c r="R104" s="2033"/>
      <c r="S104" s="2033"/>
      <c r="T104" s="2033"/>
      <c r="U104" s="2033"/>
      <c r="V104" s="2033"/>
      <c r="W104" s="2037"/>
      <c r="X104" s="2037"/>
      <c r="Y104" s="2037"/>
      <c r="Z104" s="2037"/>
    </row>
    <row r="105" spans="1:26" s="1315" customFormat="1" ht="14.25">
      <c r="A105" s="396" t="s">
        <v>1831</v>
      </c>
      <c r="B105" s="377" t="s">
        <v>455</v>
      </c>
      <c r="C105" s="406">
        <f>C106+C107</f>
        <v>572</v>
      </c>
      <c r="D105" s="407"/>
      <c r="E105" s="986"/>
      <c r="F105" s="987"/>
      <c r="G105" s="987"/>
      <c r="H105" s="988"/>
      <c r="I105" s="11"/>
      <c r="J105" s="2033"/>
      <c r="K105" s="2033"/>
      <c r="L105" s="2033"/>
      <c r="M105" s="2033"/>
      <c r="N105" s="2033"/>
      <c r="O105" s="2033"/>
      <c r="P105" s="2033"/>
      <c r="Q105" s="2033"/>
      <c r="R105" s="2033"/>
      <c r="S105" s="2033"/>
      <c r="T105" s="2033"/>
      <c r="U105" s="2033"/>
      <c r="V105" s="2033"/>
      <c r="W105" s="2037"/>
      <c r="X105" s="2037"/>
      <c r="Y105" s="2037"/>
      <c r="Z105" s="2037"/>
    </row>
    <row r="106" spans="1:26" s="1315" customFormat="1" ht="14.25">
      <c r="A106" s="396" t="s">
        <v>1832</v>
      </c>
      <c r="B106" s="377" t="s">
        <v>456</v>
      </c>
      <c r="C106" s="417">
        <v>555</v>
      </c>
      <c r="D106" s="407"/>
      <c r="E106" s="418" t="s">
        <v>457</v>
      </c>
      <c r="F106" s="987"/>
      <c r="G106" s="419" t="s">
        <v>458</v>
      </c>
      <c r="H106" s="420"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5" customFormat="1" ht="14.25">
      <c r="A107" s="396" t="s">
        <v>1833</v>
      </c>
      <c r="B107" s="377" t="s">
        <v>448</v>
      </c>
      <c r="C107" s="406">
        <f>ROUND(C106*D107,0)</f>
        <v>17</v>
      </c>
      <c r="D107" s="407">
        <f>'数据-取费表'!B48+'数据-取费表'!B49</f>
        <v>3.0499999999999999E-2</v>
      </c>
      <c r="E107" s="418" t="s">
        <v>459</v>
      </c>
      <c r="F107" s="987"/>
      <c r="G107" s="987"/>
      <c r="H107" s="988"/>
      <c r="I107" s="11"/>
      <c r="J107" s="2033"/>
      <c r="K107" s="2033"/>
      <c r="L107" s="2033"/>
      <c r="M107" s="2033"/>
      <c r="N107" s="2033"/>
      <c r="O107" s="2033"/>
      <c r="P107" s="2033"/>
      <c r="Q107" s="2033"/>
      <c r="R107" s="2033"/>
      <c r="S107" s="2033"/>
      <c r="T107" s="2033"/>
      <c r="U107" s="2033"/>
      <c r="V107" s="2033"/>
      <c r="W107" s="2037"/>
      <c r="X107" s="2037"/>
      <c r="Y107" s="2037"/>
      <c r="Z107" s="2037"/>
    </row>
    <row r="108" spans="1:26" s="1315" customFormat="1" ht="14.25">
      <c r="A108" s="396" t="s">
        <v>1835</v>
      </c>
      <c r="B108" s="377" t="s">
        <v>460</v>
      </c>
      <c r="C108" s="417"/>
      <c r="D108" s="407"/>
      <c r="E108" s="418" t="str">
        <f>IF(H106="-","土地取得成本中已包含该笔费用"," ")</f>
        <v xml:space="preserve"> </v>
      </c>
      <c r="F108" s="987"/>
      <c r="G108" s="987"/>
      <c r="H108" s="988"/>
      <c r="I108" s="11"/>
      <c r="J108" s="2033"/>
      <c r="K108" s="2033"/>
      <c r="L108" s="2033"/>
      <c r="M108" s="2033"/>
      <c r="N108" s="2033"/>
      <c r="O108" s="2033"/>
      <c r="P108" s="2033"/>
      <c r="Q108" s="2033"/>
      <c r="R108" s="2033"/>
      <c r="S108" s="2033"/>
      <c r="T108" s="2033"/>
      <c r="U108" s="2033"/>
      <c r="V108" s="2033"/>
      <c r="W108" s="2037"/>
      <c r="X108" s="2037"/>
      <c r="Y108" s="2037"/>
      <c r="Z108" s="2037"/>
    </row>
    <row r="109" spans="1:26" s="1315" customFormat="1" ht="24" customHeight="1">
      <c r="A109" s="1620" t="s">
        <v>1839</v>
      </c>
      <c r="B109" s="377" t="s">
        <v>461</v>
      </c>
      <c r="C109" s="406">
        <f>IF(H109="——",IF(F1="现房",'剩余法-现房'!C18,'剩余法-待开发'!C18),I109)</f>
        <v>55</v>
      </c>
      <c r="D109" s="407"/>
      <c r="E109" s="3364" t="s">
        <v>462</v>
      </c>
      <c r="F109" s="3362"/>
      <c r="G109" s="3362"/>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5" customFormat="1" ht="25.5" customHeight="1">
      <c r="A110" s="1620" t="s">
        <v>1840</v>
      </c>
      <c r="B110" s="377" t="s">
        <v>463</v>
      </c>
      <c r="C110" s="406">
        <f>ROUND((C105+C108+C109)*D110,0)</f>
        <v>63</v>
      </c>
      <c r="D110" s="407">
        <v>0.1</v>
      </c>
      <c r="E110" s="3364" t="s">
        <v>464</v>
      </c>
      <c r="F110" s="3362"/>
      <c r="G110" s="3362"/>
      <c r="H110" s="3363"/>
      <c r="I110" s="11"/>
      <c r="J110" s="2033"/>
      <c r="K110" s="2033"/>
      <c r="L110" s="2033"/>
      <c r="M110" s="2033"/>
      <c r="N110" s="2033"/>
      <c r="O110" s="2033"/>
      <c r="P110" s="2033"/>
      <c r="Q110" s="2033"/>
      <c r="R110" s="2033"/>
      <c r="S110" s="2033"/>
      <c r="T110" s="2033"/>
      <c r="U110" s="2033"/>
      <c r="V110" s="2033"/>
      <c r="W110" s="2037"/>
      <c r="X110" s="2037"/>
      <c r="Y110" s="2037"/>
      <c r="Z110" s="2037"/>
    </row>
    <row r="111" spans="1:26" s="1315" customFormat="1" ht="25.5" customHeight="1">
      <c r="A111" s="1620" t="s">
        <v>1841</v>
      </c>
      <c r="B111" s="377" t="s">
        <v>450</v>
      </c>
      <c r="C111" s="406">
        <f ca="1">ROUND(D63*D111/(1+'数据-取费表'!C42),0)</f>
        <v>671</v>
      </c>
      <c r="D111" s="407">
        <f>'数据-取费表'!B43</f>
        <v>5.5000000000000014E-3</v>
      </c>
      <c r="E111" s="3361" t="s">
        <v>2430</v>
      </c>
      <c r="F111" s="3362"/>
      <c r="G111" s="3362"/>
      <c r="H111" s="3363"/>
      <c r="I111" s="11"/>
      <c r="J111" s="2033"/>
      <c r="K111" s="2033"/>
      <c r="L111" s="2033"/>
      <c r="M111" s="2033"/>
      <c r="N111" s="2033"/>
      <c r="O111" s="2033"/>
      <c r="P111" s="2033"/>
      <c r="Q111" s="2033"/>
      <c r="R111" s="2033"/>
      <c r="S111" s="2033"/>
      <c r="T111" s="2033"/>
      <c r="U111" s="2033"/>
      <c r="V111" s="2033"/>
      <c r="W111" s="2037"/>
      <c r="X111" s="2037"/>
      <c r="Y111" s="2037"/>
      <c r="Z111" s="2037"/>
    </row>
    <row r="112" spans="1:26" s="1315" customFormat="1" ht="25.5" customHeight="1">
      <c r="A112" s="1620" t="s">
        <v>1842</v>
      </c>
      <c r="B112" s="377" t="s">
        <v>465</v>
      </c>
      <c r="C112" s="406">
        <f>ROUND(C108*D112,0)</f>
        <v>0</v>
      </c>
      <c r="D112" s="407">
        <v>0.2</v>
      </c>
      <c r="E112" s="3364" t="s">
        <v>2455</v>
      </c>
      <c r="F112" s="3362"/>
      <c r="G112" s="3362"/>
      <c r="H112" s="3363"/>
      <c r="I112" s="11"/>
      <c r="J112" s="2033"/>
      <c r="K112" s="2033"/>
      <c r="L112" s="2033"/>
      <c r="M112" s="2033"/>
      <c r="N112" s="2033"/>
      <c r="O112" s="2033"/>
      <c r="P112" s="2033"/>
      <c r="Q112" s="2033"/>
      <c r="R112" s="2033"/>
      <c r="S112" s="2033"/>
      <c r="T112" s="2033"/>
      <c r="U112" s="2033"/>
      <c r="V112" s="2033"/>
      <c r="W112" s="2037"/>
      <c r="X112" s="2037"/>
      <c r="Y112" s="2037"/>
      <c r="Z112" s="2037"/>
    </row>
    <row r="113" spans="1:26" s="1315" customFormat="1" ht="14.25">
      <c r="A113" s="1618" t="s">
        <v>1836</v>
      </c>
      <c r="B113" s="383" t="s">
        <v>451</v>
      </c>
      <c r="C113" s="386">
        <f ca="1">ROUND(C103-C104,0)</f>
        <v>120692</v>
      </c>
      <c r="D113" s="379" t="s">
        <v>19</v>
      </c>
      <c r="E113" s="992"/>
      <c r="F113" s="991"/>
      <c r="G113" s="991"/>
      <c r="H113" s="415"/>
      <c r="I113" s="11"/>
      <c r="J113" s="2033"/>
      <c r="K113" s="2033"/>
      <c r="L113" s="2033"/>
      <c r="M113" s="2033"/>
      <c r="N113" s="2033"/>
      <c r="O113" s="2033"/>
      <c r="P113" s="2033"/>
      <c r="Q113" s="2033"/>
      <c r="R113" s="2033"/>
      <c r="S113" s="2033"/>
      <c r="T113" s="2033"/>
      <c r="U113" s="2033"/>
      <c r="V113" s="2033"/>
      <c r="W113" s="2037"/>
      <c r="X113" s="2037"/>
      <c r="Y113" s="2037"/>
      <c r="Z113" s="2037"/>
    </row>
    <row r="114" spans="1:26" s="1315" customFormat="1" ht="24">
      <c r="A114" s="1618" t="s">
        <v>1837</v>
      </c>
      <c r="B114" s="383" t="s">
        <v>452</v>
      </c>
      <c r="C114" s="408">
        <f ca="1">IF(C113&lt;=0,0,C113/C104)</f>
        <v>88.678912564290968</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3"/>
      <c r="K114" s="2033"/>
      <c r="L114" s="2033"/>
      <c r="M114" s="2033"/>
      <c r="N114" s="2033"/>
      <c r="O114" s="2033"/>
      <c r="P114" s="2033"/>
      <c r="Q114" s="2033"/>
      <c r="R114" s="2033"/>
      <c r="S114" s="2033"/>
      <c r="T114" s="2033"/>
      <c r="U114" s="2033"/>
      <c r="V114" s="2033"/>
      <c r="W114" s="2037"/>
      <c r="X114" s="2037"/>
      <c r="Y114" s="2037"/>
      <c r="Z114" s="2037"/>
    </row>
    <row r="115" spans="1:26" s="1315" customFormat="1" ht="24.75" thickBot="1">
      <c r="A115" s="1619" t="s">
        <v>1838</v>
      </c>
      <c r="B115" s="388" t="s">
        <v>453</v>
      </c>
      <c r="C115" s="409">
        <f ca="1">ROUND(IF(C113&lt;=0,0,IF(C114&gt;=200%,C113*60%-C104*35%,IF(C114&gt;=100%,C113*50%-C104*15%,IF(C114&gt;=50%,C113*40%-C104*5%,IF(C114&lt;50%,C113*30%,0))))),0)</f>
        <v>71939</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C15" sqref="C1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3">
        <f>MATCH(B1,'数据-取费表'!A6:A16,0)+5</f>
        <v>11</v>
      </c>
    </row>
    <row r="2" spans="1:31" s="2041" customFormat="1" ht="18" customHeight="1">
      <c r="A2" s="2101" t="s">
        <v>467</v>
      </c>
      <c r="B2" s="2105">
        <f ca="1">C36</f>
        <v>115862</v>
      </c>
      <c r="C2" s="2104"/>
      <c r="D2" s="2104"/>
      <c r="E2" s="2104"/>
      <c r="F2" s="2104"/>
      <c r="G2" s="2104"/>
      <c r="H2" s="2104"/>
      <c r="I2" s="2104"/>
      <c r="J2" s="2104"/>
      <c r="K2" s="2104"/>
    </row>
    <row r="3" spans="1:31" s="2041" customFormat="1" ht="18" customHeight="1">
      <c r="A3" s="2106" t="s">
        <v>1685</v>
      </c>
      <c r="B3" s="2107">
        <f ca="1">ROUND(B2*10000/IF(B1="",'数据-汇总表'!E3,INDIRECT("'数据-取费表'!K"&amp;$K$1)),0)</f>
        <v>3931</v>
      </c>
      <c r="C3" s="2104"/>
      <c r="D3" s="2104"/>
      <c r="E3" s="2104"/>
      <c r="F3" s="2104"/>
      <c r="G3" s="2104"/>
      <c r="H3" s="2104"/>
      <c r="I3" s="2104"/>
      <c r="J3" s="2104"/>
      <c r="K3" s="2104"/>
    </row>
    <row r="4" spans="1:31" s="2041" customFormat="1" ht="18" customHeight="1">
      <c r="A4" s="427" t="s">
        <v>468</v>
      </c>
      <c r="B4" s="428">
        <f ca="1">ROUND(B2*10000/IF(B1="",'数据-汇总表'!D3,INDIRECT("'数据-取费表'!R"&amp;$K$1)),0)</f>
        <v>7086</v>
      </c>
      <c r="C4" s="429"/>
      <c r="D4" s="423"/>
      <c r="E4" s="423"/>
      <c r="F4" s="423"/>
      <c r="G4" s="423"/>
      <c r="H4" s="423"/>
      <c r="I4" s="423"/>
      <c r="J4" s="423"/>
      <c r="K4" s="423"/>
    </row>
    <row r="5" spans="1:31" s="2041" customFormat="1" ht="18" customHeight="1" thickBot="1">
      <c r="A5" s="430"/>
      <c r="B5" s="431">
        <f ca="1">ROUND(B2/(IF(B1="",'数据-汇总表'!D3,INDIRECT("'数据-取费表'!R"&amp;$K$1))/666.67),0)</f>
        <v>472</v>
      </c>
      <c r="C5" s="432" t="s">
        <v>469</v>
      </c>
      <c r="D5" s="423"/>
      <c r="E5" s="423"/>
      <c r="F5" s="423"/>
      <c r="G5" s="423"/>
      <c r="H5" s="423"/>
      <c r="I5" s="423"/>
      <c r="J5" s="423"/>
      <c r="K5" s="423"/>
    </row>
    <row r="6" spans="1:31" s="2111" customFormat="1" ht="16.5" customHeight="1">
      <c r="A6" s="2854" t="s">
        <v>1843</v>
      </c>
      <c r="B6" s="2855"/>
      <c r="C6" s="2856">
        <f ca="1">SUM(C10:K10)</f>
        <v>252264</v>
      </c>
      <c r="D6" s="2855"/>
      <c r="E6" s="2855"/>
      <c r="F6" s="2855"/>
      <c r="G6" s="2855"/>
      <c r="H6" s="2855"/>
      <c r="I6" s="2855"/>
      <c r="J6" s="2855"/>
      <c r="K6" s="2857"/>
    </row>
    <row r="7" spans="1:31" s="2113" customFormat="1" ht="15">
      <c r="A7" s="2858" t="s">
        <v>470</v>
      </c>
      <c r="B7" s="2859" t="s">
        <v>471</v>
      </c>
      <c r="C7" s="437" t="s">
        <v>3094</v>
      </c>
      <c r="D7" s="437" t="s">
        <v>3100</v>
      </c>
      <c r="E7" s="437" t="s">
        <v>3092</v>
      </c>
      <c r="F7" s="437" t="s">
        <v>3096</v>
      </c>
      <c r="G7" s="437" t="s">
        <v>35</v>
      </c>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4" t="s">
        <v>1846</v>
      </c>
      <c r="B8" s="259" t="s">
        <v>472</v>
      </c>
      <c r="C8" s="2860">
        <f>'典型户型修正-洋房'!R24</f>
        <v>10000</v>
      </c>
      <c r="D8" s="2860">
        <f>'典型户型修正-洋房'!R25</f>
        <v>11500</v>
      </c>
      <c r="E8" s="2860">
        <f>'典型户型修正-叠拼'!R24</f>
        <v>15133</v>
      </c>
      <c r="F8" s="2860">
        <f>'典型户型修正-叠拼'!R25</f>
        <v>13620</v>
      </c>
      <c r="G8" s="2860">
        <f ca="1">'不动产收益法-车位'!B3</f>
        <v>3479</v>
      </c>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4" t="s">
        <v>1847</v>
      </c>
      <c r="B9" s="259" t="s">
        <v>473</v>
      </c>
      <c r="C9" s="442">
        <f>SUMIF('数据-汇总表'!$C19:$C33,'剩余法-待开发'!C7,'数据-汇总表'!$E19:$E33)</f>
        <v>86576.849999999991</v>
      </c>
      <c r="D9" s="442">
        <f>SUMIF('数据-汇总表'!$C19:$C33,'剩余法-待开发'!D7,'数据-汇总表'!$E19:$E33)</f>
        <v>16630.900000000001</v>
      </c>
      <c r="E9" s="442">
        <f>SUMIF('数据-汇总表'!$C19:$C33,'剩余法-待开发'!E7,'数据-汇总表'!$E19:$E33)</f>
        <v>46073.919999999998</v>
      </c>
      <c r="F9" s="442">
        <f>SUMIF('数据-汇总表'!$C19:$C33,'剩余法-待开发'!F7,'数据-汇总表'!$E19:$E33)</f>
        <v>43397.479999999996</v>
      </c>
      <c r="G9" s="442">
        <f>SUMIF('数据-汇总表'!$C19:$C33,'剩余法-待开发'!G7,'数据-汇总表'!$E19:$E33)</f>
        <v>50960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474</v>
      </c>
      <c r="C10" s="3213">
        <f>'典型户型修正-洋房'!S24</f>
        <v>86577</v>
      </c>
      <c r="D10" s="3213">
        <f>'典型户型修正-洋房'!S25</f>
        <v>19126</v>
      </c>
      <c r="E10" s="3213">
        <f>'典型户型修正-叠拼'!S24</f>
        <v>69724</v>
      </c>
      <c r="F10" s="3213">
        <f>'典型户型修正-叠拼'!S25</f>
        <v>59107</v>
      </c>
      <c r="G10" s="3213">
        <f ca="1">'不动产收益法-车位'!B2</f>
        <v>17730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1849</v>
      </c>
      <c r="B13" s="2869" t="s">
        <v>479</v>
      </c>
      <c r="C13" s="451">
        <f ca="1">IF(B1="",'数据-取费表'!P16,INDIRECT("'数据-取费表'!p"&amp;$K$1)+INDIRECT("'数据-取费表'!t"&amp;$K$1))</f>
        <v>51788</v>
      </c>
      <c r="D13" s="2870"/>
      <c r="E13" s="2871"/>
      <c r="F13" s="2872"/>
      <c r="G13" s="2838"/>
      <c r="H13" s="2839"/>
      <c r="I13" s="2839"/>
      <c r="J13" s="2839"/>
      <c r="K13" s="2840"/>
    </row>
    <row r="14" spans="1:31" s="2116" customFormat="1" ht="13.5" customHeight="1">
      <c r="A14" s="2868" t="s">
        <v>1850</v>
      </c>
      <c r="B14" s="2869" t="s">
        <v>480</v>
      </c>
      <c r="C14" s="53">
        <f ca="1">ROUND(C13*F14,0)</f>
        <v>2072</v>
      </c>
      <c r="D14" s="2870"/>
      <c r="E14" s="2871"/>
      <c r="F14" s="2873">
        <f>'数据-取费表'!B33</f>
        <v>0.04</v>
      </c>
      <c r="G14" s="2838" t="s">
        <v>481</v>
      </c>
      <c r="H14" s="2839"/>
      <c r="I14" s="2839"/>
      <c r="J14" s="2839"/>
      <c r="K14" s="2840"/>
    </row>
    <row r="15" spans="1:31" s="2116" customFormat="1" ht="13.5" customHeight="1">
      <c r="A15" s="2868" t="s">
        <v>1851</v>
      </c>
      <c r="B15" s="2869" t="s">
        <v>482</v>
      </c>
      <c r="C15" s="53">
        <f ca="1">ROUND(IF(B1="",SUMIF('数据-取费表'!C:C,"住宅",'数据-取费表'!P:P)*F15,IF(INDIRECT("'数据-取费表'!c"&amp;$K$1)="住宅",INDIRECT("'数据-取费表'!P"&amp;$K$1)*F15,0)),0)</f>
        <v>1821</v>
      </c>
      <c r="D15" s="2870"/>
      <c r="E15" s="2871"/>
      <c r="F15" s="2873">
        <f>'数据-取费表'!B34</f>
        <v>0.05</v>
      </c>
      <c r="G15" s="2838" t="s">
        <v>483</v>
      </c>
      <c r="H15" s="2839"/>
      <c r="I15" s="2839"/>
      <c r="J15" s="2839"/>
      <c r="K15" s="2840"/>
    </row>
    <row r="16" spans="1:31" s="2117" customFormat="1" ht="13.5" customHeight="1">
      <c r="A16" s="2868" t="s">
        <v>1852</v>
      </c>
      <c r="B16" s="2869" t="s">
        <v>484</v>
      </c>
      <c r="C16" s="53">
        <f ca="1">ROUND(D16*E16/10000,0)</f>
        <v>5894</v>
      </c>
      <c r="D16" s="2870">
        <f ca="1">IF(B1="",'数据-汇总表'!E3,INDIRECT("'数据-取费表'!K"&amp;$K$1)+INDIRECT("'数据-取费表'!S"&amp;$K$1))</f>
        <v>294706.12</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485</v>
      </c>
      <c r="C17" s="2874">
        <f ca="1">ROUND(C13*F17,0)</f>
        <v>777</v>
      </c>
      <c r="D17" s="476"/>
      <c r="E17" s="2874"/>
      <c r="F17" s="2875">
        <f>'数据-取费表'!B36</f>
        <v>1.4999999999999999E-2</v>
      </c>
      <c r="G17" s="259" t="s">
        <v>486</v>
      </c>
      <c r="H17" s="2841"/>
      <c r="I17" s="2841"/>
      <c r="J17" s="2841"/>
      <c r="K17" s="277"/>
    </row>
    <row r="18" spans="1:14" s="2116" customFormat="1" ht="13.5" customHeight="1">
      <c r="A18" s="2876" t="s">
        <v>1854</v>
      </c>
      <c r="B18" s="2877" t="s">
        <v>487</v>
      </c>
      <c r="C18" s="2878">
        <f ca="1">SUM(C13:C17)</f>
        <v>62352</v>
      </c>
      <c r="D18" s="2879"/>
      <c r="E18" s="469"/>
      <c r="F18" s="469"/>
      <c r="G18" s="2842" t="s">
        <v>2432</v>
      </c>
      <c r="H18" s="2843"/>
      <c r="I18" s="2843"/>
      <c r="J18" s="2843"/>
      <c r="K18" s="2844"/>
    </row>
    <row r="19" spans="1:14" s="2116" customFormat="1" ht="13.5" customHeight="1">
      <c r="A19" s="2876" t="s">
        <v>1855</v>
      </c>
      <c r="B19" s="2877" t="s">
        <v>488</v>
      </c>
      <c r="C19" s="2834">
        <f ca="1">ROUND(D19*E19/10000,0)</f>
        <v>0</v>
      </c>
      <c r="D19" s="2880">
        <f ca="1">D16</f>
        <v>294706.12</v>
      </c>
      <c r="E19" s="2834">
        <f>'数据-取费表'!B32</f>
        <v>0</v>
      </c>
      <c r="F19" s="469"/>
      <c r="G19" s="2838" t="s">
        <v>489</v>
      </c>
      <c r="H19" s="2839"/>
      <c r="I19" s="2843"/>
      <c r="J19" s="2843"/>
      <c r="K19" s="2844"/>
    </row>
    <row r="20" spans="1:14" s="2116" customFormat="1" ht="13.5" customHeight="1">
      <c r="A20" s="2876" t="s">
        <v>1856</v>
      </c>
      <c r="B20" s="2877" t="s">
        <v>490</v>
      </c>
      <c r="C20" s="2834">
        <f ca="1">C21+C22-IF(B1="",'数据-取费表'!B29,IF(G20="已全部缴纳",C21+C22,H20))</f>
        <v>6337</v>
      </c>
      <c r="D20" s="2880"/>
      <c r="E20" s="2834"/>
      <c r="F20" s="2881"/>
      <c r="G20" s="3112"/>
      <c r="H20" s="2836"/>
      <c r="I20" s="2837" t="s">
        <v>2657</v>
      </c>
      <c r="J20" s="2843"/>
      <c r="K20" s="2844"/>
    </row>
    <row r="21" spans="1:14" s="2116" customFormat="1" ht="13.5" customHeight="1">
      <c r="A21" s="2868" t="s">
        <v>1857</v>
      </c>
      <c r="B21" s="2869" t="s">
        <v>491</v>
      </c>
      <c r="C21" s="53">
        <f ca="1">ROUND(D21*E21/10000,0)</f>
        <v>4143</v>
      </c>
      <c r="D21" s="2870">
        <f ca="1">IF(B1="",'数据-汇总表'!E5,IF(INDIRECT("'数据-取费表'!c"&amp;$K$1)="住宅",INDIRECT("'数据-取费表'!k"&amp;$K$1),0))</f>
        <v>192679.15</v>
      </c>
      <c r="E21" s="53">
        <f>'数据-取费表'!B27</f>
        <v>215</v>
      </c>
      <c r="F21" s="2873"/>
      <c r="G21" s="26"/>
      <c r="H21" s="51"/>
      <c r="I21" s="51"/>
      <c r="J21" s="51"/>
      <c r="K21" s="2845"/>
    </row>
    <row r="22" spans="1:14" s="2116" customFormat="1" ht="13.5" customHeight="1">
      <c r="A22" s="2868" t="s">
        <v>1858</v>
      </c>
      <c r="B22" s="2869" t="s">
        <v>492</v>
      </c>
      <c r="C22" s="53">
        <f ca="1">ROUND(D22*E22/10000,0)</f>
        <v>2194</v>
      </c>
      <c r="D22" s="2870">
        <f ca="1">IF(B1="",'数据-汇总表'!E6,IF(INDIRECT("'数据-取费表'!c"&amp;$K$1)="住宅",INDIRECT("'数据-取费表'!s"&amp;$K$1),INDIRECT("'数据-取费表'!k"&amp;$K$1)+INDIRECT("'数据-取费表'!s"&amp;$K$1)))</f>
        <v>102026.97</v>
      </c>
      <c r="E22" s="53">
        <f>'数据-取费表'!B28</f>
        <v>215</v>
      </c>
      <c r="F22" s="2873"/>
      <c r="G22" s="26"/>
      <c r="H22" s="51"/>
      <c r="I22" s="51"/>
      <c r="J22" s="51"/>
      <c r="K22" s="2845"/>
    </row>
    <row r="23" spans="1:14" s="2116" customFormat="1" ht="13.5" customHeight="1">
      <c r="A23" s="2876" t="s">
        <v>1859</v>
      </c>
      <c r="B23" s="3060" t="s">
        <v>2840</v>
      </c>
      <c r="C23" s="2878">
        <f ca="1">ROUND((C18+C19+C20)*F23,0)</f>
        <v>1374</v>
      </c>
      <c r="D23" s="469"/>
      <c r="E23" s="469"/>
      <c r="F23" s="2882">
        <f>'数据-取费表'!B37</f>
        <v>0.02</v>
      </c>
      <c r="G23" s="2838" t="s">
        <v>2433</v>
      </c>
      <c r="H23" s="2839"/>
      <c r="I23" s="2839"/>
      <c r="J23" s="2839"/>
      <c r="K23" s="2840"/>
      <c r="L23" s="2118"/>
      <c r="M23" s="2118"/>
      <c r="N23" s="2118"/>
    </row>
    <row r="24" spans="1:14" s="2116" customFormat="1" ht="13.5" customHeight="1">
      <c r="A24" s="2876" t="s">
        <v>1860</v>
      </c>
      <c r="B24" s="3060" t="s">
        <v>2843</v>
      </c>
      <c r="C24" s="2878">
        <f ca="1">ROUND(C6*F24,0)</f>
        <v>5045</v>
      </c>
      <c r="D24" s="476"/>
      <c r="E24" s="474"/>
      <c r="F24" s="2882">
        <f>'数据-取费表'!B38</f>
        <v>0.02</v>
      </c>
      <c r="G24" s="2847" t="s">
        <v>499</v>
      </c>
      <c r="H24" s="2841"/>
      <c r="I24" s="2841"/>
      <c r="J24" s="2841"/>
      <c r="K24" s="277"/>
      <c r="L24" s="2118"/>
      <c r="M24" s="2118"/>
      <c r="N24" s="2118"/>
    </row>
    <row r="25" spans="1:14" s="2119" customFormat="1" ht="13.5" customHeight="1">
      <c r="A25" s="2876" t="s">
        <v>1861</v>
      </c>
      <c r="B25" s="3060" t="s">
        <v>2841</v>
      </c>
      <c r="C25" s="468">
        <f>ROUND(F25/(1+'数据-取费表'!C42),4)</f>
        <v>2.9000000000000001E-2</v>
      </c>
      <c r="D25" s="463" t="s">
        <v>2835</v>
      </c>
      <c r="E25" s="470"/>
      <c r="F25" s="2882">
        <f>'数据-取费表'!B48+'数据-取费表'!B49</f>
        <v>3.0499999999999999E-2</v>
      </c>
      <c r="G25" s="2846" t="s">
        <v>2290</v>
      </c>
      <c r="H25" s="2839"/>
      <c r="I25" s="2839"/>
      <c r="J25" s="2839"/>
      <c r="K25" s="2840"/>
    </row>
    <row r="26" spans="1:14" s="2118" customFormat="1" ht="13.5" customHeight="1">
      <c r="A26" s="2876" t="s">
        <v>1862</v>
      </c>
      <c r="B26" s="3061" t="s">
        <v>2842</v>
      </c>
      <c r="C26" s="2883">
        <f ca="1">C28</f>
        <v>5414</v>
      </c>
      <c r="D26" s="468">
        <f ca="1">C27</f>
        <v>0.1537</v>
      </c>
      <c r="E26" s="470" t="s">
        <v>495</v>
      </c>
      <c r="F26" s="472">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4" t="s">
        <v>1857</v>
      </c>
      <c r="B27" s="2884" t="s">
        <v>496</v>
      </c>
      <c r="C27" s="2885">
        <f ca="1">ROUND(IF('数据-取费表'!B22&lt;=1,(1+C25)*F26*'数据-取费表'!B24,(1+C25)*(POWER((1+F26),'数据-取费表'!B24)-1)),4)</f>
        <v>0.1537</v>
      </c>
      <c r="D27" s="473"/>
      <c r="E27" s="474"/>
      <c r="F27" s="475"/>
      <c r="G27" s="2596" t="str">
        <f>IF('数据-取费表'!B22&lt;=1,"（1+取得税费率/(1+5%)）×年利率×建设期","（1+取得税费率）/(1+5%)×((1+年利率)^建设期-1)")</f>
        <v>（1+取得税费率）/(1+5%)×((1+年利率)^建设期-1)</v>
      </c>
      <c r="H27" s="2841"/>
      <c r="I27" s="2841"/>
      <c r="J27" s="2841"/>
      <c r="K27" s="277"/>
    </row>
    <row r="28" spans="1:14" s="2120" customFormat="1" ht="13.5" customHeight="1">
      <c r="A28" s="804" t="s">
        <v>1858</v>
      </c>
      <c r="B28" s="2884" t="s">
        <v>2844</v>
      </c>
      <c r="C28" s="2886">
        <f ca="1">ROUND(IF('数据-取费表'!B22&lt;=1,(C18+C19+C20+C23+C24)*F26*'数据-取费表'!B24/2,(C18+C19+C20+C23+C24)*(POWER((1+F26),'数据-取费表'!B24/2)-1)),0)</f>
        <v>5414</v>
      </c>
      <c r="D28" s="473"/>
      <c r="E28" s="474"/>
      <c r="F28" s="475"/>
      <c r="G28" s="2596" t="str">
        <f>IF('数据-取费表'!B22&lt;=1,"（1）-（4）项×年利率×建设期÷2","（1）-（4）项×((1+年利率)^(建设期÷2)-1)")</f>
        <v>（1）-（4）项×((1+年利率)^(建设期÷2)-1)</v>
      </c>
      <c r="H28" s="2841"/>
      <c r="I28" s="2841"/>
      <c r="J28" s="2841"/>
      <c r="K28" s="277"/>
    </row>
    <row r="29" spans="1:14" s="2120" customFormat="1" ht="13.5" customHeight="1">
      <c r="A29" s="2887" t="s">
        <v>1863</v>
      </c>
      <c r="B29" s="2877" t="s">
        <v>497</v>
      </c>
      <c r="C29" s="2878">
        <f ca="1">ROUND(C6*F29/(1+'数据-取费表'!C42),0)</f>
        <v>13334</v>
      </c>
      <c r="D29" s="469"/>
      <c r="E29" s="469"/>
      <c r="F29" s="3062">
        <f>'数据-取费表'!B41</f>
        <v>5.5500000000000008E-2</v>
      </c>
      <c r="G29" s="2847" t="s">
        <v>498</v>
      </c>
      <c r="H29" s="2839"/>
      <c r="I29" s="2839"/>
      <c r="J29" s="2839"/>
      <c r="K29" s="2840"/>
    </row>
    <row r="30" spans="1:14" s="2121" customFormat="1" ht="13.5" customHeight="1">
      <c r="A30" s="1636" t="s">
        <v>1864</v>
      </c>
      <c r="B30" s="2888" t="s">
        <v>500</v>
      </c>
      <c r="C30" s="2883">
        <f ca="1">C31</f>
        <v>93856</v>
      </c>
      <c r="D30" s="478">
        <f ca="1">C32</f>
        <v>0.1827</v>
      </c>
      <c r="E30" s="470" t="s">
        <v>495</v>
      </c>
      <c r="F30" s="472"/>
      <c r="G30" s="2838" t="s">
        <v>501</v>
      </c>
      <c r="H30" s="2839"/>
      <c r="I30" s="2839"/>
      <c r="J30" s="2839"/>
      <c r="K30" s="2840"/>
    </row>
    <row r="31" spans="1:14" s="2120" customFormat="1" ht="13.5" customHeight="1">
      <c r="A31" s="804" t="s">
        <v>1857</v>
      </c>
      <c r="B31" s="2884"/>
      <c r="C31" s="451">
        <f ca="1">C18+C19+C20+C23+C24+C26+C29</f>
        <v>93856</v>
      </c>
      <c r="D31" s="473"/>
      <c r="E31" s="474"/>
      <c r="F31" s="475"/>
      <c r="G31" s="259"/>
      <c r="H31" s="2841"/>
      <c r="I31" s="2841"/>
      <c r="J31" s="2841"/>
      <c r="K31" s="277"/>
    </row>
    <row r="32" spans="1:14" s="2120" customFormat="1" ht="13.5" customHeight="1">
      <c r="A32" s="804" t="s">
        <v>1858</v>
      </c>
      <c r="B32" s="2884"/>
      <c r="C32" s="53">
        <f ca="1">ROUND(C25+D26,4)</f>
        <v>0.1827</v>
      </c>
      <c r="D32" s="473"/>
      <c r="E32" s="474"/>
      <c r="F32" s="475"/>
      <c r="G32" s="259"/>
      <c r="H32" s="2841"/>
      <c r="I32" s="2841"/>
      <c r="J32" s="2841"/>
      <c r="K32" s="277"/>
    </row>
    <row r="33" spans="1:11" s="2122" customFormat="1" ht="13.5" customHeight="1">
      <c r="A33" s="3059" t="s">
        <v>2839</v>
      </c>
      <c r="B33" s="3057" t="s">
        <v>2837</v>
      </c>
      <c r="C33" s="479">
        <f ca="1">C35</f>
        <v>8262</v>
      </c>
      <c r="D33" s="468">
        <f ca="1">C34</f>
        <v>0.1132</v>
      </c>
      <c r="E33" s="470" t="s">
        <v>495</v>
      </c>
      <c r="F33" s="480">
        <f ca="1">IF(B1="",'数据-取费表'!Q16,INDIRECT("'数据-取费表'!q"&amp;$K$1))</f>
        <v>0.11</v>
      </c>
      <c r="G33" s="2842"/>
      <c r="H33" s="2843"/>
      <c r="I33" s="2843"/>
      <c r="J33" s="2843"/>
      <c r="K33" s="2844"/>
    </row>
    <row r="34" spans="1:11" s="2123" customFormat="1" ht="13.5" customHeight="1">
      <c r="A34" s="376" t="s">
        <v>1857</v>
      </c>
      <c r="B34" s="2889" t="s">
        <v>502</v>
      </c>
      <c r="C34" s="473">
        <f ca="1">ROUND((1+C25)*F33,4)</f>
        <v>0.1132</v>
      </c>
      <c r="D34" s="473"/>
      <c r="E34" s="474"/>
      <c r="F34" s="481"/>
      <c r="G34" s="259" t="s">
        <v>2291</v>
      </c>
      <c r="H34" s="2841"/>
      <c r="I34" s="2841"/>
      <c r="J34" s="2841"/>
      <c r="K34" s="277"/>
    </row>
    <row r="35" spans="1:11" s="2123" customFormat="1" ht="13.5" customHeight="1" thickBot="1">
      <c r="A35" s="1637" t="s">
        <v>1858</v>
      </c>
      <c r="B35" s="3058" t="s">
        <v>2845</v>
      </c>
      <c r="C35" s="1629">
        <f ca="1">ROUND((C18+C19+C20+C23+C24)*F33,0)</f>
        <v>8262</v>
      </c>
      <c r="D35" s="1630"/>
      <c r="E35" s="2890"/>
      <c r="F35" s="1631"/>
      <c r="G35" s="2848"/>
      <c r="H35" s="2849"/>
      <c r="I35" s="2849"/>
      <c r="J35" s="2849"/>
      <c r="K35" s="2850"/>
    </row>
    <row r="36" spans="1:11" s="2085" customFormat="1" ht="13.5" customHeight="1" thickBot="1">
      <c r="A36" s="282" t="s">
        <v>1845</v>
      </c>
      <c r="B36" s="2852"/>
      <c r="C36" s="2891">
        <f ca="1">ROUND((C6-C30-C33)/(1+D30+D33),0)</f>
        <v>115862</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56.25">
      <c r="A7" s="1796" t="s">
        <v>2753</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本次估价对象为出让国有建设用地使用权，《房地所有权证》[房地证津字第112051300149号]证载土地终止日期为住宅2083年6月5日地下车库2063年6月5日。截至估价期日，出让国有建设用地使用权剩余土地使用年限为。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2" t="s">
        <v>466</v>
      </c>
      <c r="B1" s="2835"/>
      <c r="C1" s="2104"/>
      <c r="D1" s="2104"/>
      <c r="E1" s="2104"/>
      <c r="F1" s="2104"/>
      <c r="G1" s="2104"/>
      <c r="H1" s="2104"/>
      <c r="I1" s="2104"/>
      <c r="J1" s="2104"/>
      <c r="K1" s="423">
        <f>MATCH(B1,'数据-取费表'!A6:A16,0)+5</f>
        <v>11</v>
      </c>
    </row>
    <row r="2" spans="1:41" s="2041" customFormat="1" ht="18" customHeight="1">
      <c r="A2" s="424" t="s">
        <v>467</v>
      </c>
      <c r="B2" s="425">
        <f ca="1">C32</f>
        <v>0</v>
      </c>
      <c r="C2" s="2104"/>
      <c r="D2" s="2104"/>
      <c r="E2" s="2104"/>
      <c r="F2" s="2104"/>
      <c r="G2" s="2104"/>
      <c r="H2" s="2104"/>
      <c r="I2" s="2104"/>
      <c r="J2" s="2104"/>
      <c r="K2" s="2104"/>
    </row>
    <row r="3" spans="1:41" s="2041" customFormat="1" ht="18" customHeight="1">
      <c r="A3" s="1380" t="s">
        <v>1685</v>
      </c>
      <c r="B3" s="426">
        <f ca="1">ROUND(B2*10000/IF(B1="",'数据-汇总表'!E3,INDIRECT("'数据-取费表'!K"&amp;$K$1)),0)</f>
        <v>0</v>
      </c>
      <c r="C3" s="2104"/>
      <c r="D3" s="2104"/>
      <c r="E3" s="2104"/>
      <c r="F3" s="2104"/>
      <c r="G3" s="2104"/>
      <c r="H3" s="2104"/>
      <c r="I3" s="2104"/>
      <c r="J3" s="2104"/>
      <c r="K3" s="2104"/>
    </row>
    <row r="4" spans="1:41" s="2041" customFormat="1" ht="18" customHeight="1">
      <c r="A4" s="427" t="s">
        <v>468</v>
      </c>
      <c r="B4" s="428">
        <f ca="1">ROUND(B2*10000/IF(B1="",'数据-汇总表'!D3,INDIRECT("'数据-取费表'!R"&amp;$K$1)),0)</f>
        <v>0</v>
      </c>
      <c r="C4" s="2061"/>
      <c r="D4" s="2104"/>
      <c r="E4" s="2104"/>
      <c r="F4" s="2104"/>
      <c r="G4" s="2104"/>
      <c r="H4" s="2104"/>
      <c r="I4" s="2104"/>
      <c r="J4" s="2104"/>
      <c r="K4" s="2104"/>
    </row>
    <row r="5" spans="1:41" s="2041" customFormat="1" ht="18" customHeight="1" thickBot="1">
      <c r="A5" s="430"/>
      <c r="B5" s="431">
        <f ca="1">ROUND(B2/(IF(B1="",'数据-汇总表'!D3,INDIRECT("'数据-取费表'!R"&amp;$K$1))/666.67),0)</f>
        <v>0</v>
      </c>
      <c r="C5" s="432" t="s">
        <v>469</v>
      </c>
      <c r="D5" s="2104"/>
      <c r="E5" s="2104"/>
      <c r="F5" s="2104"/>
      <c r="G5" s="2104"/>
      <c r="H5" s="2104"/>
      <c r="I5" s="2104"/>
      <c r="J5" s="2104"/>
      <c r="K5" s="2104"/>
    </row>
    <row r="6" spans="1:41" s="2111" customFormat="1" ht="16.5" customHeight="1">
      <c r="A6" s="433" t="s">
        <v>2658</v>
      </c>
      <c r="B6" s="434"/>
      <c r="C6" s="1624">
        <f>SUM(C10:K10)</f>
        <v>0</v>
      </c>
      <c r="D6" s="2109"/>
      <c r="E6" s="2109"/>
      <c r="F6" s="2109"/>
      <c r="G6" s="2109"/>
      <c r="H6" s="2109"/>
      <c r="I6" s="2109"/>
      <c r="J6" s="2109"/>
      <c r="K6" s="2110"/>
    </row>
    <row r="7" spans="1:41" s="2113" customFormat="1" ht="15">
      <c r="A7" s="435" t="s">
        <v>470</v>
      </c>
      <c r="B7" s="436" t="s">
        <v>471</v>
      </c>
      <c r="C7" s="437"/>
      <c r="D7" s="437"/>
      <c r="E7" s="437"/>
      <c r="F7" s="437"/>
      <c r="G7" s="437"/>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9" t="s">
        <v>472</v>
      </c>
      <c r="C8" s="440"/>
      <c r="D8" s="440"/>
      <c r="E8" s="440"/>
      <c r="F8" s="440"/>
      <c r="G8" s="440"/>
      <c r="H8" s="440"/>
      <c r="I8" s="440"/>
      <c r="J8" s="440"/>
      <c r="K8" s="441"/>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5" t="s">
        <v>470</v>
      </c>
      <c r="B12" s="445" t="s">
        <v>471</v>
      </c>
      <c r="C12" s="446" t="s">
        <v>475</v>
      </c>
      <c r="D12" s="447" t="s">
        <v>476</v>
      </c>
      <c r="E12" s="447" t="s">
        <v>477</v>
      </c>
      <c r="F12" s="447" t="s">
        <v>478</v>
      </c>
      <c r="G12" s="445"/>
      <c r="H12" s="448"/>
      <c r="I12" s="448"/>
      <c r="J12" s="448"/>
      <c r="K12" s="449"/>
    </row>
    <row r="13" spans="1:41" s="2116" customFormat="1" ht="13.5" customHeight="1">
      <c r="A13" s="1634" t="s">
        <v>1849</v>
      </c>
      <c r="B13" s="450" t="s">
        <v>479</v>
      </c>
      <c r="C13" s="451">
        <f ca="1">IF(B1="",'数据-取费表'!M16,INDIRECT("'数据-取费表'!M"&amp;$K$1)+INDIRECT("'数据-取费表'!t"&amp;$K$1))</f>
        <v>51788</v>
      </c>
      <c r="D13" s="452"/>
      <c r="E13" s="366"/>
      <c r="F13" s="453"/>
      <c r="G13" s="445"/>
      <c r="H13" s="448"/>
      <c r="I13" s="448"/>
      <c r="J13" s="448"/>
      <c r="K13" s="449"/>
    </row>
    <row r="14" spans="1:41" s="2116" customFormat="1" ht="13.5" customHeight="1">
      <c r="A14" s="1634" t="s">
        <v>1850</v>
      </c>
      <c r="B14" s="450" t="s">
        <v>480</v>
      </c>
      <c r="C14" s="53">
        <f ca="1">ROUND(C13*F14,0)</f>
        <v>2072</v>
      </c>
      <c r="D14" s="452"/>
      <c r="E14" s="366"/>
      <c r="F14" s="454">
        <f>'数据-取费表'!B33</f>
        <v>0.04</v>
      </c>
      <c r="G14" s="445" t="s">
        <v>503</v>
      </c>
      <c r="H14" s="448"/>
      <c r="I14" s="448"/>
      <c r="J14" s="448"/>
      <c r="K14" s="449"/>
    </row>
    <row r="15" spans="1:41" s="2116" customFormat="1" ht="13.5" customHeight="1">
      <c r="A15" s="1634" t="s">
        <v>1851</v>
      </c>
      <c r="B15" s="450" t="s">
        <v>482</v>
      </c>
      <c r="C15" s="53">
        <f ca="1">ROUND(IF(B1="",SUMIF('数据-取费表'!C:C,"住宅",'数据-取费表'!M:M)*F15,IF(INDIRECT("'数据-取费表'!c"&amp;$K$1)="住宅",INDIRECT("'数据-取费表'!M"&amp;$K$1)*F15,0)),0)</f>
        <v>1821</v>
      </c>
      <c r="D15" s="452"/>
      <c r="E15" s="366"/>
      <c r="F15" s="454">
        <f>'数据-取费表'!B34</f>
        <v>0.05</v>
      </c>
      <c r="G15" s="445" t="s">
        <v>503</v>
      </c>
      <c r="H15" s="448"/>
      <c r="I15" s="448"/>
      <c r="J15" s="448"/>
      <c r="K15" s="449"/>
    </row>
    <row r="16" spans="1:41" s="2117" customFormat="1" ht="13.5" customHeight="1">
      <c r="A16" s="1634" t="s">
        <v>1852</v>
      </c>
      <c r="B16" s="450" t="s">
        <v>484</v>
      </c>
      <c r="C16" s="53">
        <f ca="1">ROUND(D16*E16/10000,0)</f>
        <v>5894</v>
      </c>
      <c r="D16" s="452">
        <f ca="1">IF(B1="",'数据-汇总表'!E3,INDIRECT("'数据-取费表'!K"&amp;$K$1)+INDIRECT("'数据-取费表'!S"&amp;$K$1))</f>
        <v>294706.12</v>
      </c>
      <c r="E16" s="53">
        <f>'数据-取费表'!B35</f>
        <v>200</v>
      </c>
      <c r="F16" s="454"/>
      <c r="G16" s="445"/>
      <c r="H16" s="448"/>
      <c r="I16" s="448"/>
      <c r="J16" s="448"/>
      <c r="K16" s="449"/>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50" t="s">
        <v>485</v>
      </c>
      <c r="C17" s="455">
        <f ca="1">ROUND(C13*F17,0)</f>
        <v>777</v>
      </c>
      <c r="D17" s="456"/>
      <c r="E17" s="455"/>
      <c r="F17" s="457">
        <f>'数据-取费表'!B36</f>
        <v>1.4999999999999999E-2</v>
      </c>
      <c r="G17" s="445" t="s">
        <v>503</v>
      </c>
      <c r="H17" s="458"/>
      <c r="I17" s="458"/>
      <c r="J17" s="458"/>
      <c r="K17" s="459"/>
    </row>
    <row r="18" spans="1:14" s="2119" customFormat="1" ht="13.5" customHeight="1">
      <c r="A18" s="1635" t="s">
        <v>1854</v>
      </c>
      <c r="B18" s="460" t="s">
        <v>487</v>
      </c>
      <c r="C18" s="461">
        <f ca="1">SUM(C13:C17)</f>
        <v>62352</v>
      </c>
      <c r="D18" s="462"/>
      <c r="E18" s="463"/>
      <c r="F18" s="463"/>
      <c r="G18" s="1328" t="s">
        <v>2434</v>
      </c>
      <c r="H18" s="448"/>
      <c r="I18" s="448"/>
      <c r="J18" s="448"/>
      <c r="K18" s="449"/>
    </row>
    <row r="19" spans="1:14" s="2119" customFormat="1" ht="13.5" customHeight="1">
      <c r="A19" s="1635" t="s">
        <v>1855</v>
      </c>
      <c r="B19" s="460" t="s">
        <v>493</v>
      </c>
      <c r="C19" s="461">
        <f ca="1">ROUND(C18*F19,0)</f>
        <v>1247</v>
      </c>
      <c r="D19" s="463"/>
      <c r="E19" s="463"/>
      <c r="F19" s="467">
        <f>'数据-取费表'!B37</f>
        <v>0.02</v>
      </c>
      <c r="G19" s="445" t="s">
        <v>504</v>
      </c>
      <c r="H19" s="448"/>
      <c r="I19" s="448"/>
      <c r="J19" s="448"/>
      <c r="K19" s="449"/>
      <c r="L19" s="2121"/>
      <c r="M19" s="2121"/>
      <c r="N19" s="2121"/>
    </row>
    <row r="20" spans="1:14" s="2119" customFormat="1" ht="13.5" customHeight="1">
      <c r="A20" s="1635" t="s">
        <v>1856</v>
      </c>
      <c r="B20" s="460" t="s">
        <v>505</v>
      </c>
      <c r="C20" s="3055">
        <f>F20</f>
        <v>0.02</v>
      </c>
      <c r="D20" s="470" t="s">
        <v>506</v>
      </c>
      <c r="E20" s="470"/>
      <c r="F20" s="487">
        <f>'数据-取费表'!B38</f>
        <v>0.02</v>
      </c>
      <c r="G20" s="1328" t="s">
        <v>507</v>
      </c>
      <c r="H20" s="448"/>
      <c r="I20" s="448"/>
      <c r="J20" s="448"/>
      <c r="K20" s="449"/>
      <c r="L20" s="2121"/>
      <c r="M20" s="2121"/>
      <c r="N20" s="2121"/>
    </row>
    <row r="21" spans="1:14" s="2121" customFormat="1" ht="13.5" customHeight="1">
      <c r="A21" s="1635" t="s">
        <v>1859</v>
      </c>
      <c r="B21" s="462" t="s">
        <v>494</v>
      </c>
      <c r="C21" s="471">
        <f ca="1">C22</f>
        <v>4585</v>
      </c>
      <c r="D21" s="468">
        <f ca="1">C23</f>
        <v>1.4E-3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18" t="s">
        <v>2456</v>
      </c>
    </row>
    <row r="22" spans="1:14" s="2120" customFormat="1" ht="13.5" customHeight="1">
      <c r="A22" s="1634" t="s">
        <v>1849</v>
      </c>
      <c r="B22" s="1329" t="s">
        <v>2437</v>
      </c>
      <c r="C22" s="488">
        <f ca="1">ROUND(IF('数据-取费表'!B22&lt;=1,(C18+C19)*F21*'数据-取费表'!B20/2,(C18+C19)*(POWER((1+F21),'数据-取费表'!B20/2)-1)),0)</f>
        <v>4585</v>
      </c>
      <c r="D22" s="473"/>
      <c r="E22" s="474"/>
      <c r="F22" s="475"/>
      <c r="G22" s="2591" t="str">
        <f>IF('数据-取费表'!B22&lt;=1,"((1)+(2))×年利率×建设期÷2","((1)+(2))×((1+年利率)^(建设期÷2)-1)")</f>
        <v>((1)+(2))×((1+年利率)^(建设期÷2)-1)</v>
      </c>
      <c r="H22" s="458"/>
      <c r="I22" s="458"/>
      <c r="J22" s="458"/>
      <c r="K22" s="459"/>
    </row>
    <row r="23" spans="1:14" s="2120" customFormat="1" ht="13.5" customHeight="1">
      <c r="A23" s="1634" t="s">
        <v>1850</v>
      </c>
      <c r="B23" s="1329" t="s">
        <v>509</v>
      </c>
      <c r="C23" s="489">
        <f ca="1">ROUND(IF('数据-取费表'!B22&lt;=1,F20*F21*'数据-取费表'!B20/2,F20*(POWER((1+F21),'数据-取费表'!B20/2)-1)),4)</f>
        <v>1.4E-3</v>
      </c>
      <c r="D23" s="473"/>
      <c r="E23" s="474"/>
      <c r="F23" s="475"/>
      <c r="G23" s="2591" t="str">
        <f>IF('数据-取费表'!B22&lt;=1,"销售费用率×年利率×建设期÷2","销售费用率×((1+年利率)^(建设期÷2)-1)")</f>
        <v>销售费用率×((1+年利率)^(建设期÷2)-1)</v>
      </c>
      <c r="H23" s="458"/>
      <c r="I23" s="458"/>
      <c r="J23" s="458"/>
      <c r="K23" s="459"/>
    </row>
    <row r="24" spans="1:14" s="2120" customFormat="1" ht="13.5" customHeight="1">
      <c r="A24" s="1635" t="s">
        <v>1860</v>
      </c>
      <c r="B24" s="3057" t="s">
        <v>2838</v>
      </c>
      <c r="C24" s="479">
        <f ca="1">C25</f>
        <v>6996</v>
      </c>
      <c r="D24" s="490">
        <f ca="1">C26</f>
        <v>2.2000000000000001E-3</v>
      </c>
      <c r="E24" s="470" t="s">
        <v>508</v>
      </c>
      <c r="F24" s="480">
        <f ca="1">IF(B1="",'数据-取费表'!Q16,INDIRECT("'数据-取费表'!q"&amp;$K$1))</f>
        <v>0.11</v>
      </c>
      <c r="G24" s="445"/>
      <c r="H24" s="448"/>
      <c r="I24" s="448"/>
      <c r="J24" s="448"/>
      <c r="K24" s="449"/>
    </row>
    <row r="25" spans="1:14" s="2120" customFormat="1" ht="13.5" customHeight="1">
      <c r="A25" s="1634" t="s">
        <v>1849</v>
      </c>
      <c r="B25" s="1329" t="s">
        <v>2438</v>
      </c>
      <c r="C25" s="491">
        <f ca="1">ROUND((C18+C19)*F24,0)</f>
        <v>6996</v>
      </c>
      <c r="D25" s="473"/>
      <c r="E25" s="474"/>
      <c r="F25" s="481"/>
      <c r="G25" s="1327" t="s">
        <v>2435</v>
      </c>
      <c r="H25" s="458"/>
      <c r="I25" s="458"/>
      <c r="J25" s="458"/>
      <c r="K25" s="459"/>
    </row>
    <row r="26" spans="1:14" s="2120" customFormat="1" ht="13.5" customHeight="1">
      <c r="A26" s="1634" t="s">
        <v>1850</v>
      </c>
      <c r="B26" s="1329" t="s">
        <v>510</v>
      </c>
      <c r="C26" s="492">
        <f ca="1">ROUND(F20*F24,4)</f>
        <v>2.2000000000000001E-3</v>
      </c>
      <c r="D26" s="473"/>
      <c r="E26" s="482"/>
      <c r="F26" s="481"/>
      <c r="G26" s="1327" t="s">
        <v>511</v>
      </c>
      <c r="H26" s="458"/>
      <c r="I26" s="458"/>
      <c r="J26" s="458"/>
      <c r="K26" s="459"/>
    </row>
    <row r="27" spans="1:14" s="2120" customFormat="1" ht="13.5" customHeight="1">
      <c r="A27" s="1638" t="s">
        <v>1868</v>
      </c>
      <c r="B27" s="460" t="s">
        <v>512</v>
      </c>
      <c r="C27" s="3056">
        <f>ROUND(F27/(1+'数据-取费表'!C42),4)</f>
        <v>5.2900000000000003E-2</v>
      </c>
      <c r="D27" s="463" t="s">
        <v>2836</v>
      </c>
      <c r="E27" s="463"/>
      <c r="F27" s="467">
        <f>'数据-取费表'!B41</f>
        <v>5.5500000000000008E-2</v>
      </c>
      <c r="G27" s="1960" t="s">
        <v>2292</v>
      </c>
      <c r="H27" s="448"/>
      <c r="I27" s="448"/>
      <c r="J27" s="448"/>
      <c r="K27" s="449"/>
    </row>
    <row r="28" spans="1:14" s="2121" customFormat="1" ht="13.5" customHeight="1">
      <c r="A28" s="1638" t="s">
        <v>1869</v>
      </c>
      <c r="B28" s="477" t="s">
        <v>513</v>
      </c>
      <c r="C28" s="471">
        <f ca="1">ROUND((C18+C19+C21+C24)/(1-C20-D21-D24-C27),0)</f>
        <v>81408</v>
      </c>
      <c r="D28" s="478"/>
      <c r="E28" s="470"/>
      <c r="F28" s="472"/>
      <c r="G28" s="1328" t="s">
        <v>2436</v>
      </c>
      <c r="H28" s="448"/>
      <c r="I28" s="448"/>
      <c r="J28" s="448"/>
      <c r="K28" s="449"/>
    </row>
    <row r="29" spans="1:14" s="2121" customFormat="1" ht="13.5" customHeight="1">
      <c r="A29" s="1638" t="s">
        <v>1870</v>
      </c>
      <c r="B29" s="477" t="s">
        <v>514</v>
      </c>
      <c r="C29" s="493">
        <f ca="1">IF(B1="",'数据-取费表'!N16,INDIRECT("'数据-取费表'!N"&amp;$K$1))</f>
        <v>0</v>
      </c>
      <c r="D29" s="494"/>
      <c r="E29" s="495"/>
      <c r="F29" s="496"/>
      <c r="G29" s="445"/>
      <c r="H29" s="448"/>
      <c r="I29" s="448"/>
      <c r="J29" s="448"/>
      <c r="K29" s="449"/>
    </row>
    <row r="30" spans="1:14" s="2121" customFormat="1" ht="13.5" customHeight="1">
      <c r="A30" s="444">
        <v>2</v>
      </c>
      <c r="B30" s="477" t="s">
        <v>515</v>
      </c>
      <c r="C30" s="498">
        <f ca="1">ROUND(C28*C29,0)</f>
        <v>0</v>
      </c>
      <c r="D30" s="494"/>
      <c r="E30" s="499"/>
      <c r="F30" s="500"/>
      <c r="G30" s="1330" t="s">
        <v>516</v>
      </c>
      <c r="H30" s="497"/>
      <c r="I30" s="497"/>
      <c r="J30" s="448"/>
      <c r="K30" s="449"/>
    </row>
    <row r="31" spans="1:14" s="2126" customFormat="1" ht="13.5" customHeight="1">
      <c r="A31" s="2506" t="s">
        <v>1866</v>
      </c>
      <c r="B31" s="1331"/>
      <c r="C31" s="501">
        <f>ROUND(C6*F31/(1+'数据-取费表'!C42),0)</f>
        <v>0</v>
      </c>
      <c r="D31" s="1332"/>
      <c r="E31" s="1332"/>
      <c r="F31" s="502">
        <f>'数据-取费表'!B41</f>
        <v>5.5500000000000008E-2</v>
      </c>
      <c r="G31" s="1333"/>
      <c r="H31" s="1333"/>
      <c r="I31" s="1333"/>
      <c r="J31" s="1334"/>
      <c r="K31" s="1335"/>
    </row>
    <row r="32" spans="1:14" s="2085" customFormat="1" ht="13.5" customHeight="1" thickBot="1">
      <c r="A32" s="483" t="s">
        <v>1867</v>
      </c>
      <c r="B32" s="484"/>
      <c r="C32" s="485">
        <f ca="1">IF('数据-取费表'!B20&lt;=1,(C6-C30-C31)/(1+F21*'数据-取费表'!B20+F24)/(1+'数据-取费表'!B48+'数据-取费表'!B49),(C6-C30-C31)/(1+(POWER((1+F21),'数据-取费表'!B20)-1)+F24)/(1+'数据-取费表'!B48+'数据-取费表'!B49))</f>
        <v>0</v>
      </c>
      <c r="D32" s="484"/>
      <c r="E32" s="484"/>
      <c r="F32" s="484"/>
      <c r="G32" s="2507" t="s">
        <v>2457</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4" zoomScaleNormal="95" zoomScaleSheetLayoutView="84" workbookViewId="0">
      <selection activeCell="A65" sqref="A65"/>
    </sheetView>
  </sheetViews>
  <sheetFormatPr defaultRowHeight="14.25"/>
  <cols>
    <col min="1" max="1" width="15.625" style="1338" customWidth="1"/>
    <col min="2" max="2" width="15.75" style="1338" customWidth="1"/>
    <col min="3" max="3" width="18.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278747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6"/>
    </row>
    <row r="3" spans="1:30" s="1337" customFormat="1" ht="28.5" customHeight="1">
      <c r="A3" s="1380" t="s">
        <v>1685</v>
      </c>
      <c r="B3" s="511">
        <f>ROUND(B2*10000/'数据-汇总表'!E3,0)</f>
        <v>9458</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17048</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1137</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9"/>
    </row>
    <row r="6" spans="1:30" ht="20.25">
      <c r="A6" s="513" t="s">
        <v>522</v>
      </c>
      <c r="B6" s="514"/>
      <c r="C6" s="3415" t="s">
        <v>523</v>
      </c>
      <c r="D6" s="3416"/>
      <c r="E6" s="3415" t="s">
        <v>524</v>
      </c>
      <c r="F6" s="3416"/>
      <c r="G6" s="3415" t="s">
        <v>525</v>
      </c>
      <c r="H6" s="3416"/>
      <c r="I6" s="3415" t="s">
        <v>526</v>
      </c>
      <c r="J6" s="3416"/>
      <c r="K6" s="515" t="s">
        <v>527</v>
      </c>
      <c r="L6" s="2133"/>
      <c r="M6" s="2132"/>
      <c r="N6" s="2132"/>
      <c r="O6" s="2134"/>
      <c r="P6" s="3417" t="s">
        <v>528</v>
      </c>
      <c r="Q6" s="3418"/>
      <c r="R6" s="3423" t="s">
        <v>524</v>
      </c>
      <c r="S6" s="3424"/>
      <c r="T6" s="3423" t="s">
        <v>525</v>
      </c>
      <c r="U6" s="3424"/>
      <c r="V6" s="3410" t="s">
        <v>526</v>
      </c>
      <c r="W6" s="3410"/>
      <c r="X6" s="1568"/>
      <c r="Y6" s="3423" t="s">
        <v>528</v>
      </c>
      <c r="Z6" s="3424"/>
      <c r="AA6" s="3412" t="s">
        <v>524</v>
      </c>
      <c r="AB6" s="3413" t="s">
        <v>525</v>
      </c>
      <c r="AC6" s="3412" t="s">
        <v>526</v>
      </c>
    </row>
    <row r="7" spans="1:30" ht="20.25">
      <c r="A7" s="516"/>
      <c r="B7" s="517"/>
      <c r="C7" s="3431" t="s">
        <v>2928</v>
      </c>
      <c r="D7" s="3432"/>
      <c r="E7" s="3431" t="str">
        <f>土地案例!A2</f>
        <v>津南区北闸口镇地块</v>
      </c>
      <c r="F7" s="3432"/>
      <c r="G7" s="3431" t="str">
        <f>土地案例!A4</f>
        <v>津南区北闸口镇</v>
      </c>
      <c r="H7" s="3432"/>
      <c r="I7" s="3431" t="str">
        <f>土地案例!A5</f>
        <v>津南区北闸口镇</v>
      </c>
      <c r="J7" s="3432"/>
      <c r="K7" s="515"/>
      <c r="L7" s="2133"/>
      <c r="M7" s="2132"/>
      <c r="N7" s="2132"/>
      <c r="O7" s="2134"/>
      <c r="P7" s="3419"/>
      <c r="Q7" s="3420"/>
      <c r="R7" s="3425"/>
      <c r="S7" s="3426"/>
      <c r="T7" s="3425"/>
      <c r="U7" s="3426"/>
      <c r="V7" s="3410"/>
      <c r="W7" s="3410"/>
      <c r="X7" s="1568"/>
      <c r="Y7" s="3425"/>
      <c r="Z7" s="3426"/>
      <c r="AA7" s="3413"/>
      <c r="AB7" s="3413"/>
      <c r="AC7" s="3413"/>
    </row>
    <row r="8" spans="1:30" ht="21" thickBot="1">
      <c r="A8" s="516"/>
      <c r="B8" s="517"/>
      <c r="C8" s="3433" t="s">
        <v>2932</v>
      </c>
      <c r="D8" s="3434"/>
      <c r="E8" s="3433" t="s">
        <v>2932</v>
      </c>
      <c r="F8" s="3434"/>
      <c r="G8" s="3429" t="s">
        <v>2932</v>
      </c>
      <c r="H8" s="3430"/>
      <c r="I8" s="3429" t="s">
        <v>2932</v>
      </c>
      <c r="J8" s="3430"/>
      <c r="K8" s="515" t="s">
        <v>529</v>
      </c>
      <c r="L8" s="2133"/>
      <c r="M8" s="2132"/>
      <c r="N8" s="2132"/>
      <c r="O8" s="2134"/>
      <c r="P8" s="3421"/>
      <c r="Q8" s="3422"/>
      <c r="R8" s="3425"/>
      <c r="S8" s="3426"/>
      <c r="T8" s="3427"/>
      <c r="U8" s="3428"/>
      <c r="V8" s="3410"/>
      <c r="W8" s="3410"/>
      <c r="X8" s="1568"/>
      <c r="Y8" s="3427"/>
      <c r="Z8" s="3428"/>
      <c r="AA8" s="3414"/>
      <c r="AB8" s="3414"/>
      <c r="AC8" s="3414"/>
    </row>
    <row r="9" spans="1:30" s="1221" customFormat="1" ht="21" thickBot="1">
      <c r="A9" s="2938"/>
      <c r="B9" s="2945" t="s">
        <v>530</v>
      </c>
      <c r="C9" s="2937">
        <f>'数据-取费表'!B2</f>
        <v>43089</v>
      </c>
      <c r="D9" s="521">
        <v>100</v>
      </c>
      <c r="E9" s="522" t="str">
        <f>土地案例!H2</f>
        <v>2017-08-25</v>
      </c>
      <c r="F9" s="523">
        <f>SUMIF(72:72,YEAR(E9)&amp;"-"&amp;INT((MONTH(E9)+2)/3),73:73)</f>
        <v>99</v>
      </c>
      <c r="G9" s="524" t="str">
        <f>土地案例!H4</f>
        <v>2017-04-19</v>
      </c>
      <c r="H9" s="521">
        <f>SUMIF(72:72,YEAR(G9)&amp;"-"&amp;INT((MONTH(G9)+2)/3),73:73)</f>
        <v>98</v>
      </c>
      <c r="I9" s="524" t="str">
        <f>土地案例!H5</f>
        <v>2017-03-29</v>
      </c>
      <c r="J9" s="521">
        <f>SUMIF(72:72,YEAR(I9)&amp;"-"&amp;INT((MONTH(I9)+2)/3),73:73)</f>
        <v>97</v>
      </c>
      <c r="K9" s="525"/>
      <c r="L9" s="2135"/>
      <c r="M9" s="2132"/>
      <c r="N9" s="2132"/>
      <c r="O9" s="2136"/>
      <c r="P9" s="3440" t="s">
        <v>531</v>
      </c>
      <c r="Q9" s="3442"/>
      <c r="R9" s="1569" t="s">
        <v>8</v>
      </c>
      <c r="S9" s="1570">
        <f t="shared" ref="S9:S17" si="0">F9</f>
        <v>99</v>
      </c>
      <c r="T9" s="1569" t="s">
        <v>8</v>
      </c>
      <c r="U9" s="1570">
        <f t="shared" ref="U9:U17" si="1">H9</f>
        <v>98</v>
      </c>
      <c r="V9" s="1569" t="s">
        <v>8</v>
      </c>
      <c r="W9" s="1570">
        <f t="shared" ref="W9:W17" si="2">J9</f>
        <v>97</v>
      </c>
      <c r="X9" s="1571"/>
      <c r="Y9" s="3440" t="s">
        <v>531</v>
      </c>
      <c r="Z9" s="3441"/>
      <c r="AA9" s="1572">
        <f>D9/F9</f>
        <v>1.0101010101010102</v>
      </c>
      <c r="AB9" s="1572">
        <f>D9/H9</f>
        <v>1.0204081632653061</v>
      </c>
      <c r="AC9" s="1572">
        <f>D9/J9</f>
        <v>1.0309278350515463</v>
      </c>
    </row>
    <row r="10" spans="1:30" s="1221" customFormat="1" ht="21" thickBot="1">
      <c r="A10" s="2939"/>
      <c r="B10" s="2946" t="s">
        <v>532</v>
      </c>
      <c r="C10" s="857" t="s">
        <v>533</v>
      </c>
      <c r="D10" s="521">
        <v>100</v>
      </c>
      <c r="E10" s="526" t="s">
        <v>3009</v>
      </c>
      <c r="F10" s="523">
        <f>SUMIF(75:75,E10,76:76)-SUMIF(75:75,C10,76:76)+100</f>
        <v>100</v>
      </c>
      <c r="G10" s="526" t="s">
        <v>3009</v>
      </c>
      <c r="H10" s="521">
        <f>SUMIF(75:75,G10,76:76)-SUMIF(75:75,C10,76:76)+100</f>
        <v>100</v>
      </c>
      <c r="I10" s="526" t="s">
        <v>3009</v>
      </c>
      <c r="J10" s="521">
        <f>SUMIF(75:75,I10,76:76)-SUMIF(75:75,C10,76:76)+100</f>
        <v>100</v>
      </c>
      <c r="K10" s="525"/>
      <c r="L10" s="2135"/>
      <c r="M10" s="2132"/>
      <c r="N10" s="2132"/>
      <c r="O10" s="2136"/>
      <c r="P10" s="3440" t="s">
        <v>534</v>
      </c>
      <c r="Q10" s="3441"/>
      <c r="R10" s="1569" t="s">
        <v>8</v>
      </c>
      <c r="S10" s="1570">
        <f t="shared" si="0"/>
        <v>100</v>
      </c>
      <c r="T10" s="1569" t="s">
        <v>8</v>
      </c>
      <c r="U10" s="1570">
        <f t="shared" si="1"/>
        <v>100</v>
      </c>
      <c r="V10" s="1569" t="s">
        <v>8</v>
      </c>
      <c r="W10" s="1570">
        <f t="shared" si="2"/>
        <v>100</v>
      </c>
      <c r="X10" s="1571"/>
      <c r="Y10" s="3440" t="s">
        <v>534</v>
      </c>
      <c r="Z10" s="3441"/>
      <c r="AA10" s="1572">
        <f t="shared" ref="AA10:AA47" si="3">D10/F10</f>
        <v>1</v>
      </c>
      <c r="AB10" s="1572">
        <f t="shared" ref="AB10:AB47" si="4">D10/H10</f>
        <v>1</v>
      </c>
      <c r="AC10" s="1572">
        <f t="shared" ref="AC10:AC47" si="5">D10/J10</f>
        <v>1</v>
      </c>
    </row>
    <row r="11" spans="1:30" s="1221" customFormat="1" ht="20.25">
      <c r="A11" s="2940"/>
      <c r="B11" s="2947" t="s">
        <v>2762</v>
      </c>
      <c r="C11" s="2934" t="s">
        <v>923</v>
      </c>
      <c r="D11" s="252">
        <v>100</v>
      </c>
      <c r="E11" s="527" t="s">
        <v>923</v>
      </c>
      <c r="F11" s="252">
        <f>SUMIF(77:77,E11,78:78)-SUMIF(77:77,C11,78:78)+100</f>
        <v>100</v>
      </c>
      <c r="G11" s="527" t="s">
        <v>923</v>
      </c>
      <c r="H11" s="252">
        <f>SUMIF(77:77,G11,78:78)-SUMIF(77:77,C11,78:78)+100</f>
        <v>100</v>
      </c>
      <c r="I11" s="527" t="s">
        <v>923</v>
      </c>
      <c r="J11" s="252">
        <f>SUMIF(77:77,I11,78:78)-SUMIF(77:77,C11,78:78)+100</f>
        <v>100</v>
      </c>
      <c r="K11" s="525"/>
      <c r="L11" s="2135"/>
      <c r="M11" s="2132"/>
      <c r="N11" s="2132"/>
      <c r="O11" s="2137"/>
      <c r="P11" s="3409" t="s">
        <v>536</v>
      </c>
      <c r="Q11" s="1152" t="str">
        <f t="shared" ref="Q11:Q17" si="6">B11</f>
        <v>用途</v>
      </c>
      <c r="R11" s="1569" t="s">
        <v>8</v>
      </c>
      <c r="S11" s="1570">
        <f t="shared" si="0"/>
        <v>100</v>
      </c>
      <c r="T11" s="1569" t="s">
        <v>8</v>
      </c>
      <c r="U11" s="1570">
        <f t="shared" si="1"/>
        <v>100</v>
      </c>
      <c r="V11" s="1569" t="s">
        <v>8</v>
      </c>
      <c r="W11" s="1570">
        <f t="shared" si="2"/>
        <v>100</v>
      </c>
      <c r="X11" s="1571"/>
      <c r="Y11" s="3355" t="s">
        <v>537</v>
      </c>
      <c r="Z11" s="1151" t="str">
        <f t="shared" ref="Z11:Z17" si="7">Q11</f>
        <v>用途</v>
      </c>
      <c r="AA11" s="1572">
        <f t="shared" si="3"/>
        <v>1</v>
      </c>
      <c r="AB11" s="1572">
        <f t="shared" si="4"/>
        <v>1</v>
      </c>
      <c r="AC11" s="1572">
        <f t="shared" si="5"/>
        <v>1</v>
      </c>
    </row>
    <row r="12" spans="1:30" s="1339" customFormat="1" ht="47.25" customHeight="1">
      <c r="A12" s="2941"/>
      <c r="B12" s="2946" t="s">
        <v>2763</v>
      </c>
      <c r="C12" s="911">
        <f>'数据-取费表'!F6</f>
        <v>65.5</v>
      </c>
      <c r="D12" s="253">
        <v>100</v>
      </c>
      <c r="E12" s="530" t="s">
        <v>3090</v>
      </c>
      <c r="F12" s="253">
        <f>ROUND(100/'数据-取费表'!G16,0)</f>
        <v>102</v>
      </c>
      <c r="G12" s="531" t="s">
        <v>3091</v>
      </c>
      <c r="H12" s="253">
        <f>ROUND(100/'数据-取费表'!G16,0)</f>
        <v>102</v>
      </c>
      <c r="I12" s="531" t="s">
        <v>3091</v>
      </c>
      <c r="J12" s="253">
        <f>ROUND(100/'数据-取费表'!G16,0)</f>
        <v>102</v>
      </c>
      <c r="K12" s="532"/>
      <c r="L12" s="2138"/>
      <c r="M12" s="2132"/>
      <c r="N12" s="2132"/>
      <c r="O12" s="2139"/>
      <c r="P12" s="3409"/>
      <c r="Q12" s="1152" t="str">
        <f t="shared" si="6"/>
        <v>土地使用年限（年）</v>
      </c>
      <c r="R12" s="1569" t="s">
        <v>8</v>
      </c>
      <c r="S12" s="1570">
        <f t="shared" si="0"/>
        <v>102</v>
      </c>
      <c r="T12" s="1569" t="s">
        <v>8</v>
      </c>
      <c r="U12" s="1570">
        <f t="shared" si="1"/>
        <v>102</v>
      </c>
      <c r="V12" s="1569" t="s">
        <v>8</v>
      </c>
      <c r="W12" s="1570">
        <f t="shared" si="2"/>
        <v>102</v>
      </c>
      <c r="X12" s="1571"/>
      <c r="Y12" s="3355"/>
      <c r="Z12" s="1151" t="str">
        <f t="shared" si="7"/>
        <v>土地使用年限（年）</v>
      </c>
      <c r="AA12" s="1572">
        <f t="shared" si="3"/>
        <v>0.98039215686274506</v>
      </c>
      <c r="AB12" s="1572">
        <f t="shared" si="4"/>
        <v>0.98039215686274506</v>
      </c>
      <c r="AC12" s="1572">
        <f t="shared" si="5"/>
        <v>0.98039215686274506</v>
      </c>
    </row>
    <row r="13" spans="1:30" ht="20.25">
      <c r="A13" s="2942"/>
      <c r="B13" s="2946" t="s">
        <v>2764</v>
      </c>
      <c r="C13" s="535">
        <f>'数据-汇总表'!I4</f>
        <v>1.2</v>
      </c>
      <c r="D13" s="253">
        <v>100</v>
      </c>
      <c r="E13" s="534">
        <v>1.2</v>
      </c>
      <c r="F13" s="253">
        <f>LOOKUP(E13,82:82,83:83)-LOOKUP(C13,82:82,83:83)+100</f>
        <v>100</v>
      </c>
      <c r="G13" s="535">
        <v>1.2</v>
      </c>
      <c r="H13" s="253">
        <f>LOOKUP(G13,82:82,83:83)-LOOKUP(C13,82:82,83:83)+100</f>
        <v>100</v>
      </c>
      <c r="I13" s="534">
        <v>1.2</v>
      </c>
      <c r="J13" s="253">
        <f>LOOKUP(I13,82:82,83:83)-LOOKUP(C13,82:82,83:83)+100</f>
        <v>100</v>
      </c>
      <c r="K13" s="536">
        <v>2</v>
      </c>
      <c r="L13" s="2140"/>
      <c r="M13" s="2132"/>
      <c r="N13" s="2132"/>
      <c r="O13" s="2141"/>
      <c r="P13" s="3409"/>
      <c r="Q13" s="1152" t="str">
        <f t="shared" si="6"/>
        <v>容积率</v>
      </c>
      <c r="R13" s="1569" t="s">
        <v>8</v>
      </c>
      <c r="S13" s="1570">
        <f t="shared" si="0"/>
        <v>100</v>
      </c>
      <c r="T13" s="1569" t="s">
        <v>8</v>
      </c>
      <c r="U13" s="1570">
        <f t="shared" si="1"/>
        <v>100</v>
      </c>
      <c r="V13" s="1569" t="s">
        <v>8</v>
      </c>
      <c r="W13" s="1570">
        <f t="shared" si="2"/>
        <v>100</v>
      </c>
      <c r="X13" s="1571"/>
      <c r="Y13" s="3355"/>
      <c r="Z13" s="1151" t="str">
        <f t="shared" si="7"/>
        <v>容积率</v>
      </c>
      <c r="AA13" s="1572">
        <f t="shared" si="3"/>
        <v>1</v>
      </c>
      <c r="AB13" s="1572">
        <f t="shared" si="4"/>
        <v>1</v>
      </c>
      <c r="AC13" s="1572">
        <f t="shared" si="5"/>
        <v>1</v>
      </c>
    </row>
    <row r="14" spans="1:30" s="1221" customFormat="1" ht="20.25">
      <c r="A14" s="2939"/>
      <c r="B14" s="2948" t="s">
        <v>2765</v>
      </c>
      <c r="C14" s="2935"/>
      <c r="D14" s="539">
        <v>100</v>
      </c>
      <c r="E14" s="1375"/>
      <c r="F14" s="253">
        <f>SUMIF(84:84,E14,85:85)-SUMIF(84:84,C14,85:85)+100</f>
        <v>100</v>
      </c>
      <c r="G14" s="531"/>
      <c r="H14" s="253">
        <f>SUMIF(84:84,G14,85:85)-SUMIF(84:84,C14,85:85)+100</f>
        <v>100</v>
      </c>
      <c r="I14" s="530"/>
      <c r="J14" s="253">
        <f>SUMIF(84:84,I14,85:85)-SUMIF(84:84,C14,85:85)+100</f>
        <v>100</v>
      </c>
      <c r="K14" s="532"/>
      <c r="L14" s="2135"/>
      <c r="M14" s="2132"/>
      <c r="N14" s="2132"/>
      <c r="O14" s="2137"/>
      <c r="P14" s="3409"/>
      <c r="Q14" s="1152" t="str">
        <f t="shared" si="6"/>
        <v>配建</v>
      </c>
      <c r="R14" s="1569" t="s">
        <v>8</v>
      </c>
      <c r="S14" s="1570">
        <f t="shared" si="0"/>
        <v>100</v>
      </c>
      <c r="T14" s="1569" t="s">
        <v>8</v>
      </c>
      <c r="U14" s="1570">
        <f t="shared" si="1"/>
        <v>100</v>
      </c>
      <c r="V14" s="1569" t="s">
        <v>8</v>
      </c>
      <c r="W14" s="1570">
        <f t="shared" si="2"/>
        <v>100</v>
      </c>
      <c r="X14" s="1571"/>
      <c r="Y14" s="3355"/>
      <c r="Z14" s="1151" t="str">
        <f t="shared" si="7"/>
        <v>配建</v>
      </c>
      <c r="AA14" s="1572">
        <f>D14/F14</f>
        <v>1</v>
      </c>
      <c r="AB14" s="1572">
        <f>D14/H14</f>
        <v>1</v>
      </c>
      <c r="AC14" s="1572">
        <f>D14/J14</f>
        <v>1</v>
      </c>
    </row>
    <row r="15" spans="1:30" ht="20.25">
      <c r="A15" s="2943"/>
      <c r="B15" s="2949">
        <v>111</v>
      </c>
      <c r="C15" s="913"/>
      <c r="D15" s="541">
        <v>100</v>
      </c>
      <c r="E15" s="542"/>
      <c r="F15" s="253">
        <f>SUMIF(86:86,E15,87:87)-SUMIF(86:86,C15,87:87)+100</f>
        <v>100</v>
      </c>
      <c r="G15" s="543"/>
      <c r="H15" s="541">
        <f>SUMIF(86:86,G15,87:87)-SUMIF(86:86,C15,87:87)+100</f>
        <v>100</v>
      </c>
      <c r="I15" s="543"/>
      <c r="J15" s="541">
        <f>SUMIF(86:86,I15,87:87)-SUMIF(86:86,C15,87:87)+100</f>
        <v>100</v>
      </c>
      <c r="K15" s="532"/>
      <c r="L15" s="2142"/>
      <c r="M15" s="2132"/>
      <c r="N15" s="2132"/>
      <c r="O15" s="2141"/>
      <c r="P15" s="3409"/>
      <c r="Q15" s="1152">
        <f t="shared" si="6"/>
        <v>111</v>
      </c>
      <c r="R15" s="1569" t="s">
        <v>8</v>
      </c>
      <c r="S15" s="1570">
        <f t="shared" si="0"/>
        <v>100</v>
      </c>
      <c r="T15" s="1569" t="s">
        <v>8</v>
      </c>
      <c r="U15" s="1570">
        <f t="shared" si="1"/>
        <v>100</v>
      </c>
      <c r="V15" s="1569" t="s">
        <v>8</v>
      </c>
      <c r="W15" s="1570">
        <f t="shared" si="2"/>
        <v>100</v>
      </c>
      <c r="X15" s="1571"/>
      <c r="Y15" s="3355"/>
      <c r="Z15" s="1151">
        <f t="shared" si="7"/>
        <v>111</v>
      </c>
      <c r="AA15" s="1572">
        <f>D15/F15</f>
        <v>1</v>
      </c>
      <c r="AB15" s="1572">
        <f>D15/H15</f>
        <v>1</v>
      </c>
      <c r="AC15" s="1572">
        <f>D15/J15</f>
        <v>1</v>
      </c>
    </row>
    <row r="16" spans="1:30" ht="21" thickBot="1">
      <c r="A16" s="2944"/>
      <c r="B16" s="2950">
        <v>111</v>
      </c>
      <c r="C16" s="916"/>
      <c r="D16" s="547">
        <v>100</v>
      </c>
      <c r="E16" s="542"/>
      <c r="F16" s="547">
        <f>SUMIF(88:88,E16,89:89)-SUMIF(88:88,C16,89:89)+100</f>
        <v>100</v>
      </c>
      <c r="G16" s="543"/>
      <c r="H16" s="547">
        <f>SUMIF(88:88,G16,89:89)-SUMIF(88:88,C16,89:89)+100</f>
        <v>100</v>
      </c>
      <c r="I16" s="543"/>
      <c r="J16" s="547">
        <f>SUMIF(88:88,I16,89:89)-SUMIF(88:88,C16,89:89)+100</f>
        <v>100</v>
      </c>
      <c r="K16" s="532"/>
      <c r="L16" s="2142"/>
      <c r="M16" s="2132"/>
      <c r="N16" s="2132"/>
      <c r="O16" s="2141"/>
      <c r="P16" s="3409"/>
      <c r="Q16" s="1152">
        <f t="shared" si="6"/>
        <v>111</v>
      </c>
      <c r="R16" s="1569" t="s">
        <v>8</v>
      </c>
      <c r="S16" s="1570">
        <f t="shared" si="0"/>
        <v>100</v>
      </c>
      <c r="T16" s="1569" t="s">
        <v>8</v>
      </c>
      <c r="U16" s="1570">
        <f t="shared" si="1"/>
        <v>100</v>
      </c>
      <c r="V16" s="1569" t="s">
        <v>8</v>
      </c>
      <c r="W16" s="1570">
        <f t="shared" si="2"/>
        <v>100</v>
      </c>
      <c r="X16" s="1571"/>
      <c r="Y16" s="3355"/>
      <c r="Z16" s="1151">
        <f t="shared" si="7"/>
        <v>111</v>
      </c>
      <c r="AA16" s="1572">
        <f>D16/F16</f>
        <v>1</v>
      </c>
      <c r="AB16" s="1572">
        <f>D16/H16</f>
        <v>1</v>
      </c>
      <c r="AC16" s="1572">
        <f>D16/J16</f>
        <v>1</v>
      </c>
    </row>
    <row r="17" spans="1:29" ht="71.25">
      <c r="A17" s="2936" t="s">
        <v>2760</v>
      </c>
      <c r="B17" s="579" t="s">
        <v>295</v>
      </c>
      <c r="C17" s="549" t="str">
        <f>估价对象房地状况!C15</f>
        <v>估价对象、居住小区规模及数量一般，社区发展完善程度一般，综合评价居住社区成熟度一般</v>
      </c>
      <c r="D17" s="552">
        <v>100</v>
      </c>
      <c r="E17" s="553"/>
      <c r="F17" s="550">
        <f>SUMIF(90:90,E18,91:91)-SUMIF(90:90,C18,91:91)+100</f>
        <v>102</v>
      </c>
      <c r="G17" s="551"/>
      <c r="H17" s="550">
        <f>SUMIF(90:90,G18,91:91)-SUMIF(90:90,C18,91:91)+100</f>
        <v>102</v>
      </c>
      <c r="I17" s="553"/>
      <c r="J17" s="550">
        <f>SUMIF(90:90,I18,91:91)-SUMIF(90:90,C18,91:91)+100</f>
        <v>102</v>
      </c>
      <c r="K17" s="536">
        <v>2</v>
      </c>
      <c r="L17" s="2142"/>
      <c r="M17" s="2132"/>
      <c r="N17" s="2132"/>
      <c r="O17" s="2141"/>
      <c r="P17" s="3443" t="s">
        <v>541</v>
      </c>
      <c r="Q17" s="1573" t="str">
        <f t="shared" si="6"/>
        <v>居住社区成熟度</v>
      </c>
      <c r="R17" s="1574" t="s">
        <v>8</v>
      </c>
      <c r="S17" s="1575">
        <f t="shared" si="0"/>
        <v>102</v>
      </c>
      <c r="T17" s="1574" t="s">
        <v>8</v>
      </c>
      <c r="U17" s="1575">
        <f t="shared" si="1"/>
        <v>102</v>
      </c>
      <c r="V17" s="1574" t="s">
        <v>8</v>
      </c>
      <c r="W17" s="1575">
        <f t="shared" si="2"/>
        <v>102</v>
      </c>
      <c r="X17" s="1568"/>
      <c r="Y17" s="3443" t="s">
        <v>541</v>
      </c>
      <c r="Z17" s="1576" t="str">
        <f t="shared" si="7"/>
        <v>居住社区成熟度</v>
      </c>
      <c r="AA17" s="1577">
        <f t="shared" si="3"/>
        <v>0.98039215686274506</v>
      </c>
      <c r="AB17" s="1577">
        <f t="shared" si="4"/>
        <v>0.98039215686274506</v>
      </c>
      <c r="AC17" s="1577">
        <f t="shared" si="5"/>
        <v>0.98039215686274506</v>
      </c>
    </row>
    <row r="18" spans="1:29" ht="20.25">
      <c r="A18" s="533"/>
      <c r="B18" s="554"/>
      <c r="C18" s="555" t="s">
        <v>3122</v>
      </c>
      <c r="D18" s="558"/>
      <c r="E18" s="559" t="s">
        <v>3010</v>
      </c>
      <c r="F18" s="556"/>
      <c r="G18" s="557" t="s">
        <v>3010</v>
      </c>
      <c r="H18" s="560"/>
      <c r="I18" s="559" t="s">
        <v>3010</v>
      </c>
      <c r="J18" s="556"/>
      <c r="K18" s="532"/>
      <c r="L18" s="2142"/>
      <c r="M18" s="2132"/>
      <c r="N18" s="2132"/>
      <c r="O18" s="2141"/>
      <c r="P18" s="3444"/>
      <c r="Q18" s="1573"/>
      <c r="R18" s="1574"/>
      <c r="S18" s="1575"/>
      <c r="T18" s="1574"/>
      <c r="U18" s="1575"/>
      <c r="V18" s="1574"/>
      <c r="W18" s="1575"/>
      <c r="X18" s="1568"/>
      <c r="Y18" s="3444"/>
      <c r="Z18" s="1576"/>
      <c r="AA18" s="1577">
        <v>1</v>
      </c>
      <c r="AB18" s="1577">
        <v>1</v>
      </c>
      <c r="AC18" s="1577">
        <v>1</v>
      </c>
    </row>
    <row r="19" spans="1:29" ht="57" hidden="1">
      <c r="A19" s="533"/>
      <c r="B19" s="561" t="s">
        <v>542</v>
      </c>
      <c r="C19" s="562" t="str">
        <f>估价对象房地状况!C16</f>
        <v>估价对象位于椰海大道南侧，周边商业氛围一般，人流量一般，商业繁华度一般</v>
      </c>
      <c r="D19" s="564">
        <v>100</v>
      </c>
      <c r="E19" s="3180"/>
      <c r="F19" s="560">
        <f>SUMIF(92:92,E20,93:93)-SUMIF(92:92,C20,93:93)+100</f>
        <v>100</v>
      </c>
      <c r="G19" s="3180"/>
      <c r="H19" s="566">
        <f>SUMIF(92:92,G20,93:93)-SUMIF(92:92,C20,93:93)+100</f>
        <v>100</v>
      </c>
      <c r="I19" s="3180"/>
      <c r="J19" s="566">
        <f>SUMIF(92:92,I20,93:93)-SUMIF(92:92,C20,93:93)+100</f>
        <v>100</v>
      </c>
      <c r="K19" s="536">
        <v>3</v>
      </c>
      <c r="L19" s="2142"/>
      <c r="M19" s="2132"/>
      <c r="N19" s="2132"/>
      <c r="O19" s="2141"/>
      <c r="P19" s="3444"/>
      <c r="Q19" s="1573" t="str">
        <f>B19</f>
        <v>商业繁华度</v>
      </c>
      <c r="R19" s="1574" t="s">
        <v>8</v>
      </c>
      <c r="S19" s="1575">
        <f>F19</f>
        <v>100</v>
      </c>
      <c r="T19" s="1574" t="s">
        <v>8</v>
      </c>
      <c r="U19" s="1575">
        <f>H19</f>
        <v>100</v>
      </c>
      <c r="V19" s="1574" t="s">
        <v>8</v>
      </c>
      <c r="W19" s="1575">
        <f>J19</f>
        <v>100</v>
      </c>
      <c r="X19" s="1568"/>
      <c r="Y19" s="3444"/>
      <c r="Z19" s="1576" t="str">
        <f>Q19</f>
        <v>商业繁华度</v>
      </c>
      <c r="AA19" s="1577">
        <f t="shared" si="3"/>
        <v>1</v>
      </c>
      <c r="AB19" s="1577">
        <f t="shared" si="4"/>
        <v>1</v>
      </c>
      <c r="AC19" s="1577">
        <f t="shared" si="5"/>
        <v>1</v>
      </c>
    </row>
    <row r="20" spans="1:29" ht="20.25" hidden="1">
      <c r="A20" s="533"/>
      <c r="B20" s="567"/>
      <c r="C20" s="568" t="s">
        <v>3010</v>
      </c>
      <c r="D20" s="564"/>
      <c r="E20" s="570" t="s">
        <v>3010</v>
      </c>
      <c r="F20" s="560"/>
      <c r="G20" s="569" t="s">
        <v>3010</v>
      </c>
      <c r="H20" s="556"/>
      <c r="I20" s="570" t="s">
        <v>3010</v>
      </c>
      <c r="J20" s="556"/>
      <c r="K20" s="532"/>
      <c r="L20" s="2142"/>
      <c r="M20" s="2132"/>
      <c r="N20" s="2132"/>
      <c r="O20" s="2141"/>
      <c r="P20" s="3444"/>
      <c r="Q20" s="1573"/>
      <c r="R20" s="1574"/>
      <c r="S20" s="1575"/>
      <c r="T20" s="1574"/>
      <c r="U20" s="1575"/>
      <c r="V20" s="1574"/>
      <c r="W20" s="1575"/>
      <c r="X20" s="1568"/>
      <c r="Y20" s="3444"/>
      <c r="Z20" s="1576"/>
      <c r="AA20" s="1577">
        <v>1</v>
      </c>
      <c r="AB20" s="1577">
        <v>1</v>
      </c>
      <c r="AC20" s="1577">
        <v>1</v>
      </c>
    </row>
    <row r="21" spans="1:29" ht="57" hidden="1">
      <c r="A21" s="533"/>
      <c r="B21" s="561" t="s">
        <v>543</v>
      </c>
      <c r="C21" s="562" t="str">
        <f>估价对象房地状况!C17</f>
        <v>估价对象位于椰海大道南侧，周边办公楼项目一般，办公集聚程度一般</v>
      </c>
      <c r="D21" s="572">
        <v>100</v>
      </c>
      <c r="E21" s="3188"/>
      <c r="F21" s="566">
        <f>SUMIF(94:94,E22,95:95)-SUMIF(94:94,C22,95:95)+100</f>
        <v>100</v>
      </c>
      <c r="G21" s="3188"/>
      <c r="H21" s="560">
        <f>SUMIF(94:94,G22,95:95)-SUMIF(94:94,C22,95:95)+100</f>
        <v>100</v>
      </c>
      <c r="I21" s="3188"/>
      <c r="J21" s="560">
        <f>SUMIF(94:94,I22,95:95)-SUMIF(94:94,C22,95:95)+100</f>
        <v>100</v>
      </c>
      <c r="K21" s="536">
        <v>2</v>
      </c>
      <c r="L21" s="2142"/>
      <c r="M21" s="2132"/>
      <c r="N21" s="2132"/>
      <c r="O21" s="2141"/>
      <c r="P21" s="3444"/>
      <c r="Q21" s="1573" t="str">
        <f>B21</f>
        <v>办公集聚程度</v>
      </c>
      <c r="R21" s="1574" t="s">
        <v>8</v>
      </c>
      <c r="S21" s="1575">
        <f>F21</f>
        <v>100</v>
      </c>
      <c r="T21" s="1574" t="s">
        <v>8</v>
      </c>
      <c r="U21" s="1575">
        <f>H21</f>
        <v>100</v>
      </c>
      <c r="V21" s="1574" t="s">
        <v>8</v>
      </c>
      <c r="W21" s="1575">
        <f>J21</f>
        <v>100</v>
      </c>
      <c r="X21" s="1568"/>
      <c r="Y21" s="3444"/>
      <c r="Z21" s="1576" t="str">
        <f>Q21</f>
        <v>办公集聚程度</v>
      </c>
      <c r="AA21" s="1577">
        <f t="shared" si="3"/>
        <v>1</v>
      </c>
      <c r="AB21" s="1577">
        <f t="shared" si="4"/>
        <v>1</v>
      </c>
      <c r="AC21" s="1577">
        <f t="shared" si="5"/>
        <v>1</v>
      </c>
    </row>
    <row r="22" spans="1:29" ht="20.25" hidden="1">
      <c r="A22" s="533"/>
      <c r="B22" s="567"/>
      <c r="C22" s="555" t="s">
        <v>3010</v>
      </c>
      <c r="D22" s="558"/>
      <c r="E22" s="559" t="s">
        <v>3010</v>
      </c>
      <c r="F22" s="556"/>
      <c r="G22" s="557" t="s">
        <v>3010</v>
      </c>
      <c r="H22" s="556"/>
      <c r="I22" s="559" t="s">
        <v>3010</v>
      </c>
      <c r="J22" s="556"/>
      <c r="K22" s="532"/>
      <c r="L22" s="2142"/>
      <c r="M22" s="2132"/>
      <c r="N22" s="2132"/>
      <c r="O22" s="2141"/>
      <c r="P22" s="3444"/>
      <c r="Q22" s="1573"/>
      <c r="R22" s="1574"/>
      <c r="S22" s="1575"/>
      <c r="T22" s="1574"/>
      <c r="U22" s="1575"/>
      <c r="V22" s="1574"/>
      <c r="W22" s="1575"/>
      <c r="X22" s="1568"/>
      <c r="Y22" s="3444"/>
      <c r="Z22" s="1576"/>
      <c r="AA22" s="1577">
        <v>1</v>
      </c>
      <c r="AB22" s="1577">
        <v>1</v>
      </c>
      <c r="AC22" s="1577">
        <v>1</v>
      </c>
    </row>
    <row r="23" spans="1:29" ht="85.5">
      <c r="A23" s="533"/>
      <c r="B23" s="561" t="s">
        <v>544</v>
      </c>
      <c r="C23" s="574" t="str">
        <f>估价对象房地状况!C18</f>
        <v>估价对象东北侧临主干道-津塘公路，有186路、207路、659路等公交线路，停车便捷程度较好，综合评价交通便捷度一般</v>
      </c>
      <c r="D23" s="564">
        <v>100</v>
      </c>
      <c r="E23" s="565"/>
      <c r="F23" s="566">
        <f>SUMIF(96:96,E24,97:97)-SUMIF(96:96,C24,97:97)+100</f>
        <v>100</v>
      </c>
      <c r="G23" s="565"/>
      <c r="H23" s="560">
        <f>SUMIF(96:96,G24,97:97)-SUMIF(96:96,C24,97:97)+100</f>
        <v>100</v>
      </c>
      <c r="I23" s="565"/>
      <c r="J23" s="560">
        <f>SUMIF(96:96,I24,97:97)-SUMIF(96:96,C24,97:97)+100</f>
        <v>100</v>
      </c>
      <c r="K23" s="536">
        <v>2</v>
      </c>
      <c r="L23" s="2142"/>
      <c r="M23" s="2132"/>
      <c r="N23" s="2132"/>
      <c r="O23" s="2141"/>
      <c r="P23" s="3444"/>
      <c r="Q23" s="1573" t="str">
        <f>B23</f>
        <v>交通便捷度</v>
      </c>
      <c r="R23" s="1574" t="s">
        <v>8</v>
      </c>
      <c r="S23" s="1575">
        <f>F23</f>
        <v>100</v>
      </c>
      <c r="T23" s="1574" t="s">
        <v>8</v>
      </c>
      <c r="U23" s="1575">
        <f>H23</f>
        <v>100</v>
      </c>
      <c r="V23" s="1574" t="s">
        <v>8</v>
      </c>
      <c r="W23" s="1575">
        <f>J23</f>
        <v>100</v>
      </c>
      <c r="X23" s="1568"/>
      <c r="Y23" s="3444"/>
      <c r="Z23" s="1576" t="str">
        <f>Q23</f>
        <v>交通便捷度</v>
      </c>
      <c r="AA23" s="1577">
        <f t="shared" si="3"/>
        <v>1</v>
      </c>
      <c r="AB23" s="1577">
        <f t="shared" si="4"/>
        <v>1</v>
      </c>
      <c r="AC23" s="1577">
        <f t="shared" si="5"/>
        <v>1</v>
      </c>
    </row>
    <row r="24" spans="1:29" ht="20.25">
      <c r="A24" s="533"/>
      <c r="B24" s="579"/>
      <c r="C24" s="555" t="s">
        <v>3010</v>
      </c>
      <c r="D24" s="558"/>
      <c r="E24" s="559" t="s">
        <v>3010</v>
      </c>
      <c r="F24" s="556"/>
      <c r="G24" s="557" t="s">
        <v>3010</v>
      </c>
      <c r="H24" s="556"/>
      <c r="I24" s="559" t="s">
        <v>3010</v>
      </c>
      <c r="J24" s="556"/>
      <c r="K24" s="532"/>
      <c r="L24" s="2142"/>
      <c r="M24" s="2132"/>
      <c r="N24" s="2132"/>
      <c r="O24" s="2141"/>
      <c r="P24" s="3444"/>
      <c r="Q24" s="1573"/>
      <c r="R24" s="1574"/>
      <c r="S24" s="1575"/>
      <c r="T24" s="1574"/>
      <c r="U24" s="1575"/>
      <c r="V24" s="1574"/>
      <c r="W24" s="1575"/>
      <c r="X24" s="1568"/>
      <c r="Y24" s="3444"/>
      <c r="Z24" s="1576"/>
      <c r="AA24" s="1577">
        <v>1</v>
      </c>
      <c r="AB24" s="1577">
        <v>1</v>
      </c>
      <c r="AC24" s="1577">
        <v>1</v>
      </c>
    </row>
    <row r="25" spans="1:29" ht="27">
      <c r="A25" s="516"/>
      <c r="B25" s="257" t="s">
        <v>545</v>
      </c>
      <c r="C25" s="574" t="str">
        <f>估价对象房地状况!C19</f>
        <v>较好</v>
      </c>
      <c r="D25" s="564">
        <v>100</v>
      </c>
      <c r="E25" s="3180" t="s">
        <v>3027</v>
      </c>
      <c r="F25" s="566">
        <f>SUMIF(98:98,E26,99:99)-SUMIF(98:98,C26,99:99)+100</f>
        <v>100</v>
      </c>
      <c r="G25" s="3181" t="s">
        <v>3027</v>
      </c>
      <c r="H25" s="560">
        <f>SUMIF(98:98,G26,99:99)-SUMIF(98:98,C26,99:99)+100</f>
        <v>100</v>
      </c>
      <c r="I25" s="3180" t="s">
        <v>3027</v>
      </c>
      <c r="J25" s="560">
        <f>SUMIF(98:98,I26,99:99)-SUMIF(98:98,C26,99:99)+100</f>
        <v>100</v>
      </c>
      <c r="K25" s="536"/>
      <c r="L25" s="2142"/>
      <c r="M25" s="2132"/>
      <c r="N25" s="2132"/>
      <c r="O25" s="2141"/>
      <c r="P25" s="3444"/>
      <c r="Q25" s="1573" t="str">
        <f t="shared" ref="Q25:Q39" si="8">B25</f>
        <v>区域土地利用方向</v>
      </c>
      <c r="R25" s="1574" t="s">
        <v>8</v>
      </c>
      <c r="S25" s="1575">
        <f>F25</f>
        <v>100</v>
      </c>
      <c r="T25" s="1574" t="s">
        <v>8</v>
      </c>
      <c r="U25" s="1575">
        <f>H25</f>
        <v>100</v>
      </c>
      <c r="V25" s="1574" t="s">
        <v>8</v>
      </c>
      <c r="W25" s="1575">
        <f>J25</f>
        <v>100</v>
      </c>
      <c r="X25" s="1568"/>
      <c r="Y25" s="3444"/>
      <c r="Z25" s="1576" t="str">
        <f>Q25</f>
        <v>区域土地利用方向</v>
      </c>
      <c r="AA25" s="1577">
        <f t="shared" si="3"/>
        <v>1</v>
      </c>
      <c r="AB25" s="1577">
        <f t="shared" si="4"/>
        <v>1</v>
      </c>
      <c r="AC25" s="1577">
        <f t="shared" si="5"/>
        <v>1</v>
      </c>
    </row>
    <row r="26" spans="1:29" ht="20.25">
      <c r="A26" s="516"/>
      <c r="B26" s="1008"/>
      <c r="C26" s="555" t="s">
        <v>3010</v>
      </c>
      <c r="D26" s="558"/>
      <c r="E26" s="559" t="s">
        <v>3010</v>
      </c>
      <c r="F26" s="556"/>
      <c r="G26" s="557" t="s">
        <v>3010</v>
      </c>
      <c r="H26" s="556"/>
      <c r="I26" s="559" t="s">
        <v>3010</v>
      </c>
      <c r="J26" s="556"/>
      <c r="K26" s="532"/>
      <c r="L26" s="2142"/>
      <c r="M26" s="2132"/>
      <c r="N26" s="2132"/>
      <c r="O26" s="2141"/>
      <c r="P26" s="3444"/>
      <c r="Q26" s="1573"/>
      <c r="R26" s="1574"/>
      <c r="S26" s="1575"/>
      <c r="T26" s="1574"/>
      <c r="U26" s="1575"/>
      <c r="V26" s="1574"/>
      <c r="W26" s="1575"/>
      <c r="X26" s="1568"/>
      <c r="Y26" s="3444"/>
      <c r="Z26" s="1576"/>
      <c r="AA26" s="1577"/>
      <c r="AB26" s="1577"/>
      <c r="AC26" s="1577"/>
    </row>
    <row r="27" spans="1:29" ht="42.75">
      <c r="A27" s="516"/>
      <c r="B27" s="579" t="s">
        <v>546</v>
      </c>
      <c r="C27" s="562" t="str">
        <f>估价对象房地状况!C20</f>
        <v>区域内无特殊自然环境及大学，综合评价环境状况一般</v>
      </c>
      <c r="D27" s="564">
        <v>100</v>
      </c>
      <c r="E27" s="3180"/>
      <c r="F27" s="560">
        <f>SUMIF(100:100,E28,101:101)-SUMIF(100:100,C28,101:101)+100</f>
        <v>100</v>
      </c>
      <c r="G27" s="3181"/>
      <c r="H27" s="560">
        <f>SUMIF(100:100,G28,101:101)-SUMIF(100:100,C28,101:101)+100</f>
        <v>100</v>
      </c>
      <c r="I27" s="3180"/>
      <c r="J27" s="560">
        <f>SUMIF(100:100,I28,101:101)-SUMIF(100:100,C28,101:101)+100</f>
        <v>100</v>
      </c>
      <c r="K27" s="536">
        <v>2</v>
      </c>
      <c r="L27" s="2142"/>
      <c r="M27" s="2132"/>
      <c r="N27" s="2132"/>
      <c r="O27" s="2141"/>
      <c r="P27" s="3444"/>
      <c r="Q27" s="1573" t="str">
        <f t="shared" si="8"/>
        <v>自然及人文环境状况</v>
      </c>
      <c r="R27" s="1574" t="s">
        <v>8</v>
      </c>
      <c r="S27" s="1575">
        <f>F27</f>
        <v>100</v>
      </c>
      <c r="T27" s="1574" t="s">
        <v>8</v>
      </c>
      <c r="U27" s="1575">
        <f>H27</f>
        <v>100</v>
      </c>
      <c r="V27" s="1574" t="s">
        <v>8</v>
      </c>
      <c r="W27" s="1575">
        <f>J27</f>
        <v>100</v>
      </c>
      <c r="X27" s="1568"/>
      <c r="Y27" s="3444"/>
      <c r="Z27" s="1576" t="str">
        <f>Q27</f>
        <v>自然及人文环境状况</v>
      </c>
      <c r="AA27" s="1577">
        <f t="shared" si="3"/>
        <v>1</v>
      </c>
      <c r="AB27" s="1577">
        <f t="shared" si="4"/>
        <v>1</v>
      </c>
      <c r="AC27" s="1577">
        <f t="shared" si="5"/>
        <v>1</v>
      </c>
    </row>
    <row r="28" spans="1:29" ht="20.25">
      <c r="A28" s="516"/>
      <c r="B28" s="567"/>
      <c r="C28" s="555" t="s">
        <v>3122</v>
      </c>
      <c r="D28" s="558"/>
      <c r="E28" s="577" t="s">
        <v>3122</v>
      </c>
      <c r="F28" s="556"/>
      <c r="G28" s="555" t="s">
        <v>3122</v>
      </c>
      <c r="H28" s="556"/>
      <c r="I28" s="577" t="s">
        <v>3122</v>
      </c>
      <c r="J28" s="556"/>
      <c r="K28" s="532"/>
      <c r="L28" s="2142"/>
      <c r="M28" s="2132"/>
      <c r="N28" s="2132"/>
      <c r="O28" s="2141"/>
      <c r="P28" s="3444"/>
      <c r="Q28" s="1573"/>
      <c r="R28" s="1574"/>
      <c r="S28" s="1575"/>
      <c r="T28" s="1574"/>
      <c r="U28" s="1575"/>
      <c r="V28" s="1574"/>
      <c r="W28" s="1575"/>
      <c r="X28" s="1568"/>
      <c r="Y28" s="3444"/>
      <c r="Z28" s="1576"/>
      <c r="AA28" s="1577">
        <v>1</v>
      </c>
      <c r="AB28" s="1577">
        <v>1</v>
      </c>
      <c r="AC28" s="1577">
        <v>1</v>
      </c>
    </row>
    <row r="29" spans="1:29" s="1221" customFormat="1" ht="85.5">
      <c r="A29" s="578"/>
      <c r="B29" s="2615" t="s">
        <v>2552</v>
      </c>
      <c r="C29" s="574" t="str">
        <f>估价对象房地状况!C21</f>
        <v>估价对象所在区域有农业银行、龙跃财富广场、八里台第一小学、天津津南新华医院，公共配套设施较好</v>
      </c>
      <c r="D29" s="564">
        <v>100</v>
      </c>
      <c r="E29" s="3180"/>
      <c r="F29" s="560">
        <f>SUMIF(102:102,E30,103:103)-SUMIF(102:102,C30,103:103)+100</f>
        <v>100</v>
      </c>
      <c r="G29" s="3181"/>
      <c r="H29" s="560">
        <f>SUMIF(102:102,G30,103:103)-SUMIF(102:102,C30,103:103)+100</f>
        <v>100</v>
      </c>
      <c r="I29" s="3180"/>
      <c r="J29" s="560">
        <f>SUMIF(102:102,I30,103:103)-SUMIF(102:102,C30,103:103)+100</f>
        <v>100</v>
      </c>
      <c r="K29" s="536">
        <v>2</v>
      </c>
      <c r="L29" s="2135"/>
      <c r="M29" s="2132"/>
      <c r="N29" s="2132"/>
      <c r="O29" s="2137"/>
      <c r="P29" s="3444"/>
      <c r="Q29" s="1152" t="str">
        <f t="shared" si="8"/>
        <v>公共配套设施</v>
      </c>
      <c r="R29" s="1569" t="s">
        <v>8</v>
      </c>
      <c r="S29" s="1570">
        <f>F29</f>
        <v>100</v>
      </c>
      <c r="T29" s="1569" t="s">
        <v>8</v>
      </c>
      <c r="U29" s="1570">
        <f>H29</f>
        <v>100</v>
      </c>
      <c r="V29" s="1569" t="s">
        <v>8</v>
      </c>
      <c r="W29" s="1570">
        <f>J29</f>
        <v>100</v>
      </c>
      <c r="X29" s="1571"/>
      <c r="Y29" s="3444"/>
      <c r="Z29" s="1151" t="str">
        <f>Q29</f>
        <v>公共配套设施</v>
      </c>
      <c r="AA29" s="1577">
        <f>D29/F29</f>
        <v>1</v>
      </c>
      <c r="AB29" s="1577">
        <f>D29/H29</f>
        <v>1</v>
      </c>
      <c r="AC29" s="1577">
        <f>D29/J29</f>
        <v>1</v>
      </c>
    </row>
    <row r="30" spans="1:29" s="1221" customFormat="1" ht="20.25">
      <c r="A30" s="578"/>
      <c r="B30" s="567"/>
      <c r="C30" s="580" t="s">
        <v>3010</v>
      </c>
      <c r="D30" s="558"/>
      <c r="E30" s="577" t="s">
        <v>3010</v>
      </c>
      <c r="F30" s="556"/>
      <c r="G30" s="555" t="s">
        <v>3010</v>
      </c>
      <c r="H30" s="556"/>
      <c r="I30" s="577" t="s">
        <v>3010</v>
      </c>
      <c r="J30" s="556"/>
      <c r="K30" s="532"/>
      <c r="L30" s="2135"/>
      <c r="M30" s="2132"/>
      <c r="N30" s="2132"/>
      <c r="O30" s="2137"/>
      <c r="P30" s="3444"/>
      <c r="Q30" s="1152"/>
      <c r="R30" s="1569"/>
      <c r="S30" s="1570"/>
      <c r="T30" s="1569"/>
      <c r="U30" s="1570"/>
      <c r="V30" s="1569"/>
      <c r="W30" s="1570"/>
      <c r="X30" s="1571"/>
      <c r="Y30" s="3444"/>
      <c r="Z30" s="1151"/>
      <c r="AA30" s="1577">
        <v>1</v>
      </c>
      <c r="AB30" s="1577">
        <v>1</v>
      </c>
      <c r="AC30" s="1577">
        <v>1</v>
      </c>
    </row>
    <row r="31" spans="1:29" s="1221" customFormat="1" ht="20.25">
      <c r="A31" s="578"/>
      <c r="B31" s="2615" t="s">
        <v>2553</v>
      </c>
      <c r="C31" s="574" t="str">
        <f>估价对象房地状况!C22</f>
        <v>七通一平</v>
      </c>
      <c r="D31" s="564">
        <v>100</v>
      </c>
      <c r="E31" s="3180" t="s">
        <v>3176</v>
      </c>
      <c r="F31" s="560">
        <f>SUMIF(104:104,E32,105:105)-SUMIF(104:104,C32,105:105)+100</f>
        <v>100</v>
      </c>
      <c r="G31" s="3180" t="s">
        <v>3176</v>
      </c>
      <c r="H31" s="560">
        <f>SUMIF(104:104,G32,105:105)-SUMIF(104:104,C32,105:105)+100</f>
        <v>100</v>
      </c>
      <c r="I31" s="3180" t="s">
        <v>3176</v>
      </c>
      <c r="J31" s="560">
        <f>SUMIF(104:104,I32,105:105)-SUMIF(104:104,C32,105:105)+100</f>
        <v>100</v>
      </c>
      <c r="K31" s="536"/>
      <c r="L31" s="2135"/>
      <c r="M31" s="2132"/>
      <c r="N31" s="2132"/>
      <c r="O31" s="2137"/>
      <c r="P31" s="3444"/>
      <c r="Q31" s="2602" t="str">
        <f t="shared" ref="Q31" si="9">B31</f>
        <v>基础设施水平</v>
      </c>
      <c r="R31" s="1569" t="s">
        <v>8</v>
      </c>
      <c r="S31" s="1570">
        <f>F31</f>
        <v>100</v>
      </c>
      <c r="T31" s="1569" t="s">
        <v>8</v>
      </c>
      <c r="U31" s="1570">
        <f>H31</f>
        <v>100</v>
      </c>
      <c r="V31" s="1569" t="s">
        <v>8</v>
      </c>
      <c r="W31" s="1570">
        <f>J31</f>
        <v>100</v>
      </c>
      <c r="X31" s="1571"/>
      <c r="Y31" s="3444"/>
      <c r="Z31" s="2599" t="str">
        <f>Q31</f>
        <v>基础设施水平</v>
      </c>
      <c r="AA31" s="1577">
        <f>D31/F31</f>
        <v>1</v>
      </c>
      <c r="AB31" s="1577">
        <f>D31/H31</f>
        <v>1</v>
      </c>
      <c r="AC31" s="1577">
        <f>D31/J31</f>
        <v>1</v>
      </c>
    </row>
    <row r="32" spans="1:29" s="1221" customFormat="1" ht="20.25">
      <c r="A32" s="578"/>
      <c r="B32" s="567"/>
      <c r="C32" s="580" t="s">
        <v>3134</v>
      </c>
      <c r="D32" s="558"/>
      <c r="E32" s="2616" t="s">
        <v>3134</v>
      </c>
      <c r="F32" s="556"/>
      <c r="G32" s="580" t="s">
        <v>3134</v>
      </c>
      <c r="H32" s="556"/>
      <c r="I32" s="580" t="s">
        <v>3134</v>
      </c>
      <c r="J32" s="556"/>
      <c r="K32" s="532"/>
      <c r="L32" s="2135"/>
      <c r="M32" s="2132"/>
      <c r="N32" s="2132"/>
      <c r="O32" s="2137"/>
      <c r="P32" s="3444"/>
      <c r="Q32" s="2602"/>
      <c r="R32" s="1569"/>
      <c r="S32" s="1570"/>
      <c r="T32" s="1569"/>
      <c r="U32" s="1570"/>
      <c r="V32" s="1569"/>
      <c r="W32" s="1570"/>
      <c r="X32" s="1571"/>
      <c r="Y32" s="3444"/>
      <c r="Z32" s="2599"/>
      <c r="AA32" s="1577">
        <v>1</v>
      </c>
      <c r="AB32" s="1577">
        <v>1</v>
      </c>
      <c r="AC32" s="1577">
        <v>1</v>
      </c>
    </row>
    <row r="33" spans="1:29" ht="20.25">
      <c r="A33" s="533"/>
      <c r="B33" s="567" t="s">
        <v>548</v>
      </c>
      <c r="C33" s="581" t="s">
        <v>3177</v>
      </c>
      <c r="D33" s="576">
        <v>100</v>
      </c>
      <c r="E33" s="584" t="s">
        <v>3177</v>
      </c>
      <c r="F33" s="541">
        <f>SUMIF(106:106,E33,107:107)-SUMIF(106:106,C33,107:107)+100</f>
        <v>100</v>
      </c>
      <c r="G33" s="581" t="s">
        <v>3177</v>
      </c>
      <c r="H33" s="541">
        <f>SUMIF(106:106,G33,107:107)-SUMIF(106:106,C33,107:107)+100</f>
        <v>100</v>
      </c>
      <c r="I33" s="581" t="s">
        <v>3177</v>
      </c>
      <c r="J33" s="541">
        <f>SUMIF(106:106,I33,107:107)-SUMIF(106:106,C33,107:107)+100</f>
        <v>100</v>
      </c>
      <c r="K33" s="536"/>
      <c r="L33" s="2142"/>
      <c r="M33" s="2132"/>
      <c r="N33" s="2132"/>
      <c r="O33" s="2141"/>
      <c r="P33" s="344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4"/>
      <c r="Z33" s="1576" t="str">
        <f t="shared" ref="Z33:Z47" si="13">Q33</f>
        <v>临街状况</v>
      </c>
      <c r="AA33" s="1577">
        <f t="shared" si="3"/>
        <v>1</v>
      </c>
      <c r="AB33" s="1577">
        <f t="shared" si="4"/>
        <v>1</v>
      </c>
      <c r="AC33" s="1577">
        <f t="shared" si="5"/>
        <v>1</v>
      </c>
    </row>
    <row r="34" spans="1:29" ht="27">
      <c r="A34" s="533"/>
      <c r="B34" s="579" t="s">
        <v>549</v>
      </c>
      <c r="C34" s="563"/>
      <c r="D34" s="564">
        <v>100</v>
      </c>
      <c r="E34" s="3180"/>
      <c r="F34" s="560">
        <f>SUMIF(108:108,E35,109:109)-SUMIF(108:108,C35,109:109)+100</f>
        <v>100</v>
      </c>
      <c r="G34" s="3181"/>
      <c r="H34" s="560">
        <f>SUMIF(108:108,G35,109:109)-SUMIF(108:108,C35,109:109)+100</f>
        <v>100</v>
      </c>
      <c r="I34" s="565"/>
      <c r="J34" s="560">
        <f>SUMIF(108:108,I35,109:109)-SUMIF(108:108,C35,109:109)+100</f>
        <v>100</v>
      </c>
      <c r="K34" s="536">
        <v>2</v>
      </c>
      <c r="L34" s="2142"/>
      <c r="M34" s="2132"/>
      <c r="N34" s="2132"/>
      <c r="O34" s="2141"/>
      <c r="P34" s="3444"/>
      <c r="Q34" s="1573" t="str">
        <f t="shared" si="8"/>
        <v>毗邻道路的类型与等级</v>
      </c>
      <c r="R34" s="1574" t="s">
        <v>8</v>
      </c>
      <c r="S34" s="1575">
        <f t="shared" si="10"/>
        <v>100</v>
      </c>
      <c r="T34" s="1574" t="s">
        <v>8</v>
      </c>
      <c r="U34" s="1575">
        <f t="shared" si="11"/>
        <v>100</v>
      </c>
      <c r="V34" s="1574" t="s">
        <v>8</v>
      </c>
      <c r="W34" s="1575">
        <f t="shared" si="12"/>
        <v>100</v>
      </c>
      <c r="X34" s="1568"/>
      <c r="Y34" s="3444"/>
      <c r="Z34" s="1576" t="str">
        <f t="shared" si="13"/>
        <v>毗邻道路的类型与等级</v>
      </c>
      <c r="AA34" s="1577">
        <f t="shared" si="3"/>
        <v>1</v>
      </c>
      <c r="AB34" s="1577">
        <f t="shared" si="4"/>
        <v>1</v>
      </c>
      <c r="AC34" s="1577">
        <f t="shared" si="5"/>
        <v>1</v>
      </c>
    </row>
    <row r="35" spans="1:29" ht="21" thickBot="1">
      <c r="A35" s="533"/>
      <c r="B35" s="567"/>
      <c r="C35" s="555" t="s">
        <v>3178</v>
      </c>
      <c r="D35" s="558"/>
      <c r="E35" s="577" t="s">
        <v>3178</v>
      </c>
      <c r="F35" s="556"/>
      <c r="G35" s="555" t="s">
        <v>3178</v>
      </c>
      <c r="H35" s="556"/>
      <c r="I35" s="577" t="s">
        <v>3178</v>
      </c>
      <c r="J35" s="556"/>
      <c r="K35" s="582"/>
      <c r="L35" s="2142"/>
      <c r="M35" s="2132"/>
      <c r="N35" s="2132"/>
      <c r="O35" s="2141"/>
      <c r="P35" s="3444"/>
      <c r="Q35" s="1573"/>
      <c r="R35" s="1574"/>
      <c r="S35" s="1575"/>
      <c r="T35" s="1574"/>
      <c r="U35" s="1575"/>
      <c r="V35" s="1574"/>
      <c r="W35" s="1575"/>
      <c r="X35" s="1568"/>
      <c r="Y35" s="3444"/>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2"/>
      <c r="M36" s="2132"/>
      <c r="N36" s="2132"/>
      <c r="O36" s="2141"/>
      <c r="P36" s="3444"/>
      <c r="Q36" s="1573" t="str">
        <f t="shared" si="8"/>
        <v>土地级别</v>
      </c>
      <c r="R36" s="1574" t="s">
        <v>8</v>
      </c>
      <c r="S36" s="1575">
        <f t="shared" si="10"/>
        <v>100</v>
      </c>
      <c r="T36" s="1574" t="s">
        <v>8</v>
      </c>
      <c r="U36" s="1575">
        <f t="shared" si="11"/>
        <v>100</v>
      </c>
      <c r="V36" s="1574" t="s">
        <v>8</v>
      </c>
      <c r="W36" s="1575">
        <f t="shared" si="12"/>
        <v>100</v>
      </c>
      <c r="X36" s="1568"/>
      <c r="Y36" s="3444"/>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2"/>
      <c r="M37" s="2132"/>
      <c r="N37" s="2132"/>
      <c r="O37" s="2141"/>
      <c r="P37" s="3444"/>
      <c r="Q37" s="1573">
        <f t="shared" si="8"/>
        <v>111</v>
      </c>
      <c r="R37" s="1574" t="s">
        <v>8</v>
      </c>
      <c r="S37" s="1575">
        <f t="shared" si="10"/>
        <v>100</v>
      </c>
      <c r="T37" s="1574" t="s">
        <v>8</v>
      </c>
      <c r="U37" s="1575">
        <f t="shared" si="11"/>
        <v>100</v>
      </c>
      <c r="V37" s="1574" t="s">
        <v>8</v>
      </c>
      <c r="W37" s="1575">
        <f t="shared" si="12"/>
        <v>100</v>
      </c>
      <c r="X37" s="1568"/>
      <c r="Y37" s="3444"/>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2"/>
      <c r="M38" s="2132"/>
      <c r="N38" s="2132"/>
      <c r="O38" s="2141"/>
      <c r="P38" s="3445" t="s">
        <v>551</v>
      </c>
      <c r="Q38" s="1573">
        <f t="shared" si="8"/>
        <v>111</v>
      </c>
      <c r="R38" s="1574" t="s">
        <v>8</v>
      </c>
      <c r="S38" s="1575">
        <f t="shared" si="10"/>
        <v>100</v>
      </c>
      <c r="T38" s="1574" t="s">
        <v>8</v>
      </c>
      <c r="U38" s="1575">
        <f t="shared" si="11"/>
        <v>100</v>
      </c>
      <c r="V38" s="1574" t="s">
        <v>8</v>
      </c>
      <c r="W38" s="1575">
        <f t="shared" si="12"/>
        <v>100</v>
      </c>
      <c r="X38" s="1568"/>
      <c r="Y38" s="3446"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0"/>
      <c r="M39" s="2132"/>
      <c r="N39" s="2132"/>
      <c r="O39" s="2143"/>
      <c r="P39" s="3446"/>
      <c r="Q39" s="1573">
        <f t="shared" si="8"/>
        <v>111</v>
      </c>
      <c r="R39" s="1578" t="s">
        <v>8</v>
      </c>
      <c r="S39" s="1579">
        <f t="shared" si="10"/>
        <v>100</v>
      </c>
      <c r="T39" s="1578" t="s">
        <v>8</v>
      </c>
      <c r="U39" s="1579">
        <f t="shared" si="11"/>
        <v>100</v>
      </c>
      <c r="V39" s="1578" t="s">
        <v>8</v>
      </c>
      <c r="W39" s="1579">
        <f t="shared" si="12"/>
        <v>100</v>
      </c>
      <c r="X39" s="1580"/>
      <c r="Y39" s="3446"/>
      <c r="Z39" s="1581">
        <f t="shared" si="13"/>
        <v>111</v>
      </c>
      <c r="AA39" s="1577">
        <f t="shared" si="3"/>
        <v>1</v>
      </c>
      <c r="AB39" s="1577">
        <f t="shared" si="4"/>
        <v>1</v>
      </c>
      <c r="AC39" s="1577">
        <f t="shared" si="5"/>
        <v>1</v>
      </c>
    </row>
    <row r="40" spans="1:29" ht="20.25">
      <c r="A40" s="2933" t="s">
        <v>2761</v>
      </c>
      <c r="B40" s="596" t="s">
        <v>553</v>
      </c>
      <c r="C40" s="597">
        <f>'数据-基础表'!A3</f>
        <v>163507.1</v>
      </c>
      <c r="D40" s="598">
        <v>100</v>
      </c>
      <c r="E40" s="597">
        <f>土地案例!D2</f>
        <v>62024</v>
      </c>
      <c r="F40" s="598">
        <f>LOOKUP(E40,119:119,120:120)-LOOKUP(C40,119:119,120:120)+100</f>
        <v>98</v>
      </c>
      <c r="G40" s="597">
        <f>土地案例!D4</f>
        <v>79346.2</v>
      </c>
      <c r="H40" s="598">
        <f>LOOKUP(G40,119:119,120:120)-LOOKUP(C40,119:119,120:120)+100</f>
        <v>98</v>
      </c>
      <c r="I40" s="599">
        <f>土地案例!D5</f>
        <v>45436.7</v>
      </c>
      <c r="J40" s="598">
        <f>LOOKUP(I40,119:119,120:120)-LOOKUP(C40,119:119,120:120)+100</f>
        <v>97</v>
      </c>
      <c r="K40" s="582"/>
      <c r="L40" s="2142"/>
      <c r="M40" s="2132"/>
      <c r="N40" s="2132"/>
      <c r="O40" s="2141"/>
      <c r="P40" s="3446"/>
      <c r="Q40" s="1573" t="str">
        <f>B40</f>
        <v>宗地面积</v>
      </c>
      <c r="R40" s="1574" t="s">
        <v>8</v>
      </c>
      <c r="S40" s="1575">
        <f t="shared" si="10"/>
        <v>98</v>
      </c>
      <c r="T40" s="1574" t="s">
        <v>8</v>
      </c>
      <c r="U40" s="1575">
        <f t="shared" si="11"/>
        <v>98</v>
      </c>
      <c r="V40" s="1574" t="s">
        <v>8</v>
      </c>
      <c r="W40" s="1575">
        <f t="shared" si="12"/>
        <v>97</v>
      </c>
      <c r="X40" s="1568"/>
      <c r="Y40" s="3446"/>
      <c r="Z40" s="1576" t="str">
        <f t="shared" si="13"/>
        <v>宗地面积</v>
      </c>
      <c r="AA40" s="1577">
        <f t="shared" si="3"/>
        <v>1.0204081632653061</v>
      </c>
      <c r="AB40" s="1577">
        <f t="shared" si="4"/>
        <v>1.0204081632653061</v>
      </c>
      <c r="AC40" s="1577">
        <f t="shared" si="5"/>
        <v>1.0309278350515463</v>
      </c>
    </row>
    <row r="41" spans="1:29" ht="20.25">
      <c r="A41" s="595"/>
      <c r="B41" s="528" t="s">
        <v>554</v>
      </c>
      <c r="C41" s="3189" t="s">
        <v>3021</v>
      </c>
      <c r="D41" s="541">
        <v>100</v>
      </c>
      <c r="E41" s="600" t="s">
        <v>3021</v>
      </c>
      <c r="F41" s="541">
        <f>SUMIF(121:121,E41,122:122)-SUMIF(121:121,C41,122:122)+100</f>
        <v>100</v>
      </c>
      <c r="G41" s="600" t="s">
        <v>3021</v>
      </c>
      <c r="H41" s="541">
        <f>SUMIF(121:121,G41,122:122)-SUMIF(121:121,C41,122:122)+100</f>
        <v>100</v>
      </c>
      <c r="I41" s="600" t="s">
        <v>3021</v>
      </c>
      <c r="J41" s="541">
        <f>SUMIF(121:121,I41,122:122)-SUMIF(121:121,C41,122:122)+100</f>
        <v>100</v>
      </c>
      <c r="K41" s="585">
        <v>2</v>
      </c>
      <c r="L41" s="2142"/>
      <c r="M41" s="2132"/>
      <c r="N41" s="2132"/>
      <c r="O41" s="2141"/>
      <c r="P41" s="3446"/>
      <c r="Q41" s="1573" t="str">
        <f t="shared" ref="Q41:Q47" si="14">B41</f>
        <v>宗地形状</v>
      </c>
      <c r="R41" s="1574" t="s">
        <v>8</v>
      </c>
      <c r="S41" s="1575">
        <f t="shared" si="10"/>
        <v>100</v>
      </c>
      <c r="T41" s="1574" t="s">
        <v>8</v>
      </c>
      <c r="U41" s="1575">
        <f t="shared" si="11"/>
        <v>100</v>
      </c>
      <c r="V41" s="1574" t="s">
        <v>8</v>
      </c>
      <c r="W41" s="1575">
        <f t="shared" si="12"/>
        <v>100</v>
      </c>
      <c r="X41" s="1568"/>
      <c r="Y41" s="3446"/>
      <c r="Z41" s="1576" t="str">
        <f t="shared" si="13"/>
        <v>宗地形状</v>
      </c>
      <c r="AA41" s="1577">
        <f t="shared" si="3"/>
        <v>1</v>
      </c>
      <c r="AB41" s="1577">
        <f t="shared" si="4"/>
        <v>1</v>
      </c>
      <c r="AC41" s="1577">
        <f t="shared" si="5"/>
        <v>1</v>
      </c>
    </row>
    <row r="42" spans="1:29" ht="20.25">
      <c r="A42" s="595"/>
      <c r="B42" s="528" t="s">
        <v>555</v>
      </c>
      <c r="C42" s="3189" t="s">
        <v>3010</v>
      </c>
      <c r="D42" s="541">
        <v>100</v>
      </c>
      <c r="E42" s="600" t="s">
        <v>3010</v>
      </c>
      <c r="F42" s="541">
        <f>SUMIF(123:123,E42,124:124)-SUMIF(123:123,C42,124:124)+100</f>
        <v>100</v>
      </c>
      <c r="G42" s="600" t="s">
        <v>3010</v>
      </c>
      <c r="H42" s="541">
        <f>SUMIF(123:123,G42,124:124)-SUMIF(123:123,C42,124:124)+100</f>
        <v>100</v>
      </c>
      <c r="I42" s="600" t="s">
        <v>3010</v>
      </c>
      <c r="J42" s="541">
        <f>SUMIF(123:123,I42,124:124)-SUMIF(123:123,C42,124:124)+100</f>
        <v>100</v>
      </c>
      <c r="K42" s="585">
        <v>2</v>
      </c>
      <c r="L42" s="2142"/>
      <c r="M42" s="2132"/>
      <c r="N42" s="2132"/>
      <c r="O42" s="2141"/>
      <c r="P42" s="3446"/>
      <c r="Q42" s="1573" t="str">
        <f t="shared" si="14"/>
        <v>临街宽度及深度</v>
      </c>
      <c r="R42" s="1574" t="s">
        <v>8</v>
      </c>
      <c r="S42" s="1575">
        <f t="shared" si="10"/>
        <v>100</v>
      </c>
      <c r="T42" s="1574" t="s">
        <v>8</v>
      </c>
      <c r="U42" s="1575">
        <f t="shared" si="11"/>
        <v>100</v>
      </c>
      <c r="V42" s="1574" t="s">
        <v>8</v>
      </c>
      <c r="W42" s="1575">
        <f t="shared" si="12"/>
        <v>100</v>
      </c>
      <c r="X42" s="1568"/>
      <c r="Y42" s="3446"/>
      <c r="Z42" s="1576" t="str">
        <f t="shared" si="13"/>
        <v>临街宽度及深度</v>
      </c>
      <c r="AA42" s="1577">
        <f t="shared" si="3"/>
        <v>1</v>
      </c>
      <c r="AB42" s="1577">
        <f t="shared" si="4"/>
        <v>1</v>
      </c>
      <c r="AC42" s="1577">
        <f t="shared" si="5"/>
        <v>1</v>
      </c>
    </row>
    <row r="43" spans="1:29" s="1221" customFormat="1" ht="20.25">
      <c r="A43" s="601"/>
      <c r="B43" s="1895" t="s">
        <v>2426</v>
      </c>
      <c r="C43" s="884" t="s">
        <v>3134</v>
      </c>
      <c r="D43" s="253">
        <v>100</v>
      </c>
      <c r="E43" s="602" t="s">
        <v>3195</v>
      </c>
      <c r="F43" s="541">
        <f>SUMIF(125:125,E43,126:126)-SUMIF(125:125,C43,126:126)+100</f>
        <v>96</v>
      </c>
      <c r="G43" s="602" t="s">
        <v>3195</v>
      </c>
      <c r="H43" s="541">
        <f>SUMIF(125:125,G43,126:126)-SUMIF(125:125,C43,126:126)+100</f>
        <v>96</v>
      </c>
      <c r="I43" s="602" t="s">
        <v>3195</v>
      </c>
      <c r="J43" s="541">
        <f>SUMIF(125:125,I43,126:126)-SUMIF(125:125,C43,126:126)+100</f>
        <v>96</v>
      </c>
      <c r="K43" s="585">
        <v>1</v>
      </c>
      <c r="L43" s="2135"/>
      <c r="M43" s="2132"/>
      <c r="N43" s="2132"/>
      <c r="O43" s="2137"/>
      <c r="P43" s="3446"/>
      <c r="Q43" s="1573" t="str">
        <f t="shared" si="14"/>
        <v>宗地开发程度</v>
      </c>
      <c r="R43" s="1569" t="s">
        <v>8</v>
      </c>
      <c r="S43" s="1570">
        <f t="shared" si="10"/>
        <v>96</v>
      </c>
      <c r="T43" s="1569" t="s">
        <v>8</v>
      </c>
      <c r="U43" s="1570">
        <f t="shared" si="11"/>
        <v>96</v>
      </c>
      <c r="V43" s="1569" t="s">
        <v>8</v>
      </c>
      <c r="W43" s="1570">
        <f t="shared" si="12"/>
        <v>96</v>
      </c>
      <c r="X43" s="1571"/>
      <c r="Y43" s="3446"/>
      <c r="Z43" s="1151" t="str">
        <f t="shared" si="13"/>
        <v>宗地开发程度</v>
      </c>
      <c r="AA43" s="1572">
        <f t="shared" si="3"/>
        <v>1.0416666666666667</v>
      </c>
      <c r="AB43" s="1572">
        <f t="shared" si="4"/>
        <v>1.0416666666666667</v>
      </c>
      <c r="AC43" s="1572">
        <f t="shared" si="5"/>
        <v>1.0416666666666667</v>
      </c>
    </row>
    <row r="44" spans="1:29" ht="21" thickBot="1">
      <c r="A44" s="595"/>
      <c r="B44" s="528" t="s">
        <v>556</v>
      </c>
      <c r="C44" s="3189" t="s">
        <v>3010</v>
      </c>
      <c r="D44" s="541">
        <v>100</v>
      </c>
      <c r="E44" s="600" t="s">
        <v>3010</v>
      </c>
      <c r="F44" s="541">
        <f>SUMIF(127:127,E44,128:128)-SUMIF(127:127,C44,128:128)+100</f>
        <v>100</v>
      </c>
      <c r="G44" s="600" t="s">
        <v>3010</v>
      </c>
      <c r="H44" s="541">
        <f>SUMIF(127:127,G44,128:128)-SUMIF(127:127,C44,128:128)+100</f>
        <v>100</v>
      </c>
      <c r="I44" s="600" t="s">
        <v>3010</v>
      </c>
      <c r="J44" s="541">
        <f>SUMIF(127:127,I44,128:128)-SUMIF(127:127,C44,128:128)+100</f>
        <v>100</v>
      </c>
      <c r="K44" s="585">
        <v>2</v>
      </c>
      <c r="L44" s="2142"/>
      <c r="M44" s="2132"/>
      <c r="N44" s="2132"/>
      <c r="O44" s="2141"/>
      <c r="P44" s="3446" t="s">
        <v>551</v>
      </c>
      <c r="Q44" s="1573" t="str">
        <f t="shared" si="14"/>
        <v>工程地质条件</v>
      </c>
      <c r="R44" s="1574" t="s">
        <v>8</v>
      </c>
      <c r="S44" s="1575">
        <f t="shared" si="10"/>
        <v>100</v>
      </c>
      <c r="T44" s="1574" t="s">
        <v>8</v>
      </c>
      <c r="U44" s="1575">
        <f t="shared" si="11"/>
        <v>100</v>
      </c>
      <c r="V44" s="1574" t="s">
        <v>8</v>
      </c>
      <c r="W44" s="1575">
        <f t="shared" si="12"/>
        <v>100</v>
      </c>
      <c r="X44" s="1568"/>
      <c r="Y44" s="3446"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2"/>
      <c r="M45" s="2132"/>
      <c r="N45" s="2132"/>
      <c r="O45" s="2141"/>
      <c r="P45" s="3446"/>
      <c r="Q45" s="1573">
        <f t="shared" si="14"/>
        <v>111</v>
      </c>
      <c r="R45" s="1574" t="s">
        <v>8</v>
      </c>
      <c r="S45" s="1575">
        <f t="shared" si="10"/>
        <v>100</v>
      </c>
      <c r="T45" s="1574" t="s">
        <v>8</v>
      </c>
      <c r="U45" s="1575">
        <f t="shared" si="11"/>
        <v>100</v>
      </c>
      <c r="V45" s="1574" t="s">
        <v>8</v>
      </c>
      <c r="W45" s="1575">
        <f t="shared" si="12"/>
        <v>100</v>
      </c>
      <c r="X45" s="1568"/>
      <c r="Y45" s="3446"/>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2"/>
      <c r="M46" s="2132"/>
      <c r="N46" s="2132"/>
      <c r="O46" s="2141"/>
      <c r="P46" s="3446"/>
      <c r="Q46" s="1573">
        <f t="shared" si="14"/>
        <v>111</v>
      </c>
      <c r="R46" s="1574" t="s">
        <v>8</v>
      </c>
      <c r="S46" s="1575">
        <f t="shared" si="10"/>
        <v>100</v>
      </c>
      <c r="T46" s="1574" t="s">
        <v>8</v>
      </c>
      <c r="U46" s="1575">
        <f t="shared" si="11"/>
        <v>100</v>
      </c>
      <c r="V46" s="1574" t="s">
        <v>8</v>
      </c>
      <c r="W46" s="1575">
        <f t="shared" si="12"/>
        <v>100</v>
      </c>
      <c r="X46" s="1568"/>
      <c r="Y46" s="3446"/>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0"/>
      <c r="M47" s="2132"/>
      <c r="N47" s="2132"/>
      <c r="O47" s="2143"/>
      <c r="P47" s="3446"/>
      <c r="Q47" s="1573">
        <f t="shared" si="14"/>
        <v>111</v>
      </c>
      <c r="R47" s="1578" t="s">
        <v>8</v>
      </c>
      <c r="S47" s="1579">
        <f t="shared" si="10"/>
        <v>100</v>
      </c>
      <c r="T47" s="1578" t="s">
        <v>8</v>
      </c>
      <c r="U47" s="1579">
        <f t="shared" si="11"/>
        <v>100</v>
      </c>
      <c r="V47" s="1578" t="s">
        <v>8</v>
      </c>
      <c r="W47" s="1579">
        <f t="shared" si="12"/>
        <v>100</v>
      </c>
      <c r="X47" s="1580"/>
      <c r="Y47" s="3446"/>
      <c r="Z47" s="1581">
        <f t="shared" si="13"/>
        <v>111</v>
      </c>
      <c r="AA47" s="1577">
        <f t="shared" si="3"/>
        <v>1</v>
      </c>
      <c r="AB47" s="1577">
        <f t="shared" si="4"/>
        <v>1</v>
      </c>
      <c r="AC47" s="1577">
        <f t="shared" si="5"/>
        <v>1</v>
      </c>
    </row>
    <row r="48" spans="1:29" ht="20.25">
      <c r="A48" s="608" t="s">
        <v>557</v>
      </c>
      <c r="B48" s="609" t="s">
        <v>3016</v>
      </c>
      <c r="C48" s="610" t="s">
        <v>1</v>
      </c>
      <c r="D48" s="611"/>
      <c r="E48" s="3230">
        <f>ROUND(土地案例!K2,0)</f>
        <v>13033</v>
      </c>
      <c r="F48" s="613"/>
      <c r="G48" s="3231">
        <f>ROUND(土地案例!K4,0)</f>
        <v>13916</v>
      </c>
      <c r="H48" s="615"/>
      <c r="I48" s="3230">
        <f>ROUND(土地案例!K5,0)</f>
        <v>13902</v>
      </c>
      <c r="J48" s="615"/>
      <c r="K48" s="1341"/>
      <c r="L48" s="2144"/>
      <c r="M48" s="2132"/>
      <c r="N48" s="2132"/>
      <c r="O48" s="2145"/>
      <c r="P48" s="3409" t="str">
        <f>A48</f>
        <v>成交单价</v>
      </c>
      <c r="Q48" s="3409"/>
      <c r="R48" s="3410">
        <f>E48</f>
        <v>13033</v>
      </c>
      <c r="S48" s="3410"/>
      <c r="T48" s="3410">
        <f>G48</f>
        <v>13916</v>
      </c>
      <c r="U48" s="3410"/>
      <c r="V48" s="3410">
        <f>I48</f>
        <v>13902</v>
      </c>
      <c r="W48" s="3410"/>
      <c r="X48" s="1560"/>
      <c r="Y48" s="1582"/>
      <c r="Z48" s="1560"/>
      <c r="AA48" s="1560"/>
      <c r="AB48" s="1560"/>
      <c r="AC48" s="1560"/>
    </row>
    <row r="49" spans="1:29" ht="21" thickBot="1">
      <c r="A49" s="616" t="s">
        <v>2699</v>
      </c>
      <c r="B49" s="617"/>
      <c r="C49" s="618">
        <f>R50</f>
        <v>14250</v>
      </c>
      <c r="D49" s="619"/>
      <c r="E49" s="618">
        <f>R49</f>
        <v>13450</v>
      </c>
      <c r="F49" s="620"/>
      <c r="G49" s="621">
        <f>T49</f>
        <v>14507</v>
      </c>
      <c r="H49" s="619"/>
      <c r="I49" s="618">
        <f>V49</f>
        <v>14793</v>
      </c>
      <c r="J49" s="619"/>
      <c r="K49" s="1342"/>
      <c r="L49" s="2144"/>
      <c r="M49" s="2132"/>
      <c r="N49" s="2132"/>
      <c r="O49" s="2145"/>
      <c r="P49" s="3409" t="str">
        <f>A49</f>
        <v>比较价格（元/平方米）</v>
      </c>
      <c r="Q49" s="3409"/>
      <c r="R49" s="3411">
        <f>ROUND(PRODUCT(R48,AA9:AA47),0)</f>
        <v>13450</v>
      </c>
      <c r="S49" s="3411"/>
      <c r="T49" s="3411">
        <f>ROUND(PRODUCT(T48,AB9:AB47),0)</f>
        <v>14507</v>
      </c>
      <c r="U49" s="3411"/>
      <c r="V49" s="3411">
        <f>ROUND(PRODUCT(V48,AC9:AC47),0)</f>
        <v>14793</v>
      </c>
      <c r="W49" s="3411"/>
      <c r="X49" s="1560"/>
      <c r="Y49" s="1560"/>
      <c r="Z49" s="1560"/>
      <c r="AA49" s="1560"/>
      <c r="AB49" s="1560"/>
      <c r="AC49" s="1560"/>
    </row>
    <row r="50" spans="1:29" ht="21" thickBot="1">
      <c r="A50" s="622" t="s">
        <v>2934</v>
      </c>
      <c r="B50" s="623"/>
      <c r="C50" s="624">
        <f>R50</f>
        <v>14250</v>
      </c>
      <c r="D50" s="624"/>
      <c r="E50" s="624"/>
      <c r="F50" s="624"/>
      <c r="G50" s="624"/>
      <c r="H50" s="624"/>
      <c r="I50" s="624"/>
      <c r="J50" s="624"/>
      <c r="K50" s="1343"/>
      <c r="L50" s="2144"/>
      <c r="M50" s="2132"/>
      <c r="N50" s="2132"/>
      <c r="O50" s="2145"/>
      <c r="P50" s="3406" t="str">
        <f>A50</f>
        <v>估价对象XX用房的比较价格（楼面单价，元/平方米）</v>
      </c>
      <c r="Q50" s="3407"/>
      <c r="R50" s="3408">
        <f>ROUND(AVERAGE(R49:V49),0)</f>
        <v>14250</v>
      </c>
      <c r="S50" s="3408"/>
      <c r="T50" s="3408"/>
      <c r="U50" s="3408"/>
      <c r="V50" s="3408"/>
      <c r="W50" s="340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f>IF(E48&lt;E49,E49/E48-1,E48/E49-1)</f>
        <v>3.1995703214916071E-2</v>
      </c>
      <c r="F53" s="628" t="str">
        <f>IF(OR(E53&gt;=0.3,E53&lt;=-0.3),"超过30%","")</f>
        <v/>
      </c>
      <c r="G53" s="627">
        <f>IF(G48&lt;G49,G49/G48-1,G48/G49-1)</f>
        <v>4.2469100316182784E-2</v>
      </c>
      <c r="H53" s="628" t="str">
        <f>IF(OR(G53&gt;=0.3,G53&lt;=-0.3),"超过30%","")</f>
        <v/>
      </c>
      <c r="I53" s="627">
        <f>IF(I48&lt;I49,I49/I48-1,I48/I49-1)</f>
        <v>6.4091497626240779E-2</v>
      </c>
      <c r="J53" s="628"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f>IF(E49&lt;G49,G49/E49-1,E49/G49-1)</f>
        <v>7.8587360594795541E-2</v>
      </c>
      <c r="F54" s="628" t="str">
        <f>IF(OR(E54&gt;=0.2,E54&lt;=-0.2),"超过20%","")</f>
        <v/>
      </c>
      <c r="G54" s="627">
        <f>IF(G49&lt;I49,I49/G49-1,G49/I49-1)</f>
        <v>1.9714620528020976E-2</v>
      </c>
      <c r="H54" s="628" t="str">
        <f>IF(OR(G54&gt;=0.2,G54&lt;=-0.2),"超过20%","")</f>
        <v/>
      </c>
      <c r="I54" s="627">
        <f>IF(I49&lt;E49,E49/I49-1,I49/E49-1)</f>
        <v>9.9851301115241542E-2</v>
      </c>
      <c r="J54" s="628"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f>IF(E48&lt;G48,G48/E48-1,E48/G48-1)</f>
        <v>6.7751093378347171E-2</v>
      </c>
      <c r="F55" s="628" t="str">
        <f>IF(OR(E55&gt;=0.3,E55&lt;=-0.3),"超过30%","")</f>
        <v/>
      </c>
      <c r="G55" s="627">
        <f>IF(G48&lt;I48,I48/G48-1,G48/I48-1)</f>
        <v>1.0070493454179541E-3</v>
      </c>
      <c r="H55" s="628" t="str">
        <f>IF(OR(G55&gt;=0.3,G55&lt;=-0.3),"超过30%","")</f>
        <v/>
      </c>
      <c r="I55" s="627">
        <f>IF(I48&lt;E48,E48/I48-1,I48/E48-1)</f>
        <v>6.6676897107342814E-2</v>
      </c>
      <c r="J55" s="628"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6"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30" t="s">
        <v>561</v>
      </c>
      <c r="B57" s="631" t="s">
        <v>562</v>
      </c>
      <c r="C57" s="1561" t="s">
        <v>1725</v>
      </c>
      <c r="D57" s="2227" t="s">
        <v>2294</v>
      </c>
      <c r="E57" s="632" t="s">
        <v>563</v>
      </c>
      <c r="F57" s="633" t="s">
        <v>564</v>
      </c>
      <c r="G57" s="3435" t="s">
        <v>2282</v>
      </c>
      <c r="H57" s="3436"/>
      <c r="I57" s="1556" t="s">
        <v>1723</v>
      </c>
      <c r="J57" s="1556" t="str">
        <f>项目基本情况!F41</f>
        <v>天津市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7" customFormat="1" ht="12.75">
      <c r="A58" s="634" t="s">
        <v>565</v>
      </c>
      <c r="B58" s="635">
        <f>C50</f>
        <v>14250</v>
      </c>
      <c r="C58" s="636">
        <v>1</v>
      </c>
      <c r="D58" s="2228">
        <v>1</v>
      </c>
      <c r="E58" s="636">
        <f>'数据-汇总表'!E8+'数据-汇总表'!E9</f>
        <v>195612.12</v>
      </c>
      <c r="F58" s="637">
        <f t="shared" ref="F58:F67" si="15">ROUND(B58*E58/10000,0)</f>
        <v>278747</v>
      </c>
      <c r="G58" s="3437"/>
      <c r="H58" s="3438"/>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566</v>
      </c>
      <c r="B59" s="639">
        <f>ROUND($C$50*C59*D59,0)</f>
        <v>0</v>
      </c>
      <c r="C59" s="379">
        <f t="shared" ref="C59:C67" si="16">IF($C$57="北京市系数",I59,J59)</f>
        <v>0</v>
      </c>
      <c r="D59" s="2229">
        <v>0.25</v>
      </c>
      <c r="E59" s="640">
        <v>0</v>
      </c>
      <c r="F59" s="637">
        <f t="shared" si="15"/>
        <v>0</v>
      </c>
      <c r="G59" s="3439"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567</v>
      </c>
      <c r="B60" s="639">
        <f t="shared" ref="B60:B67" si="17">ROUND($C$50*C60*D60,0)</f>
        <v>0</v>
      </c>
      <c r="C60" s="379">
        <f t="shared" si="16"/>
        <v>0</v>
      </c>
      <c r="D60" s="2229">
        <v>0.25</v>
      </c>
      <c r="E60" s="640">
        <v>0</v>
      </c>
      <c r="F60" s="637">
        <f t="shared" si="15"/>
        <v>0</v>
      </c>
      <c r="G60" s="3439"/>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568</v>
      </c>
      <c r="B61" s="639">
        <f t="shared" si="17"/>
        <v>0</v>
      </c>
      <c r="C61" s="379">
        <f t="shared" si="16"/>
        <v>0</v>
      </c>
      <c r="D61" s="2229">
        <v>0.25</v>
      </c>
      <c r="E61" s="640">
        <v>0</v>
      </c>
      <c r="F61" s="637">
        <f t="shared" si="15"/>
        <v>0</v>
      </c>
      <c r="G61" s="3439"/>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2.75">
      <c r="A62" s="638" t="s">
        <v>569</v>
      </c>
      <c r="B62" s="639">
        <f t="shared" si="17"/>
        <v>0</v>
      </c>
      <c r="C62" s="379">
        <f t="shared" si="16"/>
        <v>0</v>
      </c>
      <c r="D62" s="2229">
        <v>0.25</v>
      </c>
      <c r="E62" s="640">
        <v>0</v>
      </c>
      <c r="F62" s="637">
        <f t="shared" si="15"/>
        <v>0</v>
      </c>
      <c r="G62" s="3439"/>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2.75">
      <c r="A63" s="2331" t="s">
        <v>2329</v>
      </c>
      <c r="B63" s="639">
        <f t="shared" si="17"/>
        <v>0</v>
      </c>
      <c r="C63" s="379">
        <f t="shared" si="16"/>
        <v>0</v>
      </c>
      <c r="D63" s="2229">
        <v>0.25</v>
      </c>
      <c r="E63" s="642">
        <f>'数据-汇总表'!E11</f>
        <v>0</v>
      </c>
      <c r="F63" s="637">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7" customFormat="1" ht="12.75">
      <c r="A64" s="638" t="s">
        <v>570</v>
      </c>
      <c r="B64" s="639">
        <f t="shared" si="17"/>
        <v>0</v>
      </c>
      <c r="C64" s="379">
        <f t="shared" si="16"/>
        <v>0</v>
      </c>
      <c r="D64" s="2229">
        <v>0.25</v>
      </c>
      <c r="E64" s="642">
        <f>'数据-汇总表'!E12</f>
        <v>0</v>
      </c>
      <c r="F64" s="637">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7" customFormat="1" ht="12.75">
      <c r="A65" s="638" t="s">
        <v>571</v>
      </c>
      <c r="B65" s="639">
        <f t="shared" si="17"/>
        <v>0</v>
      </c>
      <c r="C65" s="379">
        <f t="shared" si="16"/>
        <v>0</v>
      </c>
      <c r="D65" s="2229">
        <v>0.25</v>
      </c>
      <c r="E65" s="642">
        <f>'数据-汇总表'!E13</f>
        <v>50960</v>
      </c>
      <c r="F65" s="637">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7" customFormat="1" ht="12.75">
      <c r="A66" s="638" t="s">
        <v>572</v>
      </c>
      <c r="B66" s="639">
        <f t="shared" si="17"/>
        <v>0</v>
      </c>
      <c r="C66" s="379">
        <f t="shared" si="16"/>
        <v>0</v>
      </c>
      <c r="D66" s="2229">
        <v>0.25</v>
      </c>
      <c r="E66" s="642">
        <f>'数据-汇总表'!E14</f>
        <v>0</v>
      </c>
      <c r="F66" s="637">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7" customFormat="1" ht="13.5" thickBot="1">
      <c r="A67" s="638" t="s">
        <v>573</v>
      </c>
      <c r="B67" s="639">
        <f t="shared" si="17"/>
        <v>0</v>
      </c>
      <c r="C67" s="379">
        <f t="shared" si="16"/>
        <v>0</v>
      </c>
      <c r="D67" s="2229">
        <v>0.25</v>
      </c>
      <c r="E67" s="642">
        <f>'数据-汇总表'!E15</f>
        <v>0</v>
      </c>
      <c r="F67" s="637">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7" customFormat="1" ht="13.5" thickBot="1">
      <c r="A68" s="643" t="s">
        <v>574</v>
      </c>
      <c r="B68" s="644" t="s">
        <v>17</v>
      </c>
      <c r="C68" s="644" t="s">
        <v>18</v>
      </c>
      <c r="D68" s="644" t="s">
        <v>2295</v>
      </c>
      <c r="E68" s="644">
        <f>IF(B48="楼面地价",SUM(E58:E67),'数据-汇总表'!D3)</f>
        <v>246572.12</v>
      </c>
      <c r="F68" s="645">
        <f>IF(B48="楼面地价",SUM(F58:F67),ROUND(C50*E68/10000,0))</f>
        <v>278747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8" customFormat="1" ht="15">
      <c r="A72" s="2592" t="s">
        <v>2536</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1" customFormat="1" ht="27" customHeight="1">
      <c r="A73" s="2832" t="s">
        <v>2653</v>
      </c>
      <c r="B73" s="480" t="str">
        <f>"北京市平均增长率"&amp;TEXT(SUMIF(基准地价!N21:N25,A73,基准地价!P21:P25),"0.00%")</f>
        <v>北京市平均增长率2.49%</v>
      </c>
      <c r="C73" s="895">
        <v>100</v>
      </c>
      <c r="D73" s="731">
        <v>99</v>
      </c>
      <c r="E73" s="731">
        <v>98</v>
      </c>
      <c r="F73" s="731">
        <v>97</v>
      </c>
      <c r="G73" s="731">
        <v>96</v>
      </c>
      <c r="H73" s="731">
        <v>95</v>
      </c>
      <c r="I73" s="731">
        <v>94</v>
      </c>
      <c r="J73" s="731">
        <v>93</v>
      </c>
      <c r="K73" s="731">
        <v>92</v>
      </c>
      <c r="L73" s="731">
        <v>91</v>
      </c>
      <c r="M73" s="2818">
        <v>90</v>
      </c>
      <c r="N73" s="2819"/>
      <c r="O73" s="2162"/>
      <c r="P73" s="2158"/>
      <c r="Q73" s="1993"/>
      <c r="R73" s="1993"/>
      <c r="S73" s="1993"/>
      <c r="T73" s="1993"/>
      <c r="U73" s="1993"/>
      <c r="V73" s="1993"/>
      <c r="W73" s="1993"/>
      <c r="X73" s="1993"/>
      <c r="Y73" s="1993"/>
      <c r="Z73" s="1993"/>
      <c r="AA73" s="1993"/>
      <c r="AB73" s="1993"/>
      <c r="AC73" s="1993"/>
    </row>
    <row r="74" spans="1:29" s="1221" customFormat="1" ht="15" customHeight="1" thickBot="1">
      <c r="A74" s="2822" t="s">
        <v>2652</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1" customFormat="1" ht="15">
      <c r="A75" s="660" t="s">
        <v>532</v>
      </c>
      <c r="B75" s="649"/>
      <c r="C75" s="661" t="s">
        <v>577</v>
      </c>
      <c r="D75" s="662"/>
      <c r="E75" s="662"/>
      <c r="F75" s="662"/>
      <c r="G75" s="662"/>
      <c r="H75" s="662"/>
      <c r="I75" s="662"/>
      <c r="J75" s="662"/>
      <c r="K75" s="662"/>
      <c r="L75" s="663"/>
      <c r="M75" s="664"/>
      <c r="N75" s="2162"/>
      <c r="O75" s="2162"/>
      <c r="P75" s="2163"/>
      <c r="Q75" s="2158"/>
      <c r="R75" s="1993"/>
      <c r="S75" s="1993"/>
      <c r="T75" s="1993"/>
      <c r="U75" s="1993"/>
      <c r="V75" s="1993"/>
      <c r="W75" s="1993"/>
      <c r="X75" s="1993"/>
      <c r="Y75" s="1993"/>
      <c r="Z75" s="1993"/>
      <c r="AA75" s="1993"/>
      <c r="AB75" s="1993"/>
      <c r="AC75" s="1993"/>
    </row>
    <row r="76" spans="1:29" s="1221" customFormat="1" ht="15.75" thickBot="1">
      <c r="A76" s="660"/>
      <c r="B76" s="649"/>
      <c r="C76" s="650">
        <v>100</v>
      </c>
      <c r="D76" s="651"/>
      <c r="E76" s="651"/>
      <c r="F76" s="651"/>
      <c r="G76" s="651"/>
      <c r="H76" s="651"/>
      <c r="I76" s="651"/>
      <c r="J76" s="651"/>
      <c r="K76" s="651"/>
      <c r="L76" s="651"/>
      <c r="M76" s="653"/>
      <c r="N76" s="2162"/>
      <c r="O76" s="2162"/>
      <c r="P76" s="2158"/>
      <c r="Q76" s="2158"/>
      <c r="R76" s="1993"/>
      <c r="S76" s="1993"/>
      <c r="T76" s="1993"/>
      <c r="U76" s="1993"/>
      <c r="V76" s="1993"/>
      <c r="W76" s="1993"/>
      <c r="X76" s="1993"/>
      <c r="Y76" s="1993"/>
      <c r="Z76" s="1993"/>
      <c r="AA76" s="1993"/>
      <c r="AB76" s="1993"/>
      <c r="AC76" s="1993"/>
    </row>
    <row r="77" spans="1:29">
      <c r="A77" s="665" t="s">
        <v>578</v>
      </c>
      <c r="B77" s="666" t="s">
        <v>535</v>
      </c>
      <c r="C77" s="3179" t="s">
        <v>3081</v>
      </c>
      <c r="D77" s="59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72"/>
      <c r="D78" s="672"/>
      <c r="E78" s="672"/>
      <c r="F78" s="672"/>
      <c r="G78" s="672"/>
      <c r="H78" s="672"/>
      <c r="I78" s="672"/>
      <c r="J78" s="672"/>
      <c r="K78" s="672"/>
      <c r="L78" s="672"/>
      <c r="M78" s="673"/>
      <c r="N78" s="2166"/>
      <c r="O78" s="2166"/>
      <c r="P78" s="2165"/>
      <c r="Q78" s="2158"/>
      <c r="R78" s="2145"/>
      <c r="S78" s="2145"/>
      <c r="T78" s="2145"/>
      <c r="U78" s="2145"/>
      <c r="V78" s="2145"/>
      <c r="W78" s="2145"/>
      <c r="X78" s="2145"/>
      <c r="Y78" s="2145"/>
      <c r="Z78" s="2145"/>
      <c r="AA78" s="2145"/>
      <c r="AB78" s="2145"/>
      <c r="AC78" s="2145"/>
    </row>
    <row r="79" spans="1:29" ht="27.75" thickTop="1">
      <c r="A79" s="670"/>
      <c r="B79" s="674" t="s">
        <v>538</v>
      </c>
      <c r="C79" s="675"/>
      <c r="D79" s="675"/>
      <c r="E79" s="675"/>
      <c r="F79" s="675"/>
      <c r="G79" s="675"/>
      <c r="H79" s="675"/>
      <c r="I79" s="675"/>
      <c r="J79" s="675"/>
      <c r="K79" s="676"/>
      <c r="L79" s="677"/>
      <c r="M79" s="678"/>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c r="D80" s="680"/>
      <c r="E80" s="680"/>
      <c r="F80" s="680"/>
      <c r="G80" s="680"/>
      <c r="H80" s="680"/>
      <c r="I80" s="680"/>
      <c r="J80" s="680"/>
      <c r="K80" s="680"/>
      <c r="L80" s="680"/>
      <c r="M80" s="681"/>
      <c r="N80" s="2166"/>
      <c r="O80" s="2166"/>
      <c r="P80" s="2165"/>
      <c r="Q80" s="2158"/>
      <c r="R80" s="2145"/>
      <c r="S80" s="2145"/>
      <c r="T80" s="2145"/>
      <c r="U80" s="2145"/>
      <c r="V80" s="2145"/>
      <c r="W80" s="2145"/>
      <c r="X80" s="2145"/>
      <c r="Y80" s="2145"/>
      <c r="Z80" s="2145"/>
      <c r="AA80" s="2145"/>
      <c r="AB80" s="2145"/>
      <c r="AC80" s="2145"/>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0"/>
      <c r="B82" s="684"/>
      <c r="C82" s="542">
        <v>0</v>
      </c>
      <c r="D82" s="542">
        <v>1</v>
      </c>
      <c r="E82" s="542">
        <v>2</v>
      </c>
      <c r="F82" s="542">
        <v>3</v>
      </c>
      <c r="G82" s="542">
        <v>4</v>
      </c>
      <c r="H82" s="542">
        <v>5</v>
      </c>
      <c r="I82" s="542"/>
      <c r="J82" s="542"/>
      <c r="K82" s="685"/>
      <c r="L82" s="686"/>
      <c r="M82" s="687"/>
      <c r="N82" s="2164"/>
      <c r="O82" s="2164"/>
      <c r="P82" s="2165"/>
      <c r="Q82" s="2158"/>
      <c r="R82" s="2145"/>
      <c r="S82" s="2145"/>
      <c r="T82" s="2145"/>
      <c r="U82" s="2145"/>
      <c r="V82" s="2145"/>
      <c r="W82" s="2145"/>
      <c r="X82" s="2145"/>
      <c r="Y82" s="2145"/>
      <c r="Z82" s="2145"/>
      <c r="AA82" s="2145"/>
      <c r="AB82" s="2145"/>
      <c r="AC82" s="2145"/>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6"/>
      <c r="O83" s="2166"/>
      <c r="P83" s="2165"/>
      <c r="Q83" s="2158"/>
      <c r="R83" s="2145"/>
      <c r="S83" s="2145"/>
      <c r="T83" s="2145"/>
      <c r="U83" s="2145"/>
      <c r="V83" s="2145"/>
      <c r="W83" s="2145"/>
      <c r="X83" s="2145"/>
      <c r="Y83" s="2145"/>
      <c r="Z83" s="2145"/>
      <c r="AA83" s="2145"/>
      <c r="AB83" s="2145"/>
      <c r="AC83" s="2145"/>
    </row>
    <row r="84" spans="1:29" s="1340" customFormat="1" ht="15.75" thickTop="1">
      <c r="A84" s="688"/>
      <c r="B84" s="674" t="str">
        <f>B14</f>
        <v>配建</v>
      </c>
      <c r="C84" s="689"/>
      <c r="D84" s="1376"/>
      <c r="E84" s="1377"/>
      <c r="F84" s="689"/>
      <c r="G84" s="689"/>
      <c r="H84" s="690"/>
      <c r="I84" s="690"/>
      <c r="J84" s="690"/>
      <c r="K84" s="690"/>
      <c r="L84" s="691"/>
      <c r="M84" s="6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6"/>
      <c r="O85" s="2166"/>
      <c r="P85" s="2168"/>
      <c r="Q85" s="2169"/>
      <c r="R85" s="2170"/>
      <c r="S85" s="2170"/>
      <c r="T85" s="2170"/>
      <c r="U85" s="2170"/>
      <c r="V85" s="2170"/>
      <c r="W85" s="2170"/>
      <c r="X85" s="2170"/>
      <c r="Y85" s="2170"/>
      <c r="Z85" s="2170"/>
      <c r="AA85" s="2170"/>
      <c r="AB85" s="2170"/>
      <c r="AC85" s="2170"/>
    </row>
    <row r="86" spans="1:29" s="1340" customFormat="1" ht="15.75" thickTop="1">
      <c r="A86" s="688"/>
      <c r="B86" s="674">
        <f>B15</f>
        <v>111</v>
      </c>
      <c r="C86" s="689"/>
      <c r="D86" s="689"/>
      <c r="E86" s="689"/>
      <c r="F86" s="689"/>
      <c r="G86" s="689"/>
      <c r="H86" s="690"/>
      <c r="I86" s="690"/>
      <c r="J86" s="690"/>
      <c r="K86" s="690"/>
      <c r="L86" s="691"/>
      <c r="M86" s="692"/>
      <c r="N86" s="2167"/>
      <c r="O86" s="2167"/>
      <c r="P86" s="2171"/>
      <c r="Q86" s="2172"/>
      <c r="R86" s="2170"/>
      <c r="S86" s="2170"/>
      <c r="T86" s="2170"/>
      <c r="U86" s="2170"/>
      <c r="V86" s="2170"/>
      <c r="W86" s="2170"/>
      <c r="X86" s="2170"/>
      <c r="Y86" s="2170"/>
      <c r="Z86" s="2170"/>
      <c r="AA86" s="2170"/>
      <c r="AB86" s="2170"/>
      <c r="AC86" s="2170"/>
    </row>
    <row r="87" spans="1:29" s="1340" customFormat="1" ht="15.75" thickBot="1">
      <c r="A87" s="688"/>
      <c r="B87" s="679"/>
      <c r="C87" s="693"/>
      <c r="D87" s="693"/>
      <c r="E87" s="693"/>
      <c r="F87" s="693"/>
      <c r="G87" s="693"/>
      <c r="H87" s="694"/>
      <c r="I87" s="694"/>
      <c r="J87" s="694"/>
      <c r="K87" s="694"/>
      <c r="L87" s="694"/>
      <c r="M87" s="695"/>
      <c r="N87" s="2167"/>
      <c r="O87" s="2167"/>
      <c r="P87" s="2168"/>
      <c r="Q87" s="2169"/>
      <c r="R87" s="2170"/>
      <c r="S87" s="2170"/>
      <c r="T87" s="2170"/>
      <c r="U87" s="2170"/>
      <c r="V87" s="2170"/>
      <c r="W87" s="2170"/>
      <c r="X87" s="2170"/>
      <c r="Y87" s="2170"/>
      <c r="Z87" s="2170"/>
      <c r="AA87" s="2170"/>
      <c r="AB87" s="2170"/>
      <c r="AC87" s="2170"/>
    </row>
    <row r="88" spans="1:29" s="1340" customFormat="1" ht="15.75" thickTop="1">
      <c r="A88" s="688"/>
      <c r="B88" s="682">
        <f>B16</f>
        <v>111</v>
      </c>
      <c r="C88" s="662"/>
      <c r="D88" s="662"/>
      <c r="E88" s="662"/>
      <c r="F88" s="662"/>
      <c r="G88" s="662"/>
      <c r="H88" s="696"/>
      <c r="I88" s="696"/>
      <c r="J88" s="696"/>
      <c r="K88" s="696"/>
      <c r="L88" s="697"/>
      <c r="M88" s="698"/>
      <c r="N88" s="2167"/>
      <c r="O88" s="2167"/>
      <c r="P88" s="2173"/>
      <c r="Q88" s="2169"/>
      <c r="R88" s="2170"/>
      <c r="S88" s="2170"/>
      <c r="T88" s="2170"/>
      <c r="U88" s="2170"/>
      <c r="V88" s="2170"/>
      <c r="W88" s="2170"/>
      <c r="X88" s="2170"/>
      <c r="Y88" s="2170"/>
      <c r="Z88" s="2170"/>
      <c r="AA88" s="2170"/>
      <c r="AB88" s="2170"/>
      <c r="AC88" s="2170"/>
    </row>
    <row r="89" spans="1:29" s="1340" customFormat="1" ht="15.75" thickBot="1">
      <c r="A89" s="699"/>
      <c r="B89" s="700"/>
      <c r="C89" s="701"/>
      <c r="D89" s="701"/>
      <c r="E89" s="701"/>
      <c r="F89" s="701"/>
      <c r="G89" s="701"/>
      <c r="H89" s="702"/>
      <c r="I89" s="702"/>
      <c r="J89" s="702"/>
      <c r="K89" s="702"/>
      <c r="L89" s="702"/>
      <c r="M89" s="703"/>
      <c r="N89" s="2167"/>
      <c r="O89" s="2167"/>
      <c r="P89" s="2168"/>
      <c r="Q89" s="2169"/>
      <c r="R89" s="2170"/>
      <c r="S89" s="2170"/>
      <c r="T89" s="2170"/>
      <c r="U89" s="2170"/>
      <c r="V89" s="2170"/>
      <c r="W89" s="2170"/>
      <c r="X89" s="2170"/>
      <c r="Y89" s="2170"/>
      <c r="Z89" s="2170"/>
      <c r="AA89" s="2170"/>
      <c r="AB89" s="2170"/>
      <c r="AC89" s="2170"/>
    </row>
    <row r="90" spans="1:29">
      <c r="A90" s="665" t="s">
        <v>540</v>
      </c>
      <c r="B90" s="666" t="s">
        <v>579</v>
      </c>
      <c r="C90" s="704" t="s">
        <v>580</v>
      </c>
      <c r="D90" s="704" t="s">
        <v>581</v>
      </c>
      <c r="E90" s="704" t="s">
        <v>582</v>
      </c>
      <c r="F90" s="704" t="s">
        <v>583</v>
      </c>
      <c r="G90" s="704" t="s">
        <v>584</v>
      </c>
      <c r="H90" s="705"/>
      <c r="I90" s="705"/>
      <c r="J90" s="705"/>
      <c r="K90" s="706"/>
      <c r="L90" s="707"/>
      <c r="M90" s="708"/>
      <c r="N90" s="2164"/>
      <c r="O90" s="2164"/>
      <c r="P90" s="2174"/>
      <c r="Q90" s="2158"/>
      <c r="R90" s="2145"/>
      <c r="S90" s="2145"/>
      <c r="T90" s="2145"/>
      <c r="U90" s="2145"/>
      <c r="V90" s="2145"/>
      <c r="W90" s="2145"/>
      <c r="X90" s="2145"/>
      <c r="Y90" s="2145"/>
      <c r="Z90" s="2145"/>
      <c r="AA90" s="2145"/>
      <c r="AB90" s="2145"/>
      <c r="AC90" s="2145"/>
    </row>
    <row r="91" spans="1:29" ht="15.75" thickBot="1">
      <c r="A91" s="670"/>
      <c r="B91" s="679"/>
      <c r="C91" s="680">
        <v>100</v>
      </c>
      <c r="D91" s="680">
        <f>C91-$K17</f>
        <v>98</v>
      </c>
      <c r="E91" s="680">
        <f>D91-$K17</f>
        <v>96</v>
      </c>
      <c r="F91" s="680">
        <f>E91-$K17</f>
        <v>94</v>
      </c>
      <c r="G91" s="680">
        <f>F91-$K17</f>
        <v>92</v>
      </c>
      <c r="H91" s="680"/>
      <c r="I91" s="680"/>
      <c r="J91" s="680"/>
      <c r="K91" s="680"/>
      <c r="L91" s="680"/>
      <c r="M91" s="681"/>
      <c r="N91" s="2166"/>
      <c r="O91" s="2166"/>
      <c r="P91" s="2165"/>
      <c r="Q91" s="2158"/>
      <c r="R91" s="2145"/>
      <c r="S91" s="2145"/>
      <c r="T91" s="2145"/>
      <c r="U91" s="2145"/>
      <c r="V91" s="2145"/>
      <c r="W91" s="2145"/>
      <c r="X91" s="2145"/>
      <c r="Y91" s="2145"/>
      <c r="Z91" s="2145"/>
      <c r="AA91" s="2145"/>
      <c r="AB91" s="2145"/>
      <c r="AC91" s="2145"/>
    </row>
    <row r="92" spans="1:29" ht="15.75" thickTop="1">
      <c r="A92" s="670"/>
      <c r="B92" s="674" t="s">
        <v>585</v>
      </c>
      <c r="C92" s="709" t="s">
        <v>580</v>
      </c>
      <c r="D92" s="709" t="s">
        <v>581</v>
      </c>
      <c r="E92" s="709" t="s">
        <v>582</v>
      </c>
      <c r="F92" s="709" t="s">
        <v>583</v>
      </c>
      <c r="G92" s="709" t="s">
        <v>584</v>
      </c>
      <c r="H92" s="675"/>
      <c r="I92" s="675"/>
      <c r="J92" s="675"/>
      <c r="K92" s="676"/>
      <c r="L92" s="677"/>
      <c r="M92" s="678"/>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80">
        <v>100</v>
      </c>
      <c r="D93" s="680">
        <f>C93-$K19</f>
        <v>97</v>
      </c>
      <c r="E93" s="680">
        <f>D93-$K19</f>
        <v>94</v>
      </c>
      <c r="F93" s="680">
        <f>E93-$K19</f>
        <v>91</v>
      </c>
      <c r="G93" s="680">
        <f>F93-$K19</f>
        <v>88</v>
      </c>
      <c r="H93" s="680"/>
      <c r="I93" s="680"/>
      <c r="J93" s="680"/>
      <c r="K93" s="680"/>
      <c r="L93" s="680"/>
      <c r="M93" s="681"/>
      <c r="N93" s="2166"/>
      <c r="O93" s="2166"/>
      <c r="P93" s="2165"/>
      <c r="Q93" s="2158"/>
      <c r="R93" s="2145"/>
      <c r="S93" s="2145"/>
      <c r="T93" s="2145"/>
      <c r="U93" s="2145"/>
      <c r="V93" s="2145"/>
      <c r="W93" s="2145"/>
      <c r="X93" s="2145"/>
      <c r="Y93" s="2145"/>
      <c r="Z93" s="2145"/>
      <c r="AA93" s="2145"/>
      <c r="AB93" s="2145"/>
      <c r="AC93" s="2145"/>
    </row>
    <row r="94" spans="1:29" ht="15.75" thickTop="1">
      <c r="A94" s="670"/>
      <c r="B94" s="674" t="s">
        <v>586</v>
      </c>
      <c r="C94" s="709" t="s">
        <v>580</v>
      </c>
      <c r="D94" s="709" t="s">
        <v>581</v>
      </c>
      <c r="E94" s="709" t="s">
        <v>582</v>
      </c>
      <c r="F94" s="709" t="s">
        <v>583</v>
      </c>
      <c r="G94" s="709" t="s">
        <v>584</v>
      </c>
      <c r="H94" s="675"/>
      <c r="I94" s="675"/>
      <c r="J94" s="675"/>
      <c r="K94" s="676"/>
      <c r="L94" s="677"/>
      <c r="M94" s="678"/>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80">
        <v>100</v>
      </c>
      <c r="D95" s="680">
        <f>C95-$K21</f>
        <v>98</v>
      </c>
      <c r="E95" s="680">
        <f>D95-$K21</f>
        <v>96</v>
      </c>
      <c r="F95" s="680">
        <f>E95-$K21</f>
        <v>94</v>
      </c>
      <c r="G95" s="680">
        <f>F95-$K21</f>
        <v>92</v>
      </c>
      <c r="H95" s="680"/>
      <c r="I95" s="680"/>
      <c r="J95" s="680"/>
      <c r="K95" s="680"/>
      <c r="L95" s="680"/>
      <c r="M95" s="681"/>
      <c r="N95" s="2166"/>
      <c r="O95" s="2166"/>
      <c r="P95" s="2165"/>
      <c r="Q95" s="2158"/>
      <c r="R95" s="2145"/>
      <c r="S95" s="2145"/>
      <c r="T95" s="2145"/>
      <c r="U95" s="2145"/>
      <c r="V95" s="2145"/>
      <c r="W95" s="2145"/>
      <c r="X95" s="2145"/>
      <c r="Y95" s="2145"/>
      <c r="Z95" s="2145"/>
      <c r="AA95" s="2145"/>
      <c r="AB95" s="2145"/>
      <c r="AC95" s="2145"/>
    </row>
    <row r="96" spans="1:29" ht="15.75" thickTop="1">
      <c r="A96" s="670"/>
      <c r="B96" s="674" t="s">
        <v>587</v>
      </c>
      <c r="C96" s="709" t="s">
        <v>580</v>
      </c>
      <c r="D96" s="709" t="s">
        <v>581</v>
      </c>
      <c r="E96" s="709" t="s">
        <v>582</v>
      </c>
      <c r="F96" s="709" t="s">
        <v>583</v>
      </c>
      <c r="G96" s="709" t="s">
        <v>584</v>
      </c>
      <c r="H96" s="675"/>
      <c r="I96" s="675"/>
      <c r="J96" s="675"/>
      <c r="K96" s="676"/>
      <c r="L96" s="677"/>
      <c r="M96" s="678"/>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80">
        <v>100</v>
      </c>
      <c r="D97" s="680">
        <f>C97-$K23</f>
        <v>98</v>
      </c>
      <c r="E97" s="680">
        <f>D97-$K23</f>
        <v>96</v>
      </c>
      <c r="F97" s="680">
        <f>E97-$K23</f>
        <v>94</v>
      </c>
      <c r="G97" s="680">
        <f>F97-$K23</f>
        <v>92</v>
      </c>
      <c r="H97" s="680"/>
      <c r="I97" s="680"/>
      <c r="J97" s="680"/>
      <c r="K97" s="680"/>
      <c r="L97" s="680"/>
      <c r="M97" s="681"/>
      <c r="N97" s="2166"/>
      <c r="O97" s="2166"/>
      <c r="P97" s="2165"/>
      <c r="Q97" s="2158"/>
      <c r="R97" s="2145"/>
      <c r="S97" s="2145"/>
      <c r="T97" s="2145"/>
      <c r="U97" s="2145"/>
      <c r="V97" s="2145"/>
      <c r="W97" s="2145"/>
      <c r="X97" s="2145"/>
      <c r="Y97" s="2145"/>
      <c r="Z97" s="2145"/>
      <c r="AA97" s="2145"/>
      <c r="AB97" s="2145"/>
      <c r="AC97" s="2145"/>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2"/>
      <c r="O98" s="2162"/>
      <c r="P98" s="2165"/>
      <c r="Q98" s="2158"/>
      <c r="R98" s="1993"/>
      <c r="S98" s="1993"/>
      <c r="T98" s="1993"/>
      <c r="U98" s="1993"/>
      <c r="V98" s="1993"/>
      <c r="W98" s="1993"/>
      <c r="X98" s="1993"/>
      <c r="Y98" s="1993"/>
      <c r="Z98" s="1993"/>
      <c r="AA98" s="1993"/>
      <c r="AB98" s="1993"/>
      <c r="AC98" s="1993"/>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6"/>
      <c r="O99" s="2166"/>
      <c r="P99" s="2165"/>
      <c r="Q99" s="2158"/>
      <c r="R99" s="1993"/>
      <c r="S99" s="1993"/>
      <c r="T99" s="1993"/>
      <c r="U99" s="1993"/>
      <c r="V99" s="1993"/>
      <c r="W99" s="1993"/>
      <c r="X99" s="1993"/>
      <c r="Y99" s="1993"/>
      <c r="Z99" s="1993"/>
      <c r="AA99" s="1993"/>
      <c r="AB99" s="1993"/>
      <c r="AC99" s="1993"/>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2"/>
      <c r="O100" s="2162"/>
      <c r="P100" s="2165"/>
      <c r="Q100" s="2158"/>
      <c r="R100" s="1993"/>
      <c r="S100" s="1993"/>
      <c r="T100" s="1993"/>
      <c r="U100" s="1993"/>
      <c r="V100" s="1993"/>
      <c r="W100" s="1993"/>
      <c r="X100" s="1993"/>
      <c r="Y100" s="1993"/>
      <c r="Z100" s="1993"/>
      <c r="AA100" s="1993"/>
      <c r="AB100" s="1993"/>
      <c r="AC100" s="1993"/>
    </row>
    <row r="101" spans="1:29" s="1221"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6"/>
      <c r="O101" s="2166"/>
      <c r="P101" s="2165"/>
      <c r="Q101" s="2158"/>
      <c r="R101" s="1993"/>
      <c r="S101" s="1993"/>
      <c r="T101" s="1993"/>
      <c r="U101" s="1993"/>
      <c r="V101" s="1993"/>
      <c r="W101" s="1993"/>
      <c r="X101" s="1993"/>
      <c r="Y101" s="1993"/>
      <c r="Z101" s="1993"/>
      <c r="AA101" s="1993"/>
      <c r="AB101" s="1993"/>
      <c r="AC101" s="1993"/>
    </row>
    <row r="102" spans="1:29" s="1340"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7"/>
      <c r="O102" s="2167"/>
      <c r="P102" s="2168"/>
      <c r="Q102" s="2169"/>
      <c r="R102" s="2170"/>
      <c r="S102" s="2170"/>
      <c r="T102" s="2170"/>
      <c r="U102" s="2170"/>
      <c r="V102" s="2170"/>
      <c r="W102" s="2170"/>
      <c r="X102" s="2170"/>
      <c r="Y102" s="2170"/>
      <c r="Z102" s="2170"/>
      <c r="AA102" s="2170"/>
      <c r="AB102" s="2170"/>
      <c r="AC102" s="2170"/>
    </row>
    <row r="103" spans="1:29" s="1340"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Top="1">
      <c r="A104" s="688"/>
      <c r="B104" s="2621" t="s">
        <v>2554</v>
      </c>
      <c r="C104" s="2622" t="s">
        <v>2555</v>
      </c>
      <c r="D104" s="2622" t="s">
        <v>2556</v>
      </c>
      <c r="E104" s="2622" t="s">
        <v>2557</v>
      </c>
      <c r="F104" s="2622" t="s">
        <v>2558</v>
      </c>
      <c r="G104" s="2622" t="s">
        <v>2559</v>
      </c>
      <c r="H104" s="714"/>
      <c r="I104" s="714"/>
      <c r="J104" s="714"/>
      <c r="K104" s="714"/>
      <c r="L104" s="714"/>
      <c r="M104" s="716"/>
      <c r="N104" s="2167"/>
      <c r="O104" s="2167"/>
      <c r="P104" s="2168"/>
      <c r="Q104" s="2169"/>
      <c r="R104" s="2170"/>
      <c r="S104" s="2170"/>
      <c r="T104" s="2170"/>
      <c r="U104" s="2170"/>
      <c r="V104" s="2170"/>
      <c r="W104" s="2170"/>
      <c r="X104" s="2170"/>
      <c r="Y104" s="2170"/>
      <c r="Z104" s="2170"/>
      <c r="AA104" s="2170"/>
      <c r="AB104" s="2170"/>
      <c r="AC104" s="2170"/>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4"/>
      <c r="O106" s="2164"/>
      <c r="P106" s="2165"/>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0"/>
      <c r="B108" s="674" t="s">
        <v>549</v>
      </c>
      <c r="C108" s="3182" t="s">
        <v>3012</v>
      </c>
      <c r="D108" s="3182" t="s">
        <v>3013</v>
      </c>
      <c r="E108" s="3182" t="s">
        <v>3019</v>
      </c>
      <c r="F108" s="689"/>
      <c r="G108" s="689"/>
      <c r="H108" s="719"/>
      <c r="I108" s="719"/>
      <c r="J108" s="719"/>
      <c r="K108" s="720"/>
      <c r="L108" s="721"/>
      <c r="M108" s="722"/>
      <c r="N108" s="2164"/>
      <c r="O108" s="2164"/>
      <c r="P108" s="2165"/>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0"/>
      <c r="B110" s="674" t="s">
        <v>550</v>
      </c>
      <c r="C110" s="719"/>
      <c r="D110" s="719"/>
      <c r="E110" s="719"/>
      <c r="F110" s="719"/>
      <c r="G110" s="719"/>
      <c r="H110" s="719"/>
      <c r="I110" s="719"/>
      <c r="J110" s="719"/>
      <c r="K110" s="720"/>
      <c r="L110" s="721"/>
      <c r="M110" s="72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0"/>
      <c r="B112" s="682">
        <f>B37</f>
        <v>111</v>
      </c>
      <c r="C112" s="689"/>
      <c r="D112" s="689"/>
      <c r="E112" s="689"/>
      <c r="F112" s="689"/>
      <c r="G112" s="723"/>
      <c r="H112" s="723"/>
      <c r="I112" s="723"/>
      <c r="J112" s="723"/>
      <c r="K112" s="724"/>
      <c r="L112" s="725"/>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700"/>
      <c r="C113" s="693"/>
      <c r="D113" s="693"/>
      <c r="E113" s="693"/>
      <c r="F113" s="693"/>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ht="15" thickTop="1">
      <c r="A114" s="588"/>
      <c r="B114" s="674">
        <f>B38</f>
        <v>111</v>
      </c>
      <c r="C114" s="662"/>
      <c r="D114" s="662"/>
      <c r="E114" s="662"/>
      <c r="F114" s="662"/>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701"/>
      <c r="D115" s="701"/>
      <c r="E115" s="701"/>
      <c r="F115" s="701"/>
      <c r="G115" s="672"/>
      <c r="H115" s="672"/>
      <c r="I115" s="672"/>
      <c r="J115" s="672"/>
      <c r="K115" s="672"/>
      <c r="L115" s="672"/>
      <c r="M115" s="673"/>
      <c r="N115" s="2166"/>
      <c r="O115" s="2166"/>
      <c r="P115" s="2165"/>
      <c r="Q115" s="2158"/>
      <c r="R115" s="2145"/>
      <c r="S115" s="2145"/>
      <c r="T115" s="2145"/>
      <c r="U115" s="2145"/>
      <c r="V115" s="2145"/>
      <c r="W115" s="2145"/>
      <c r="X115" s="2145"/>
      <c r="Y115" s="2145"/>
      <c r="Z115" s="2145"/>
      <c r="AA115" s="2145"/>
      <c r="AB115" s="2145"/>
      <c r="AC115" s="2145"/>
    </row>
    <row r="116" spans="1:29" s="1340" customFormat="1" ht="15" thickTop="1">
      <c r="A116" s="729"/>
      <c r="B116" s="730">
        <f>B39</f>
        <v>111</v>
      </c>
      <c r="C116" s="731"/>
      <c r="D116" s="731"/>
      <c r="E116" s="731"/>
      <c r="F116" s="731"/>
      <c r="G116" s="731"/>
      <c r="H116" s="731"/>
      <c r="I116" s="731"/>
      <c r="J116" s="732"/>
      <c r="K116" s="732"/>
      <c r="L116" s="733"/>
      <c r="M116" s="734"/>
      <c r="N116" s="2167"/>
      <c r="O116" s="2167"/>
      <c r="P116" s="2168"/>
      <c r="Q116" s="2169"/>
      <c r="R116" s="2170"/>
      <c r="S116" s="2170"/>
      <c r="T116" s="2170"/>
      <c r="U116" s="2170"/>
      <c r="V116" s="2170"/>
      <c r="W116" s="2170"/>
      <c r="X116" s="2170"/>
      <c r="Y116" s="2170"/>
      <c r="Z116" s="2170"/>
      <c r="AA116" s="2170"/>
      <c r="AB116" s="2170"/>
      <c r="AC116" s="2170"/>
    </row>
    <row r="117" spans="1:29" s="1340" customFormat="1" ht="15.75" thickBot="1">
      <c r="A117" s="688"/>
      <c r="B117" s="682"/>
      <c r="C117" s="651"/>
      <c r="D117" s="593"/>
      <c r="E117" s="593"/>
      <c r="F117" s="593"/>
      <c r="G117" s="593"/>
      <c r="H117" s="593"/>
      <c r="I117" s="593"/>
      <c r="J117" s="593"/>
      <c r="K117" s="593"/>
      <c r="L117" s="593"/>
      <c r="M117" s="735"/>
      <c r="N117" s="2166"/>
      <c r="O117" s="2166"/>
      <c r="P117" s="2168"/>
      <c r="Q117" s="2169"/>
      <c r="R117" s="2170"/>
      <c r="S117" s="2170"/>
      <c r="T117" s="2170"/>
      <c r="U117" s="2170"/>
      <c r="V117" s="2170"/>
      <c r="W117" s="2170"/>
      <c r="X117" s="2170"/>
      <c r="Y117" s="2170"/>
      <c r="Z117" s="2170"/>
      <c r="AA117" s="2170"/>
      <c r="AB117" s="2170"/>
      <c r="AC117" s="2170"/>
    </row>
    <row r="118" spans="1:29" ht="28.5">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v>
      </c>
      <c r="H118" s="705" t="str">
        <f t="shared" si="25"/>
        <v>(含)-</v>
      </c>
      <c r="I118" s="705"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0"/>
      <c r="B119" s="682"/>
      <c r="C119" s="731">
        <v>0</v>
      </c>
      <c r="D119" s="731">
        <v>50000</v>
      </c>
      <c r="E119" s="731">
        <v>100000</v>
      </c>
      <c r="F119" s="731">
        <v>150000</v>
      </c>
      <c r="G119" s="731">
        <v>200000</v>
      </c>
      <c r="H119" s="731"/>
      <c r="I119" s="731"/>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0"/>
      <c r="B120" s="679"/>
      <c r="C120" s="727">
        <v>97</v>
      </c>
      <c r="D120" s="727">
        <v>98</v>
      </c>
      <c r="E120" s="727">
        <v>99</v>
      </c>
      <c r="F120" s="727">
        <v>100</v>
      </c>
      <c r="G120" s="727">
        <v>101</v>
      </c>
      <c r="H120" s="727">
        <v>102</v>
      </c>
      <c r="I120" s="727"/>
      <c r="J120" s="727"/>
      <c r="K120" s="727"/>
      <c r="L120" s="727"/>
      <c r="M120" s="728"/>
      <c r="N120" s="2166"/>
      <c r="O120" s="2166"/>
      <c r="P120" s="2165"/>
      <c r="Q120" s="2158"/>
      <c r="R120" s="2145"/>
      <c r="S120" s="2145"/>
      <c r="T120" s="2145"/>
      <c r="U120" s="2145"/>
      <c r="V120" s="2145"/>
      <c r="W120" s="2145"/>
      <c r="X120" s="2145"/>
      <c r="Y120" s="2145"/>
      <c r="Z120" s="2145"/>
      <c r="AA120" s="2145"/>
      <c r="AB120" s="2145"/>
      <c r="AC120" s="2145"/>
    </row>
    <row r="121" spans="1:29" ht="15" thickTop="1">
      <c r="A121" s="736"/>
      <c r="B121" s="674" t="s">
        <v>595</v>
      </c>
      <c r="C121" s="3187" t="s">
        <v>3020</v>
      </c>
      <c r="D121" s="3187" t="s">
        <v>3022</v>
      </c>
      <c r="E121" s="3187" t="s">
        <v>3023</v>
      </c>
      <c r="F121" s="3187" t="s">
        <v>3024</v>
      </c>
      <c r="G121" s="3187" t="s">
        <v>3025</v>
      </c>
      <c r="H121" s="719"/>
      <c r="I121" s="719"/>
      <c r="J121" s="719"/>
      <c r="K121" s="720"/>
      <c r="L121" s="721"/>
      <c r="M121" s="722"/>
      <c r="N121" s="2164"/>
      <c r="O121" s="2164"/>
      <c r="P121" s="2165"/>
      <c r="Q121" s="2158"/>
      <c r="R121" s="2145"/>
      <c r="S121" s="2145"/>
      <c r="T121" s="2145"/>
      <c r="U121" s="2145"/>
      <c r="V121" s="2145"/>
      <c r="W121" s="2145"/>
      <c r="X121" s="2145"/>
      <c r="Y121" s="2145"/>
      <c r="Z121" s="2145"/>
      <c r="AA121" s="2145"/>
      <c r="AB121" s="2145"/>
      <c r="AC121" s="2145"/>
    </row>
    <row r="122" spans="1:29" ht="15.75" thickBot="1">
      <c r="A122" s="670"/>
      <c r="B122" s="679"/>
      <c r="C122" s="680">
        <v>100</v>
      </c>
      <c r="D122" s="680">
        <f t="shared" ref="D122:M122" si="26">C122-$K41</f>
        <v>98</v>
      </c>
      <c r="E122" s="680">
        <f t="shared" si="26"/>
        <v>96</v>
      </c>
      <c r="F122" s="680">
        <f t="shared" si="26"/>
        <v>94</v>
      </c>
      <c r="G122" s="680">
        <f t="shared" si="26"/>
        <v>92</v>
      </c>
      <c r="H122" s="680">
        <f t="shared" si="26"/>
        <v>90</v>
      </c>
      <c r="I122" s="680">
        <f t="shared" si="26"/>
        <v>88</v>
      </c>
      <c r="J122" s="680">
        <f t="shared" si="26"/>
        <v>86</v>
      </c>
      <c r="K122" s="680">
        <f t="shared" si="26"/>
        <v>84</v>
      </c>
      <c r="L122" s="680">
        <f t="shared" si="26"/>
        <v>82</v>
      </c>
      <c r="M122" s="681">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6"/>
      <c r="B123" s="674" t="s">
        <v>596</v>
      </c>
      <c r="C123" s="3182" t="s">
        <v>3026</v>
      </c>
      <c r="D123" s="3182" t="s">
        <v>3027</v>
      </c>
      <c r="E123" s="3182" t="s">
        <v>3023</v>
      </c>
      <c r="F123" s="3187" t="s">
        <v>3028</v>
      </c>
      <c r="G123" s="3187" t="s">
        <v>3029</v>
      </c>
      <c r="H123" s="719"/>
      <c r="I123" s="719"/>
      <c r="J123" s="719"/>
      <c r="K123" s="720"/>
      <c r="L123" s="721"/>
      <c r="M123" s="722"/>
      <c r="N123" s="2164"/>
      <c r="O123" s="2164"/>
      <c r="P123" s="2165"/>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27">C124-$K42</f>
        <v>98</v>
      </c>
      <c r="E124" s="680">
        <f t="shared" si="27"/>
        <v>96</v>
      </c>
      <c r="F124" s="680">
        <f t="shared" si="27"/>
        <v>94</v>
      </c>
      <c r="G124" s="680">
        <f t="shared" si="27"/>
        <v>92</v>
      </c>
      <c r="H124" s="680">
        <f t="shared" si="27"/>
        <v>90</v>
      </c>
      <c r="I124" s="680">
        <f t="shared" si="27"/>
        <v>88</v>
      </c>
      <c r="J124" s="680">
        <f t="shared" si="27"/>
        <v>86</v>
      </c>
      <c r="K124" s="680">
        <f t="shared" si="27"/>
        <v>84</v>
      </c>
      <c r="L124" s="680">
        <f t="shared" si="27"/>
        <v>82</v>
      </c>
      <c r="M124" s="681">
        <f t="shared" si="27"/>
        <v>80</v>
      </c>
      <c r="N124" s="2166"/>
      <c r="O124" s="2166"/>
      <c r="P124" s="2165"/>
      <c r="Q124" s="2158"/>
      <c r="R124" s="2145"/>
      <c r="S124" s="2145"/>
      <c r="T124" s="2145"/>
      <c r="U124" s="2145"/>
      <c r="V124" s="2145"/>
      <c r="W124" s="2145"/>
      <c r="X124" s="2145"/>
      <c r="Y124" s="2145"/>
      <c r="Z124" s="2145"/>
      <c r="AA124" s="2145"/>
      <c r="AB124" s="2145"/>
      <c r="AC124" s="2145"/>
    </row>
    <row r="125" spans="1:29" s="1340" customFormat="1" ht="15" thickTop="1">
      <c r="A125" s="729"/>
      <c r="B125" s="1896" t="s">
        <v>2427</v>
      </c>
      <c r="C125" s="1376" t="s">
        <v>3191</v>
      </c>
      <c r="D125" s="1376" t="s">
        <v>3192</v>
      </c>
      <c r="E125" s="1376" t="s">
        <v>3193</v>
      </c>
      <c r="F125" s="1376" t="s">
        <v>3194</v>
      </c>
      <c r="G125" s="1376" t="s">
        <v>3196</v>
      </c>
      <c r="H125" s="719"/>
      <c r="I125" s="719"/>
      <c r="J125" s="719"/>
      <c r="K125" s="720"/>
      <c r="L125" s="721"/>
      <c r="M125" s="722"/>
      <c r="N125" s="2167"/>
      <c r="O125" s="2167"/>
      <c r="P125" s="2168"/>
      <c r="Q125" s="2169"/>
      <c r="R125" s="2170"/>
      <c r="S125" s="2170"/>
      <c r="T125" s="2170"/>
      <c r="U125" s="2170"/>
      <c r="V125" s="2170"/>
      <c r="W125" s="2170"/>
      <c r="X125" s="2170"/>
      <c r="Y125" s="2170"/>
      <c r="Z125" s="2170"/>
      <c r="AA125" s="2170"/>
      <c r="AB125" s="2170"/>
      <c r="AC125" s="2170"/>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6"/>
      <c r="B127" s="674" t="s">
        <v>597</v>
      </c>
      <c r="C127" s="3182" t="s">
        <v>3030</v>
      </c>
      <c r="D127" s="3182" t="s">
        <v>3027</v>
      </c>
      <c r="E127" s="3187" t="s">
        <v>3023</v>
      </c>
      <c r="F127" s="3187" t="s">
        <v>3028</v>
      </c>
      <c r="G127" s="3187" t="s">
        <v>3029</v>
      </c>
      <c r="H127" s="719"/>
      <c r="I127" s="719"/>
      <c r="J127" s="719"/>
      <c r="K127" s="720"/>
      <c r="L127" s="721"/>
      <c r="M127" s="722"/>
      <c r="N127" s="2164"/>
      <c r="O127" s="2164"/>
      <c r="P127" s="2165"/>
      <c r="Q127" s="2158"/>
      <c r="R127" s="2145"/>
      <c r="S127" s="2145"/>
      <c r="T127" s="2145"/>
      <c r="U127" s="2145"/>
      <c r="V127" s="2145"/>
      <c r="W127" s="2145"/>
      <c r="X127" s="2145"/>
      <c r="Y127" s="2145"/>
      <c r="Z127" s="2145"/>
      <c r="AA127" s="2145"/>
      <c r="AB127" s="2145"/>
      <c r="AC127" s="2145"/>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6"/>
      <c r="B129" s="674">
        <f>B45</f>
        <v>111</v>
      </c>
      <c r="C129" s="689"/>
      <c r="D129" s="689"/>
      <c r="E129" s="689"/>
      <c r="F129" s="689"/>
      <c r="G129" s="689"/>
      <c r="H129" s="719"/>
      <c r="I129" s="719"/>
      <c r="J129" s="719"/>
      <c r="K129" s="720"/>
      <c r="L129" s="721"/>
      <c r="M129" s="722"/>
      <c r="N129" s="2164"/>
      <c r="O129" s="2164"/>
      <c r="P129" s="2165"/>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165"/>
      <c r="Q130" s="2158"/>
      <c r="R130" s="2145"/>
      <c r="S130" s="2145"/>
      <c r="T130" s="2145"/>
      <c r="U130" s="2145"/>
      <c r="V130" s="2145"/>
      <c r="W130" s="2145"/>
      <c r="X130" s="2145"/>
      <c r="Y130" s="2145"/>
      <c r="Z130" s="2145"/>
      <c r="AA130" s="2145"/>
      <c r="AB130" s="2145"/>
      <c r="AC130" s="2145"/>
    </row>
    <row r="131" spans="1:29" ht="15" thickTop="1">
      <c r="A131" s="736"/>
      <c r="B131" s="674">
        <f>B46</f>
        <v>111</v>
      </c>
      <c r="C131" s="662"/>
      <c r="D131" s="662"/>
      <c r="E131" s="662"/>
      <c r="F131" s="662"/>
      <c r="G131" s="719"/>
      <c r="H131" s="719"/>
      <c r="I131" s="719"/>
      <c r="J131" s="719"/>
      <c r="K131" s="720"/>
      <c r="L131" s="721"/>
      <c r="M131" s="722"/>
      <c r="N131" s="2164"/>
      <c r="O131" s="2164"/>
      <c r="P131" s="2165"/>
      <c r="Q131" s="2158"/>
      <c r="R131" s="2145"/>
      <c r="S131" s="2145"/>
      <c r="T131" s="2145"/>
      <c r="U131" s="2145"/>
      <c r="V131" s="2145"/>
      <c r="W131" s="2145"/>
      <c r="X131" s="2145"/>
      <c r="Y131" s="2145"/>
      <c r="Z131" s="2145"/>
      <c r="AA131" s="2145"/>
      <c r="AB131" s="2145"/>
      <c r="AC131" s="2145"/>
    </row>
    <row r="132" spans="1:29" ht="15.75" thickBot="1">
      <c r="A132" s="670"/>
      <c r="B132" s="679"/>
      <c r="C132" s="701"/>
      <c r="D132" s="701"/>
      <c r="E132" s="701"/>
      <c r="F132" s="701"/>
      <c r="G132" s="672"/>
      <c r="H132" s="672"/>
      <c r="I132" s="672"/>
      <c r="J132" s="672"/>
      <c r="K132" s="672"/>
      <c r="L132" s="672"/>
      <c r="M132" s="673"/>
      <c r="N132" s="2166"/>
      <c r="O132" s="2166"/>
      <c r="P132" s="2165"/>
      <c r="Q132" s="2158"/>
      <c r="R132" s="2145"/>
      <c r="S132" s="2145"/>
      <c r="T132" s="2145"/>
      <c r="U132" s="2145"/>
      <c r="V132" s="2145"/>
      <c r="W132" s="2145"/>
      <c r="X132" s="2145"/>
      <c r="Y132" s="2145"/>
      <c r="Z132" s="2145"/>
      <c r="AA132" s="2145"/>
      <c r="AB132" s="2145"/>
      <c r="AC132" s="2145"/>
    </row>
    <row r="133" spans="1:29" s="1340" customFormat="1" ht="15" thickTop="1">
      <c r="A133" s="729"/>
      <c r="B133" s="674">
        <f>B47</f>
        <v>111</v>
      </c>
      <c r="C133" s="662"/>
      <c r="D133" s="662"/>
      <c r="E133" s="662"/>
      <c r="F133" s="662"/>
      <c r="G133" s="690"/>
      <c r="H133" s="690"/>
      <c r="I133" s="690"/>
      <c r="J133" s="690"/>
      <c r="K133" s="690"/>
      <c r="L133" s="691"/>
      <c r="M133" s="692"/>
      <c r="N133" s="2167"/>
      <c r="O133" s="2167"/>
      <c r="P133" s="2168"/>
      <c r="Q133" s="2169"/>
      <c r="R133" s="2170"/>
      <c r="S133" s="2170"/>
      <c r="T133" s="2170"/>
      <c r="U133" s="2170"/>
      <c r="V133" s="2170"/>
      <c r="W133" s="2170"/>
      <c r="X133" s="2170"/>
      <c r="Y133" s="2170"/>
      <c r="Z133" s="2170"/>
      <c r="AA133" s="2170"/>
      <c r="AB133" s="2170"/>
      <c r="AC133" s="2170"/>
    </row>
    <row r="134" spans="1:29" s="1340" customFormat="1" ht="15.75" thickBot="1">
      <c r="A134" s="699"/>
      <c r="B134" s="737"/>
      <c r="C134" s="701"/>
      <c r="D134" s="701"/>
      <c r="E134" s="701"/>
      <c r="F134" s="701"/>
      <c r="G134" s="727"/>
      <c r="H134" s="727"/>
      <c r="I134" s="727"/>
      <c r="J134" s="727"/>
      <c r="K134" s="727"/>
      <c r="L134" s="727"/>
      <c r="M134" s="728"/>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c r="A3" s="1381" t="s">
        <v>1686</v>
      </c>
      <c r="B3" s="511"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9"/>
    </row>
    <row r="6" spans="1:29" ht="15">
      <c r="A6" s="513" t="s">
        <v>522</v>
      </c>
      <c r="B6" s="514"/>
      <c r="C6" s="3415" t="s">
        <v>523</v>
      </c>
      <c r="D6" s="3416"/>
      <c r="E6" s="3449" t="s">
        <v>524</v>
      </c>
      <c r="F6" s="3450"/>
      <c r="G6" s="3415" t="s">
        <v>525</v>
      </c>
      <c r="H6" s="3416"/>
      <c r="I6" s="3415" t="s">
        <v>526</v>
      </c>
      <c r="J6" s="3416"/>
      <c r="K6" s="515" t="s">
        <v>527</v>
      </c>
      <c r="L6" s="2133"/>
      <c r="M6" s="2134"/>
      <c r="N6" s="2134"/>
      <c r="O6" s="2134"/>
      <c r="P6" s="3417" t="s">
        <v>528</v>
      </c>
      <c r="Q6" s="3418"/>
      <c r="R6" s="3423" t="s">
        <v>524</v>
      </c>
      <c r="S6" s="3424"/>
      <c r="T6" s="3423" t="s">
        <v>525</v>
      </c>
      <c r="U6" s="3424"/>
      <c r="V6" s="3410" t="s">
        <v>526</v>
      </c>
      <c r="W6" s="3410"/>
      <c r="X6" s="1568"/>
      <c r="Y6" s="3423" t="s">
        <v>528</v>
      </c>
      <c r="Z6" s="3424"/>
      <c r="AA6" s="3412" t="s">
        <v>524</v>
      </c>
      <c r="AB6" s="3413" t="s">
        <v>525</v>
      </c>
      <c r="AC6" s="3412" t="s">
        <v>526</v>
      </c>
    </row>
    <row r="7" spans="1:29" ht="15">
      <c r="A7" s="516"/>
      <c r="B7" s="517"/>
      <c r="C7" s="3431" t="s">
        <v>2928</v>
      </c>
      <c r="D7" s="3432"/>
      <c r="E7" s="3451" t="s">
        <v>2929</v>
      </c>
      <c r="F7" s="3452"/>
      <c r="G7" s="3431" t="s">
        <v>2930</v>
      </c>
      <c r="H7" s="3432"/>
      <c r="I7" s="3431" t="s">
        <v>2931</v>
      </c>
      <c r="J7" s="3432"/>
      <c r="K7" s="515"/>
      <c r="L7" s="2133"/>
      <c r="M7" s="2134"/>
      <c r="N7" s="2134"/>
      <c r="O7" s="2134"/>
      <c r="P7" s="3419"/>
      <c r="Q7" s="3420"/>
      <c r="R7" s="3425"/>
      <c r="S7" s="3426"/>
      <c r="T7" s="3425"/>
      <c r="U7" s="3426"/>
      <c r="V7" s="3410"/>
      <c r="W7" s="3410"/>
      <c r="X7" s="1568"/>
      <c r="Y7" s="3425"/>
      <c r="Z7" s="3426"/>
      <c r="AA7" s="3413"/>
      <c r="AB7" s="3413"/>
      <c r="AC7" s="3413"/>
    </row>
    <row r="8" spans="1:29" ht="15.75" thickBot="1">
      <c r="A8" s="518"/>
      <c r="B8" s="519"/>
      <c r="C8" s="3429" t="s">
        <v>2932</v>
      </c>
      <c r="D8" s="3430"/>
      <c r="E8" s="3447" t="s">
        <v>2932</v>
      </c>
      <c r="F8" s="3448"/>
      <c r="G8" s="3429" t="s">
        <v>2932</v>
      </c>
      <c r="H8" s="3430"/>
      <c r="I8" s="3429" t="s">
        <v>2932</v>
      </c>
      <c r="J8" s="3430"/>
      <c r="K8" s="515" t="s">
        <v>529</v>
      </c>
      <c r="L8" s="2133"/>
      <c r="M8" s="2134"/>
      <c r="N8" s="2134"/>
      <c r="O8" s="2134"/>
      <c r="P8" s="3421"/>
      <c r="Q8" s="3422"/>
      <c r="R8" s="3425"/>
      <c r="S8" s="3426"/>
      <c r="T8" s="3427"/>
      <c r="U8" s="3428"/>
      <c r="V8" s="3410"/>
      <c r="W8" s="3410"/>
      <c r="X8" s="1568"/>
      <c r="Y8" s="3427"/>
      <c r="Z8" s="3428"/>
      <c r="AA8" s="3414"/>
      <c r="AB8" s="3414"/>
      <c r="AC8" s="3414"/>
    </row>
    <row r="9" spans="1:29" s="1221" customFormat="1" ht="15.75" thickBot="1">
      <c r="A9" s="2938"/>
      <c r="B9" s="2945" t="s">
        <v>530</v>
      </c>
      <c r="C9" s="520">
        <f>'数据-取费表'!B2</f>
        <v>43089</v>
      </c>
      <c r="D9" s="521">
        <v>100</v>
      </c>
      <c r="E9" s="522"/>
      <c r="F9" s="523">
        <f>SUMIF(67:67,YEAR(E9)&amp;"-"&amp;INT((MONTH(E9)+2)/3),68:68)</f>
        <v>0</v>
      </c>
      <c r="G9" s="524"/>
      <c r="H9" s="521">
        <f>SUMIF(67:67,YEAR(G9)&amp;"-"&amp;INT((MONTH(G9)+2)/3),68:68)</f>
        <v>0</v>
      </c>
      <c r="I9" s="524"/>
      <c r="J9" s="521">
        <f>SUMIF(67:67,YEAR(I9)&amp;"-"&amp;INT((MONTH(I9)+2)/3),68:68)</f>
        <v>0</v>
      </c>
      <c r="K9" s="525"/>
      <c r="L9" s="2135"/>
      <c r="M9" s="2136"/>
      <c r="N9" s="2136"/>
      <c r="O9" s="2136"/>
      <c r="P9" s="3440" t="s">
        <v>531</v>
      </c>
      <c r="Q9" s="3442"/>
      <c r="R9" s="1569" t="s">
        <v>8</v>
      </c>
      <c r="S9" s="1570">
        <f t="shared" ref="S9:S17" si="0">F9</f>
        <v>0</v>
      </c>
      <c r="T9" s="1569" t="s">
        <v>8</v>
      </c>
      <c r="U9" s="1570">
        <f t="shared" ref="U9:U17" si="1">H9</f>
        <v>0</v>
      </c>
      <c r="V9" s="1569" t="s">
        <v>8</v>
      </c>
      <c r="W9" s="1570">
        <f t="shared" ref="W9:W17" si="2">J9</f>
        <v>0</v>
      </c>
      <c r="X9" s="1571"/>
      <c r="Y9" s="3440" t="s">
        <v>531</v>
      </c>
      <c r="Z9" s="3441"/>
      <c r="AA9" s="1572" t="e">
        <f>D9/F9</f>
        <v>#DIV/0!</v>
      </c>
      <c r="AB9" s="1572" t="e">
        <f>D9/H9</f>
        <v>#DIV/0!</v>
      </c>
      <c r="AC9" s="1572" t="e">
        <f>D9/J9</f>
        <v>#DIV/0!</v>
      </c>
    </row>
    <row r="10" spans="1:29" s="1221" customFormat="1" ht="15.75" thickBot="1">
      <c r="A10" s="2939"/>
      <c r="B10" s="294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5"/>
      <c r="M10" s="2136"/>
      <c r="N10" s="2136"/>
      <c r="O10" s="2136"/>
      <c r="P10" s="3440" t="s">
        <v>534</v>
      </c>
      <c r="Q10" s="3441"/>
      <c r="R10" s="1569" t="s">
        <v>8</v>
      </c>
      <c r="S10" s="1570">
        <f t="shared" si="0"/>
        <v>0</v>
      </c>
      <c r="T10" s="1569" t="s">
        <v>8</v>
      </c>
      <c r="U10" s="1570">
        <f t="shared" si="1"/>
        <v>0</v>
      </c>
      <c r="V10" s="1569" t="s">
        <v>8</v>
      </c>
      <c r="W10" s="1570">
        <f t="shared" si="2"/>
        <v>0</v>
      </c>
      <c r="X10" s="1571"/>
      <c r="Y10" s="3440" t="s">
        <v>534</v>
      </c>
      <c r="Z10" s="3441"/>
      <c r="AA10" s="1572" t="e">
        <f t="shared" ref="AA10:AA42" si="3">D10/F10</f>
        <v>#DIV/0!</v>
      </c>
      <c r="AB10" s="1572" t="e">
        <f t="shared" ref="AB10:AB42" si="4">D10/H10</f>
        <v>#DIV/0!</v>
      </c>
      <c r="AC10" s="1572" t="e">
        <f t="shared" ref="AC10:AC42" si="5">D10/J10</f>
        <v>#DIV/0!</v>
      </c>
    </row>
    <row r="11" spans="1:29" s="1221" customFormat="1" ht="15">
      <c r="A11" s="2940"/>
      <c r="B11" s="2947" t="s">
        <v>2762</v>
      </c>
      <c r="C11" s="527"/>
      <c r="D11" s="252">
        <v>100</v>
      </c>
      <c r="E11" s="527"/>
      <c r="F11" s="252">
        <f>SUMIF(72:72,E11,73:73)-SUMIF(72:72,C11,73:73)+100</f>
        <v>100</v>
      </c>
      <c r="G11" s="527"/>
      <c r="H11" s="252">
        <f>SUMIF(72:72,G11,73:73)-SUMIF(72:72,C11,73:73)+100</f>
        <v>100</v>
      </c>
      <c r="I11" s="527"/>
      <c r="J11" s="252">
        <f>SUMIF(72:72,I11,73:73)-SUMIF(72:72,C11,73:73)+100</f>
        <v>100</v>
      </c>
      <c r="K11" s="525"/>
      <c r="L11" s="2135"/>
      <c r="M11" s="2136"/>
      <c r="N11" s="2136"/>
      <c r="O11" s="2137"/>
      <c r="P11" s="3409" t="s">
        <v>536</v>
      </c>
      <c r="Q11" s="1152" t="str">
        <f t="shared" ref="Q11:Q17" si="6">B11</f>
        <v>用途</v>
      </c>
      <c r="R11" s="1569" t="s">
        <v>8</v>
      </c>
      <c r="S11" s="1570">
        <f t="shared" si="0"/>
        <v>100</v>
      </c>
      <c r="T11" s="1569" t="s">
        <v>8</v>
      </c>
      <c r="U11" s="1570">
        <f t="shared" si="1"/>
        <v>100</v>
      </c>
      <c r="V11" s="1569" t="s">
        <v>8</v>
      </c>
      <c r="W11" s="1570">
        <f t="shared" si="2"/>
        <v>100</v>
      </c>
      <c r="X11" s="1571"/>
      <c r="Y11" s="3355" t="s">
        <v>537</v>
      </c>
      <c r="Z11" s="1151" t="str">
        <f t="shared" ref="Z11:Z17" si="7">Q11</f>
        <v>用途</v>
      </c>
      <c r="AA11" s="1572">
        <f t="shared" si="3"/>
        <v>1</v>
      </c>
      <c r="AB11" s="1572">
        <f t="shared" si="4"/>
        <v>1</v>
      </c>
      <c r="AC11" s="1572">
        <f t="shared" si="5"/>
        <v>1</v>
      </c>
    </row>
    <row r="12" spans="1:29" s="1339" customFormat="1" ht="27">
      <c r="A12" s="2941"/>
      <c r="B12" s="2946" t="s">
        <v>2763</v>
      </c>
      <c r="C12" s="529"/>
      <c r="D12" s="253">
        <v>100</v>
      </c>
      <c r="E12" s="529"/>
      <c r="F12" s="253">
        <f>ROUND(100/'数据-取费表'!G16,0)</f>
        <v>102</v>
      </c>
      <c r="G12" s="529"/>
      <c r="H12" s="253">
        <f>ROUND(100/'数据-取费表'!G16,0)</f>
        <v>102</v>
      </c>
      <c r="I12" s="529"/>
      <c r="J12" s="253">
        <f>ROUND(100/'数据-取费表'!G16,0)</f>
        <v>102</v>
      </c>
      <c r="K12" s="532"/>
      <c r="L12" s="2138"/>
      <c r="M12" s="2178"/>
      <c r="N12" s="2178"/>
      <c r="O12" s="2139"/>
      <c r="P12" s="3409"/>
      <c r="Q12" s="1152" t="str">
        <f t="shared" si="6"/>
        <v>土地使用年限（年）</v>
      </c>
      <c r="R12" s="1569" t="s">
        <v>8</v>
      </c>
      <c r="S12" s="1570">
        <f t="shared" si="0"/>
        <v>102</v>
      </c>
      <c r="T12" s="1569" t="s">
        <v>8</v>
      </c>
      <c r="U12" s="1570">
        <f t="shared" si="1"/>
        <v>102</v>
      </c>
      <c r="V12" s="1569" t="s">
        <v>8</v>
      </c>
      <c r="W12" s="1570">
        <f t="shared" si="2"/>
        <v>102</v>
      </c>
      <c r="X12" s="1571"/>
      <c r="Y12" s="3355"/>
      <c r="Z12" s="1151" t="str">
        <f t="shared" si="7"/>
        <v>土地使用年限（年）</v>
      </c>
      <c r="AA12" s="1572">
        <f t="shared" si="3"/>
        <v>0.98039215686274506</v>
      </c>
      <c r="AB12" s="1572">
        <f t="shared" si="4"/>
        <v>0.98039215686274506</v>
      </c>
      <c r="AC12" s="1572">
        <f t="shared" si="5"/>
        <v>0.98039215686274506</v>
      </c>
    </row>
    <row r="13" spans="1:29" ht="15">
      <c r="A13" s="2942"/>
      <c r="B13" s="2946" t="s">
        <v>2764</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0"/>
      <c r="M13" s="2134"/>
      <c r="N13" s="2134"/>
      <c r="O13" s="2141"/>
      <c r="P13" s="3409"/>
      <c r="Q13" s="1152" t="str">
        <f t="shared" si="6"/>
        <v>容积率</v>
      </c>
      <c r="R13" s="1569" t="s">
        <v>8</v>
      </c>
      <c r="S13" s="1570" t="e">
        <f t="shared" si="0"/>
        <v>#N/A</v>
      </c>
      <c r="T13" s="1569" t="s">
        <v>8</v>
      </c>
      <c r="U13" s="1570" t="e">
        <f t="shared" si="1"/>
        <v>#N/A</v>
      </c>
      <c r="V13" s="1569" t="s">
        <v>8</v>
      </c>
      <c r="W13" s="1570" t="e">
        <f t="shared" si="2"/>
        <v>#N/A</v>
      </c>
      <c r="X13" s="1571"/>
      <c r="Y13" s="3355"/>
      <c r="Z13" s="1151" t="str">
        <f t="shared" si="7"/>
        <v>容积率</v>
      </c>
      <c r="AA13" s="1572" t="e">
        <f t="shared" si="3"/>
        <v>#N/A</v>
      </c>
      <c r="AB13" s="1572" t="e">
        <f t="shared" si="4"/>
        <v>#N/A</v>
      </c>
      <c r="AC13" s="1572" t="e">
        <f t="shared" si="5"/>
        <v>#N/A</v>
      </c>
    </row>
    <row r="14" spans="1:29" s="1221" customFormat="1" ht="15">
      <c r="A14" s="2943"/>
      <c r="B14" s="2949">
        <v>111</v>
      </c>
      <c r="C14" s="529"/>
      <c r="D14" s="539">
        <v>100</v>
      </c>
      <c r="E14" s="542"/>
      <c r="F14" s="253">
        <f>SUMIF(79:79,E14,80:80)-SUMIF(79:79,C14,80:80)+100</f>
        <v>100</v>
      </c>
      <c r="G14" s="543"/>
      <c r="H14" s="253">
        <f>SUMIF(79:79,G14,80:80)-SUMIF(79:79,C14,80:80)+100</f>
        <v>100</v>
      </c>
      <c r="I14" s="542"/>
      <c r="J14" s="253">
        <f>SUMIF(79:79,I14,80:80)-SUMIF(79:79,C14,80:80)+100</f>
        <v>100</v>
      </c>
      <c r="K14" s="532"/>
      <c r="L14" s="2135"/>
      <c r="M14" s="2136"/>
      <c r="N14" s="2136"/>
      <c r="O14" s="2137"/>
      <c r="P14" s="3409"/>
      <c r="Q14" s="1152">
        <f t="shared" si="6"/>
        <v>111</v>
      </c>
      <c r="R14" s="1569" t="s">
        <v>8</v>
      </c>
      <c r="S14" s="1570">
        <f t="shared" si="0"/>
        <v>100</v>
      </c>
      <c r="T14" s="1569" t="s">
        <v>8</v>
      </c>
      <c r="U14" s="1570">
        <f t="shared" si="1"/>
        <v>100</v>
      </c>
      <c r="V14" s="1569" t="s">
        <v>8</v>
      </c>
      <c r="W14" s="1570">
        <f t="shared" si="2"/>
        <v>100</v>
      </c>
      <c r="X14" s="1571"/>
      <c r="Y14" s="3355"/>
      <c r="Z14" s="1151">
        <f t="shared" si="7"/>
        <v>111</v>
      </c>
      <c r="AA14" s="1572">
        <f>D14/F14</f>
        <v>1</v>
      </c>
      <c r="AB14" s="1572">
        <f>D14/H14</f>
        <v>1</v>
      </c>
      <c r="AC14" s="1572">
        <f>D14/J14</f>
        <v>1</v>
      </c>
    </row>
    <row r="15" spans="1:29" ht="15">
      <c r="A15" s="2943"/>
      <c r="B15" s="2949">
        <v>111</v>
      </c>
      <c r="C15" s="540"/>
      <c r="D15" s="541">
        <v>100</v>
      </c>
      <c r="E15" s="542"/>
      <c r="F15" s="253">
        <f>SUMIF(81:81,E15,82:82)-SUMIF(81:81,C15,82:82)+100</f>
        <v>100</v>
      </c>
      <c r="G15" s="543"/>
      <c r="H15" s="541">
        <f>SUMIF(81:81,G15,82:82)-SUMIF(81:81,C15,82:82)+100</f>
        <v>100</v>
      </c>
      <c r="I15" s="542"/>
      <c r="J15" s="541">
        <f>SUMIF(81:81,I15,82:82)-SUMIF(81:81,C15,82:82)+100</f>
        <v>100</v>
      </c>
      <c r="K15" s="532"/>
      <c r="L15" s="2142"/>
      <c r="M15" s="2134"/>
      <c r="N15" s="2134"/>
      <c r="O15" s="2141"/>
      <c r="P15" s="3409"/>
      <c r="Q15" s="1152">
        <f t="shared" si="6"/>
        <v>111</v>
      </c>
      <c r="R15" s="1569" t="s">
        <v>8</v>
      </c>
      <c r="S15" s="1570">
        <f t="shared" si="0"/>
        <v>100</v>
      </c>
      <c r="T15" s="1569" t="s">
        <v>8</v>
      </c>
      <c r="U15" s="1570">
        <f t="shared" si="1"/>
        <v>100</v>
      </c>
      <c r="V15" s="1569" t="s">
        <v>8</v>
      </c>
      <c r="W15" s="1570">
        <f t="shared" si="2"/>
        <v>100</v>
      </c>
      <c r="X15" s="1571"/>
      <c r="Y15" s="3355"/>
      <c r="Z15" s="1151">
        <f t="shared" si="7"/>
        <v>111</v>
      </c>
      <c r="AA15" s="1572">
        <f t="shared" si="3"/>
        <v>1</v>
      </c>
      <c r="AB15" s="1572">
        <f t="shared" si="4"/>
        <v>1</v>
      </c>
      <c r="AC15" s="1572">
        <f t="shared" si="5"/>
        <v>1</v>
      </c>
    </row>
    <row r="16" spans="1:29" ht="15.75" thickBot="1">
      <c r="A16" s="2944"/>
      <c r="B16" s="2950">
        <v>111</v>
      </c>
      <c r="C16" s="546"/>
      <c r="D16" s="547">
        <v>100</v>
      </c>
      <c r="E16" s="542"/>
      <c r="F16" s="547">
        <f>SUMIF(83:83,E16,84:84)-SUMIF(83:83,C16,84:84)+100</f>
        <v>100</v>
      </c>
      <c r="G16" s="543"/>
      <c r="H16" s="547">
        <f>SUMIF(83:83,G16,84:84)-SUMIF(83:83,C16,84:84)+100</f>
        <v>100</v>
      </c>
      <c r="I16" s="542"/>
      <c r="J16" s="547">
        <f>SUMIF(83:83,I16,84:84)-SUMIF(83:83,C16,84:84)+100</f>
        <v>100</v>
      </c>
      <c r="K16" s="532"/>
      <c r="L16" s="2142"/>
      <c r="M16" s="2134"/>
      <c r="N16" s="2134"/>
      <c r="O16" s="2141"/>
      <c r="P16" s="3409"/>
      <c r="Q16" s="1152">
        <f t="shared" si="6"/>
        <v>111</v>
      </c>
      <c r="R16" s="1569" t="s">
        <v>8</v>
      </c>
      <c r="S16" s="1570">
        <f t="shared" si="0"/>
        <v>100</v>
      </c>
      <c r="T16" s="1569" t="s">
        <v>8</v>
      </c>
      <c r="U16" s="1570">
        <f t="shared" si="1"/>
        <v>100</v>
      </c>
      <c r="V16" s="1569" t="s">
        <v>8</v>
      </c>
      <c r="W16" s="1570">
        <f t="shared" si="2"/>
        <v>100</v>
      </c>
      <c r="X16" s="1571"/>
      <c r="Y16" s="3355"/>
      <c r="Z16" s="1151">
        <f t="shared" si="7"/>
        <v>111</v>
      </c>
      <c r="AA16" s="1572">
        <f t="shared" si="3"/>
        <v>1</v>
      </c>
      <c r="AB16" s="1572">
        <f t="shared" si="4"/>
        <v>1</v>
      </c>
      <c r="AC16" s="1572">
        <f t="shared" si="5"/>
        <v>1</v>
      </c>
    </row>
    <row r="17" spans="1:29" ht="57">
      <c r="A17" s="2936" t="s">
        <v>2760</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2"/>
      <c r="M17" s="2134"/>
      <c r="N17" s="2134"/>
      <c r="O17" s="2141"/>
      <c r="P17" s="3443" t="s">
        <v>541</v>
      </c>
      <c r="Q17" s="1573" t="str">
        <f t="shared" si="6"/>
        <v>产业集聚程度</v>
      </c>
      <c r="R17" s="1574" t="s">
        <v>8</v>
      </c>
      <c r="S17" s="1575">
        <f t="shared" si="0"/>
        <v>100</v>
      </c>
      <c r="T17" s="1574" t="s">
        <v>8</v>
      </c>
      <c r="U17" s="1575">
        <f t="shared" si="1"/>
        <v>100</v>
      </c>
      <c r="V17" s="1574" t="s">
        <v>8</v>
      </c>
      <c r="W17" s="1575">
        <f t="shared" si="2"/>
        <v>100</v>
      </c>
      <c r="X17" s="1568"/>
      <c r="Y17" s="3443"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2"/>
      <c r="M18" s="2134"/>
      <c r="N18" s="2134"/>
      <c r="O18" s="2141"/>
      <c r="P18" s="3444"/>
      <c r="Q18" s="1573"/>
      <c r="R18" s="1574"/>
      <c r="S18" s="1575"/>
      <c r="T18" s="1574"/>
      <c r="U18" s="1575"/>
      <c r="V18" s="1574"/>
      <c r="W18" s="1575"/>
      <c r="X18" s="1568"/>
      <c r="Y18" s="3444"/>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2"/>
      <c r="M19" s="2134"/>
      <c r="N19" s="2134"/>
      <c r="O19" s="2141"/>
      <c r="P19" s="3444"/>
      <c r="Q19" s="1573" t="str">
        <f>B19</f>
        <v>交通便捷度</v>
      </c>
      <c r="R19" s="1574" t="s">
        <v>8</v>
      </c>
      <c r="S19" s="1575">
        <f>F19</f>
        <v>100</v>
      </c>
      <c r="T19" s="1574" t="s">
        <v>8</v>
      </c>
      <c r="U19" s="1575">
        <f>H19</f>
        <v>100</v>
      </c>
      <c r="V19" s="1574" t="s">
        <v>8</v>
      </c>
      <c r="W19" s="1575">
        <f>J19</f>
        <v>100</v>
      </c>
      <c r="X19" s="1568"/>
      <c r="Y19" s="3444"/>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2"/>
      <c r="M20" s="2134"/>
      <c r="N20" s="2134"/>
      <c r="O20" s="2141"/>
      <c r="P20" s="3444"/>
      <c r="Q20" s="1573"/>
      <c r="R20" s="1574"/>
      <c r="S20" s="1575"/>
      <c r="T20" s="1574"/>
      <c r="U20" s="1575"/>
      <c r="V20" s="1574"/>
      <c r="W20" s="1575"/>
      <c r="X20" s="1568"/>
      <c r="Y20" s="3444"/>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2"/>
      <c r="M21" s="2134"/>
      <c r="N21" s="2134"/>
      <c r="O21" s="2141"/>
      <c r="P21" s="3444"/>
      <c r="Q21" s="1573" t="str">
        <f t="shared" ref="Q21:Q35" si="8">B21</f>
        <v>区域土地利用方向</v>
      </c>
      <c r="R21" s="1574" t="s">
        <v>8</v>
      </c>
      <c r="S21" s="1575">
        <f>F21</f>
        <v>100</v>
      </c>
      <c r="T21" s="1574" t="s">
        <v>8</v>
      </c>
      <c r="U21" s="1575">
        <f>H21</f>
        <v>100</v>
      </c>
      <c r="V21" s="1574" t="s">
        <v>8</v>
      </c>
      <c r="W21" s="1575">
        <f>J21</f>
        <v>100</v>
      </c>
      <c r="X21" s="1568"/>
      <c r="Y21" s="3444"/>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2"/>
      <c r="M22" s="2134"/>
      <c r="N22" s="2134"/>
      <c r="O22" s="2141"/>
      <c r="P22" s="3444"/>
      <c r="Q22" s="1573"/>
      <c r="R22" s="1574"/>
      <c r="S22" s="1575"/>
      <c r="T22" s="1574"/>
      <c r="U22" s="1575"/>
      <c r="V22" s="1574"/>
      <c r="W22" s="1575"/>
      <c r="X22" s="1568"/>
      <c r="Y22" s="3444"/>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2"/>
      <c r="M23" s="2134"/>
      <c r="N23" s="2134"/>
      <c r="O23" s="2141"/>
      <c r="P23" s="3444"/>
      <c r="Q23" s="1573" t="str">
        <f t="shared" si="8"/>
        <v>环境状况</v>
      </c>
      <c r="R23" s="1574" t="s">
        <v>8</v>
      </c>
      <c r="S23" s="1575">
        <f>F23</f>
        <v>100</v>
      </c>
      <c r="T23" s="1574" t="s">
        <v>8</v>
      </c>
      <c r="U23" s="1575">
        <f>H23</f>
        <v>100</v>
      </c>
      <c r="V23" s="1574" t="s">
        <v>8</v>
      </c>
      <c r="W23" s="1575">
        <f>J23</f>
        <v>100</v>
      </c>
      <c r="X23" s="1568"/>
      <c r="Y23" s="3444"/>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2"/>
      <c r="M24" s="2134"/>
      <c r="N24" s="2134"/>
      <c r="O24" s="2141"/>
      <c r="P24" s="3444"/>
      <c r="Q24" s="1573"/>
      <c r="R24" s="1574"/>
      <c r="S24" s="1575"/>
      <c r="T24" s="1574"/>
      <c r="U24" s="1575"/>
      <c r="V24" s="1574"/>
      <c r="W24" s="1575"/>
      <c r="X24" s="1568"/>
      <c r="Y24" s="3444"/>
      <c r="Z24" s="1576"/>
      <c r="AA24" s="1577">
        <v>1</v>
      </c>
      <c r="AB24" s="1577">
        <v>1</v>
      </c>
      <c r="AC24" s="1577">
        <v>1</v>
      </c>
    </row>
    <row r="25" spans="1:29" s="1221" customFormat="1" ht="42.75">
      <c r="A25" s="578"/>
      <c r="B25" s="2617" t="s">
        <v>2552</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5"/>
      <c r="M25" s="2136"/>
      <c r="N25" s="2136"/>
      <c r="O25" s="2137"/>
      <c r="P25" s="3444"/>
      <c r="Q25" s="1152" t="str">
        <f t="shared" si="8"/>
        <v>公共配套设施</v>
      </c>
      <c r="R25" s="1569" t="s">
        <v>8</v>
      </c>
      <c r="S25" s="1570">
        <f>F25</f>
        <v>100</v>
      </c>
      <c r="T25" s="1569" t="s">
        <v>8</v>
      </c>
      <c r="U25" s="1570">
        <f>H25</f>
        <v>100</v>
      </c>
      <c r="V25" s="1569" t="s">
        <v>8</v>
      </c>
      <c r="W25" s="1570">
        <f>J25</f>
        <v>100</v>
      </c>
      <c r="X25" s="1571"/>
      <c r="Y25" s="3444"/>
      <c r="Z25" s="1151" t="str">
        <f>Q25</f>
        <v>公共配套设施</v>
      </c>
      <c r="AA25" s="1577">
        <f>D25/F25</f>
        <v>1</v>
      </c>
      <c r="AB25" s="1577">
        <f>D25/H25</f>
        <v>1</v>
      </c>
      <c r="AC25" s="1577">
        <f>D25/J25</f>
        <v>1</v>
      </c>
    </row>
    <row r="26" spans="1:29" s="1221" customFormat="1" ht="15">
      <c r="A26" s="578"/>
      <c r="B26" s="596"/>
      <c r="C26" s="2616"/>
      <c r="D26" s="556"/>
      <c r="E26" s="555"/>
      <c r="F26" s="556"/>
      <c r="G26" s="555"/>
      <c r="H26" s="556"/>
      <c r="I26" s="577"/>
      <c r="J26" s="556"/>
      <c r="K26" s="532"/>
      <c r="L26" s="2135"/>
      <c r="M26" s="2136"/>
      <c r="N26" s="2136"/>
      <c r="O26" s="2137"/>
      <c r="P26" s="3444"/>
      <c r="Q26" s="1152"/>
      <c r="R26" s="1569"/>
      <c r="S26" s="1570"/>
      <c r="T26" s="1569"/>
      <c r="U26" s="1570"/>
      <c r="V26" s="1569"/>
      <c r="W26" s="1570"/>
      <c r="X26" s="1571"/>
      <c r="Y26" s="3444"/>
      <c r="Z26" s="1151"/>
      <c r="AA26" s="1572">
        <v>1</v>
      </c>
      <c r="AB26" s="1572">
        <v>1</v>
      </c>
      <c r="AC26" s="1572">
        <v>1</v>
      </c>
    </row>
    <row r="27" spans="1:29" s="1221" customFormat="1" ht="28.5">
      <c r="A27" s="578"/>
      <c r="B27" s="2617" t="s">
        <v>2553</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5"/>
      <c r="M27" s="2136"/>
      <c r="N27" s="2136"/>
      <c r="O27" s="2137"/>
      <c r="P27" s="3444"/>
      <c r="Q27" s="2602" t="str">
        <f t="shared" ref="Q27" si="9">B27</f>
        <v>基础设施水平</v>
      </c>
      <c r="R27" s="1569" t="s">
        <v>8</v>
      </c>
      <c r="S27" s="1570">
        <f>F27</f>
        <v>100</v>
      </c>
      <c r="T27" s="1569" t="s">
        <v>8</v>
      </c>
      <c r="U27" s="1570">
        <f>H27</f>
        <v>100</v>
      </c>
      <c r="V27" s="1569" t="s">
        <v>8</v>
      </c>
      <c r="W27" s="1570">
        <f>J27</f>
        <v>100</v>
      </c>
      <c r="X27" s="1571"/>
      <c r="Y27" s="3444"/>
      <c r="Z27" s="2599" t="str">
        <f>Q27</f>
        <v>基础设施水平</v>
      </c>
      <c r="AA27" s="1577">
        <f>D27/F27</f>
        <v>1</v>
      </c>
      <c r="AB27" s="1577">
        <f>D27/H27</f>
        <v>1</v>
      </c>
      <c r="AC27" s="1577">
        <f>D27/J27</f>
        <v>1</v>
      </c>
    </row>
    <row r="28" spans="1:29" s="1221" customFormat="1" ht="15">
      <c r="A28" s="578"/>
      <c r="B28" s="596"/>
      <c r="C28" s="2616"/>
      <c r="D28" s="556"/>
      <c r="E28" s="580"/>
      <c r="F28" s="556"/>
      <c r="G28" s="580"/>
      <c r="H28" s="556"/>
      <c r="I28" s="580"/>
      <c r="J28" s="556"/>
      <c r="K28" s="532"/>
      <c r="L28" s="2135"/>
      <c r="M28" s="2136"/>
      <c r="N28" s="2136"/>
      <c r="O28" s="2137"/>
      <c r="P28" s="3444"/>
      <c r="Q28" s="2602"/>
      <c r="R28" s="1569"/>
      <c r="S28" s="1570"/>
      <c r="T28" s="1569"/>
      <c r="U28" s="1570"/>
      <c r="V28" s="1569"/>
      <c r="W28" s="1570"/>
      <c r="X28" s="1571"/>
      <c r="Y28" s="3444"/>
      <c r="Z28" s="2599"/>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2"/>
      <c r="M29" s="2134"/>
      <c r="N29" s="2134"/>
      <c r="O29" s="2141"/>
      <c r="P29" s="344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4"/>
      <c r="Z29" s="1576" t="str">
        <f t="shared" ref="Z29:Z42" si="13">Q29</f>
        <v>临街状况</v>
      </c>
      <c r="AA29" s="1577">
        <f t="shared" si="3"/>
        <v>1</v>
      </c>
      <c r="AB29" s="1577">
        <f t="shared" si="4"/>
        <v>1</v>
      </c>
      <c r="AC29" s="1577">
        <f t="shared" si="5"/>
        <v>1</v>
      </c>
    </row>
    <row r="30" spans="1:29" ht="27">
      <c r="A30" s="533"/>
      <c r="B30" s="923" t="s">
        <v>549</v>
      </c>
      <c r="C30" s="26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2"/>
      <c r="M30" s="2134"/>
      <c r="N30" s="2134"/>
      <c r="O30" s="2141"/>
      <c r="P30" s="3444"/>
      <c r="Q30" s="1573" t="str">
        <f t="shared" si="8"/>
        <v>毗邻道路的类型与等级</v>
      </c>
      <c r="R30" s="1574" t="s">
        <v>8</v>
      </c>
      <c r="S30" s="1575">
        <f t="shared" si="10"/>
        <v>100</v>
      </c>
      <c r="T30" s="1574" t="s">
        <v>8</v>
      </c>
      <c r="U30" s="1575">
        <f t="shared" si="11"/>
        <v>100</v>
      </c>
      <c r="V30" s="1574" t="s">
        <v>8</v>
      </c>
      <c r="W30" s="1575">
        <f t="shared" si="12"/>
        <v>100</v>
      </c>
      <c r="X30" s="1568"/>
      <c r="Y30" s="3444"/>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2"/>
      <c r="M31" s="2134"/>
      <c r="N31" s="2134"/>
      <c r="O31" s="2141"/>
      <c r="P31" s="3444"/>
      <c r="Q31" s="1573"/>
      <c r="R31" s="1574"/>
      <c r="S31" s="1575"/>
      <c r="T31" s="1574"/>
      <c r="U31" s="1575"/>
      <c r="V31" s="1574"/>
      <c r="W31" s="1575"/>
      <c r="X31" s="1568"/>
      <c r="Y31" s="3444"/>
      <c r="Z31" s="1576"/>
      <c r="AA31" s="1577">
        <v>1</v>
      </c>
      <c r="AB31" s="1577">
        <v>1</v>
      </c>
      <c r="AC31" s="1577">
        <v>1</v>
      </c>
    </row>
    <row r="32" spans="1:29" ht="15">
      <c r="A32" s="533"/>
      <c r="B32" s="528" t="s">
        <v>550</v>
      </c>
      <c r="C32" s="26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2"/>
      <c r="M32" s="2134"/>
      <c r="N32" s="2134"/>
      <c r="O32" s="2141"/>
      <c r="P32" s="3444"/>
      <c r="Q32" s="1573" t="str">
        <f t="shared" si="8"/>
        <v>土地级别</v>
      </c>
      <c r="R32" s="1574" t="s">
        <v>8</v>
      </c>
      <c r="S32" s="1575">
        <f t="shared" si="10"/>
        <v>100</v>
      </c>
      <c r="T32" s="1574" t="s">
        <v>8</v>
      </c>
      <c r="U32" s="1575">
        <f t="shared" si="11"/>
        <v>100</v>
      </c>
      <c r="V32" s="1574" t="s">
        <v>8</v>
      </c>
      <c r="W32" s="1575">
        <f t="shared" si="12"/>
        <v>100</v>
      </c>
      <c r="X32" s="1568"/>
      <c r="Y32" s="3444"/>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2"/>
      <c r="M33" s="2134"/>
      <c r="N33" s="2134"/>
      <c r="O33" s="2141"/>
      <c r="P33" s="3444"/>
      <c r="Q33" s="1573">
        <f t="shared" si="8"/>
        <v>111</v>
      </c>
      <c r="R33" s="1574" t="s">
        <v>8</v>
      </c>
      <c r="S33" s="1575">
        <f t="shared" si="10"/>
        <v>100</v>
      </c>
      <c r="T33" s="1574" t="s">
        <v>8</v>
      </c>
      <c r="U33" s="1575">
        <f t="shared" si="11"/>
        <v>100</v>
      </c>
      <c r="V33" s="1574" t="s">
        <v>8</v>
      </c>
      <c r="W33" s="1575">
        <f t="shared" si="12"/>
        <v>100</v>
      </c>
      <c r="X33" s="1568"/>
      <c r="Y33" s="3444"/>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2"/>
      <c r="M34" s="2134"/>
      <c r="N34" s="2134"/>
      <c r="O34" s="2141"/>
      <c r="P34" s="3445" t="s">
        <v>551</v>
      </c>
      <c r="Q34" s="1573">
        <f t="shared" si="8"/>
        <v>111</v>
      </c>
      <c r="R34" s="1574" t="s">
        <v>8</v>
      </c>
      <c r="S34" s="1575">
        <f t="shared" si="10"/>
        <v>100</v>
      </c>
      <c r="T34" s="1574" t="s">
        <v>8</v>
      </c>
      <c r="U34" s="1575">
        <f t="shared" si="11"/>
        <v>100</v>
      </c>
      <c r="V34" s="1574" t="s">
        <v>8</v>
      </c>
      <c r="W34" s="1575">
        <f t="shared" si="12"/>
        <v>100</v>
      </c>
      <c r="X34" s="1568"/>
      <c r="Y34" s="3446" t="s">
        <v>551</v>
      </c>
      <c r="Z34" s="1576">
        <f t="shared" si="13"/>
        <v>111</v>
      </c>
      <c r="AA34" s="1577">
        <f t="shared" si="3"/>
        <v>1</v>
      </c>
      <c r="AB34" s="1577">
        <f t="shared" si="4"/>
        <v>1</v>
      </c>
      <c r="AC34" s="1577">
        <f t="shared" si="5"/>
        <v>1</v>
      </c>
    </row>
    <row r="35" spans="1:29" s="1340" customFormat="1" ht="15.75" thickBot="1">
      <c r="A35" s="590"/>
      <c r="B35" s="2618">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0"/>
      <c r="M35" s="2171"/>
      <c r="N35" s="2171"/>
      <c r="O35" s="2143"/>
      <c r="P35" s="3446"/>
      <c r="Q35" s="1573">
        <f t="shared" si="8"/>
        <v>111</v>
      </c>
      <c r="R35" s="1578" t="s">
        <v>8</v>
      </c>
      <c r="S35" s="1579">
        <f t="shared" si="10"/>
        <v>100</v>
      </c>
      <c r="T35" s="1578" t="s">
        <v>8</v>
      </c>
      <c r="U35" s="1579">
        <f t="shared" si="11"/>
        <v>100</v>
      </c>
      <c r="V35" s="1578" t="s">
        <v>8</v>
      </c>
      <c r="W35" s="1579">
        <f t="shared" si="12"/>
        <v>100</v>
      </c>
      <c r="X35" s="1580"/>
      <c r="Y35" s="3446"/>
      <c r="Z35" s="1581">
        <f t="shared" si="13"/>
        <v>111</v>
      </c>
      <c r="AA35" s="1577">
        <f t="shared" si="3"/>
        <v>1</v>
      </c>
      <c r="AB35" s="1577">
        <f t="shared" si="4"/>
        <v>1</v>
      </c>
      <c r="AC35" s="1577">
        <f t="shared" si="5"/>
        <v>1</v>
      </c>
    </row>
    <row r="36" spans="1:29" ht="15">
      <c r="A36" s="2933"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2"/>
      <c r="M36" s="2134"/>
      <c r="N36" s="2134"/>
      <c r="O36" s="2141"/>
      <c r="P36" s="3446"/>
      <c r="Q36" s="1573" t="str">
        <f>B36</f>
        <v>宗地面积</v>
      </c>
      <c r="R36" s="1574" t="s">
        <v>8</v>
      </c>
      <c r="S36" s="1575" t="e">
        <f t="shared" si="10"/>
        <v>#N/A</v>
      </c>
      <c r="T36" s="1574" t="s">
        <v>8</v>
      </c>
      <c r="U36" s="1575" t="e">
        <f t="shared" si="11"/>
        <v>#N/A</v>
      </c>
      <c r="V36" s="1574" t="s">
        <v>8</v>
      </c>
      <c r="W36" s="1575" t="e">
        <f t="shared" si="12"/>
        <v>#N/A</v>
      </c>
      <c r="X36" s="1568"/>
      <c r="Y36" s="3446"/>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2"/>
      <c r="M37" s="2134"/>
      <c r="N37" s="2134"/>
      <c r="O37" s="2141"/>
      <c r="P37" s="3446"/>
      <c r="Q37" s="1573" t="str">
        <f t="shared" ref="Q37:Q42" si="14">B37</f>
        <v>宗地形状</v>
      </c>
      <c r="R37" s="1574" t="s">
        <v>8</v>
      </c>
      <c r="S37" s="1575">
        <f t="shared" si="10"/>
        <v>100</v>
      </c>
      <c r="T37" s="1574" t="s">
        <v>8</v>
      </c>
      <c r="U37" s="1575">
        <f t="shared" si="11"/>
        <v>100</v>
      </c>
      <c r="V37" s="1574" t="s">
        <v>8</v>
      </c>
      <c r="W37" s="1575">
        <f t="shared" si="12"/>
        <v>100</v>
      </c>
      <c r="X37" s="1568"/>
      <c r="Y37" s="3446"/>
      <c r="Z37" s="1576" t="str">
        <f t="shared" si="13"/>
        <v>宗地形状</v>
      </c>
      <c r="AA37" s="1577">
        <f t="shared" si="3"/>
        <v>1</v>
      </c>
      <c r="AB37" s="1577">
        <f t="shared" si="4"/>
        <v>1</v>
      </c>
      <c r="AC37" s="1577">
        <f t="shared" si="5"/>
        <v>1</v>
      </c>
    </row>
    <row r="38" spans="1:29" s="1221" customFormat="1" ht="15">
      <c r="A38" s="601"/>
      <c r="B38" s="1895" t="s">
        <v>2426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5"/>
      <c r="M38" s="2136"/>
      <c r="N38" s="2136"/>
      <c r="O38" s="2137"/>
      <c r="P38" s="3446"/>
      <c r="Q38" s="1573" t="str">
        <f t="shared" si="14"/>
        <v>宗地开发程度</v>
      </c>
      <c r="R38" s="1569" t="s">
        <v>8</v>
      </c>
      <c r="S38" s="1570">
        <f t="shared" si="10"/>
        <v>100</v>
      </c>
      <c r="T38" s="1569" t="s">
        <v>8</v>
      </c>
      <c r="U38" s="1570">
        <f t="shared" si="11"/>
        <v>100</v>
      </c>
      <c r="V38" s="1569" t="s">
        <v>8</v>
      </c>
      <c r="W38" s="1570">
        <f t="shared" si="12"/>
        <v>100</v>
      </c>
      <c r="X38" s="1571"/>
      <c r="Y38" s="3446"/>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46" t="s">
        <v>602</v>
      </c>
      <c r="Q39" s="1573" t="str">
        <f t="shared" si="14"/>
        <v>工程地质条件</v>
      </c>
      <c r="R39" s="1574" t="s">
        <v>8</v>
      </c>
      <c r="S39" s="1575">
        <f t="shared" si="10"/>
        <v>100</v>
      </c>
      <c r="T39" s="1574" t="s">
        <v>8</v>
      </c>
      <c r="U39" s="1575">
        <f t="shared" si="11"/>
        <v>100</v>
      </c>
      <c r="V39" s="1574" t="s">
        <v>8</v>
      </c>
      <c r="W39" s="1575">
        <f t="shared" si="12"/>
        <v>100</v>
      </c>
      <c r="X39" s="1568"/>
      <c r="Y39" s="3446"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2"/>
      <c r="M40" s="2134"/>
      <c r="N40" s="2134"/>
      <c r="O40" s="2141"/>
      <c r="P40" s="3446"/>
      <c r="Q40" s="1573">
        <f t="shared" si="14"/>
        <v>111</v>
      </c>
      <c r="R40" s="1574" t="s">
        <v>8</v>
      </c>
      <c r="S40" s="1575">
        <f t="shared" si="10"/>
        <v>100</v>
      </c>
      <c r="T40" s="1574" t="s">
        <v>8</v>
      </c>
      <c r="U40" s="1575">
        <f t="shared" si="11"/>
        <v>100</v>
      </c>
      <c r="V40" s="1574" t="s">
        <v>8</v>
      </c>
      <c r="W40" s="1575">
        <f t="shared" si="12"/>
        <v>100</v>
      </c>
      <c r="X40" s="1568"/>
      <c r="Y40" s="3446"/>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2"/>
      <c r="M41" s="2134"/>
      <c r="N41" s="2134"/>
      <c r="O41" s="2141"/>
      <c r="P41" s="3446"/>
      <c r="Q41" s="1573">
        <f t="shared" si="14"/>
        <v>111</v>
      </c>
      <c r="R41" s="1574" t="s">
        <v>8</v>
      </c>
      <c r="S41" s="1575">
        <f t="shared" si="10"/>
        <v>100</v>
      </c>
      <c r="T41" s="1574" t="s">
        <v>8</v>
      </c>
      <c r="U41" s="1575">
        <f t="shared" si="11"/>
        <v>100</v>
      </c>
      <c r="V41" s="1574" t="s">
        <v>8</v>
      </c>
      <c r="W41" s="1575">
        <f t="shared" si="12"/>
        <v>100</v>
      </c>
      <c r="X41" s="1568"/>
      <c r="Y41" s="3446"/>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0"/>
      <c r="M42" s="2171"/>
      <c r="N42" s="2171"/>
      <c r="O42" s="2143"/>
      <c r="P42" s="3446"/>
      <c r="Q42" s="1573">
        <f t="shared" si="14"/>
        <v>111</v>
      </c>
      <c r="R42" s="1578" t="s">
        <v>8</v>
      </c>
      <c r="S42" s="1579">
        <f t="shared" si="10"/>
        <v>100</v>
      </c>
      <c r="T42" s="1578" t="s">
        <v>8</v>
      </c>
      <c r="U42" s="1579">
        <f t="shared" si="11"/>
        <v>100</v>
      </c>
      <c r="V42" s="1578" t="s">
        <v>8</v>
      </c>
      <c r="W42" s="1579">
        <f t="shared" si="12"/>
        <v>100</v>
      </c>
      <c r="X42" s="1580"/>
      <c r="Y42" s="3446"/>
      <c r="Z42" s="1581">
        <f t="shared" si="13"/>
        <v>111</v>
      </c>
      <c r="AA42" s="1577">
        <f t="shared" si="3"/>
        <v>1</v>
      </c>
      <c r="AB42" s="1577">
        <f t="shared" si="4"/>
        <v>1</v>
      </c>
      <c r="AC42" s="1577">
        <f t="shared" si="5"/>
        <v>1</v>
      </c>
    </row>
    <row r="43" spans="1:29" ht="15">
      <c r="A43" s="608" t="s">
        <v>557</v>
      </c>
      <c r="B43" s="609" t="s">
        <v>2933</v>
      </c>
      <c r="C43" s="610" t="s">
        <v>1</v>
      </c>
      <c r="D43" s="611"/>
      <c r="E43" s="612"/>
      <c r="F43" s="613"/>
      <c r="G43" s="614"/>
      <c r="H43" s="615"/>
      <c r="I43" s="612"/>
      <c r="J43" s="615"/>
      <c r="K43" s="1341"/>
      <c r="L43" s="2144"/>
      <c r="M43" s="2134"/>
      <c r="N43" s="2134"/>
      <c r="O43" s="2145"/>
      <c r="P43" s="3409" t="str">
        <f>A43</f>
        <v>成交单价</v>
      </c>
      <c r="Q43" s="3409"/>
      <c r="R43" s="3410">
        <f>E43</f>
        <v>0</v>
      </c>
      <c r="S43" s="3410"/>
      <c r="T43" s="3410">
        <f>G43</f>
        <v>0</v>
      </c>
      <c r="U43" s="3410"/>
      <c r="V43" s="3410">
        <f>I43</f>
        <v>0</v>
      </c>
      <c r="W43" s="3410"/>
      <c r="X43" s="1560"/>
      <c r="Y43" s="1582"/>
      <c r="Z43" s="1560"/>
      <c r="AA43" s="1560"/>
      <c r="AB43" s="1560"/>
      <c r="AC43" s="1560"/>
    </row>
    <row r="44" spans="1:29" ht="15.75" thickBot="1">
      <c r="A44" s="616" t="s">
        <v>2699</v>
      </c>
      <c r="B44" s="617"/>
      <c r="C44" s="618" t="e">
        <f>R45</f>
        <v>#DIV/0!</v>
      </c>
      <c r="D44" s="619"/>
      <c r="E44" s="618" t="e">
        <f>R44</f>
        <v>#DIV/0!</v>
      </c>
      <c r="F44" s="620"/>
      <c r="G44" s="621" t="e">
        <f>T44</f>
        <v>#DIV/0!</v>
      </c>
      <c r="H44" s="619"/>
      <c r="I44" s="618" t="e">
        <f>V44</f>
        <v>#DIV/0!</v>
      </c>
      <c r="J44" s="619"/>
      <c r="K44" s="1342"/>
      <c r="L44" s="2144"/>
      <c r="M44" s="2134"/>
      <c r="N44" s="2134"/>
      <c r="O44" s="2145"/>
      <c r="P44" s="3409" t="str">
        <f>A44</f>
        <v>比较价格（元/平方米）</v>
      </c>
      <c r="Q44" s="3409"/>
      <c r="R44" s="3411" t="e">
        <f>ROUND(PRODUCT(R43,AA9:AA42),0)</f>
        <v>#DIV/0!</v>
      </c>
      <c r="S44" s="3411"/>
      <c r="T44" s="3411" t="e">
        <f>ROUND(PRODUCT(T43,AB9:AB42),0)</f>
        <v>#DIV/0!</v>
      </c>
      <c r="U44" s="3411"/>
      <c r="V44" s="3411" t="e">
        <f>ROUND(PRODUCT(V43,AC9:AC42),0)</f>
        <v>#DIV/0!</v>
      </c>
      <c r="W44" s="3411"/>
      <c r="X44" s="1560"/>
      <c r="Y44" s="1560"/>
      <c r="Z44" s="1560"/>
      <c r="AA44" s="1560"/>
      <c r="AB44" s="1560"/>
      <c r="AC44" s="1560"/>
    </row>
    <row r="45" spans="1:29" ht="15.75" thickBot="1">
      <c r="A45" s="622" t="s">
        <v>2934</v>
      </c>
      <c r="B45" s="623"/>
      <c r="C45" s="624" t="e">
        <f>R45</f>
        <v>#DIV/0!</v>
      </c>
      <c r="D45" s="624"/>
      <c r="E45" s="624"/>
      <c r="F45" s="624"/>
      <c r="G45" s="624"/>
      <c r="H45" s="624"/>
      <c r="I45" s="624"/>
      <c r="J45" s="624"/>
      <c r="K45" s="1343"/>
      <c r="L45" s="2144"/>
      <c r="M45" s="2134"/>
      <c r="N45" s="2134"/>
      <c r="O45" s="2145"/>
      <c r="P45" s="3406" t="str">
        <f>A45</f>
        <v>估价对象XX用房的比较价格（楼面单价，元/平方米）</v>
      </c>
      <c r="Q45" s="3407"/>
      <c r="R45" s="3408" t="e">
        <f>ROUND(AVERAGE(R44:V44),0)</f>
        <v>#DIV/0!</v>
      </c>
      <c r="S45" s="3408"/>
      <c r="T45" s="3408"/>
      <c r="U45" s="3408"/>
      <c r="V45" s="3408"/>
      <c r="W45" s="340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6" customFormat="1" ht="13.5" customHeight="1">
      <c r="A50" s="2146"/>
      <c r="B50" s="2146"/>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6"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0" t="s">
        <v>561</v>
      </c>
      <c r="B52" s="631" t="s">
        <v>562</v>
      </c>
      <c r="C52" s="1561" t="s">
        <v>1725</v>
      </c>
      <c r="D52" s="2227" t="s">
        <v>2294</v>
      </c>
      <c r="E52" s="632" t="s">
        <v>563</v>
      </c>
      <c r="F52" s="1951" t="s">
        <v>564</v>
      </c>
      <c r="G52" s="3453" t="s">
        <v>2285</v>
      </c>
      <c r="H52" s="3454"/>
      <c r="I52" s="1952" t="s">
        <v>1948</v>
      </c>
      <c r="J52" s="1556" t="str">
        <f>项目基本情况!F41</f>
        <v>天津市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7" customFormat="1" ht="12.75">
      <c r="A53" s="634" t="s">
        <v>565</v>
      </c>
      <c r="B53" s="635" t="e">
        <f>C45</f>
        <v>#DIV/0!</v>
      </c>
      <c r="C53" s="636">
        <v>1</v>
      </c>
      <c r="D53" s="2228">
        <v>1</v>
      </c>
      <c r="E53" s="636">
        <f>'数据-汇总表'!E8+'数据-汇总表'!E9</f>
        <v>195612.12</v>
      </c>
      <c r="F53" s="1950" t="e">
        <f t="shared" ref="F53:F62" si="15">ROUND(B53*E53/10000,0)</f>
        <v>#DIV/0!</v>
      </c>
      <c r="G53" s="3455"/>
      <c r="H53" s="345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7" customFormat="1" ht="12.75">
      <c r="A54" s="638" t="s">
        <v>566</v>
      </c>
      <c r="B54" s="639" t="e">
        <f>ROUND($C$45*C54*D54,0)</f>
        <v>#DIV/0!</v>
      </c>
      <c r="C54" s="379">
        <f t="shared" ref="C54:C62" si="16">IF($C$52="北京市系数",I54,J54)</f>
        <v>0</v>
      </c>
      <c r="D54" s="2229">
        <v>0.25</v>
      </c>
      <c r="E54" s="640"/>
      <c r="F54" s="1950" t="e">
        <f t="shared" si="15"/>
        <v>#DIV/0!</v>
      </c>
      <c r="G54" s="3457"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7" customFormat="1" ht="12.75">
      <c r="A55" s="638" t="s">
        <v>567</v>
      </c>
      <c r="B55" s="639" t="e">
        <f t="shared" ref="B55:B62" si="17">ROUND($C$45*C55*D55,0)</f>
        <v>#DIV/0!</v>
      </c>
      <c r="C55" s="379">
        <f t="shared" si="16"/>
        <v>0</v>
      </c>
      <c r="D55" s="2229">
        <v>0.25</v>
      </c>
      <c r="E55" s="640"/>
      <c r="F55" s="1950" t="e">
        <f t="shared" si="15"/>
        <v>#DIV/0!</v>
      </c>
      <c r="G55" s="345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7" customFormat="1" ht="12.75">
      <c r="A56" s="638" t="s">
        <v>568</v>
      </c>
      <c r="B56" s="639" t="e">
        <f t="shared" si="17"/>
        <v>#DIV/0!</v>
      </c>
      <c r="C56" s="379">
        <f t="shared" si="16"/>
        <v>0</v>
      </c>
      <c r="D56" s="2229">
        <v>0.25</v>
      </c>
      <c r="E56" s="640"/>
      <c r="F56" s="1950" t="e">
        <f t="shared" si="15"/>
        <v>#DIV/0!</v>
      </c>
      <c r="G56" s="345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7" customFormat="1" ht="12.75">
      <c r="A57" s="638" t="s">
        <v>569</v>
      </c>
      <c r="B57" s="639" t="e">
        <f t="shared" si="17"/>
        <v>#DIV/0!</v>
      </c>
      <c r="C57" s="379">
        <f t="shared" si="16"/>
        <v>0</v>
      </c>
      <c r="D57" s="2229">
        <v>0.25</v>
      </c>
      <c r="E57" s="640"/>
      <c r="F57" s="1950" t="e">
        <f t="shared" si="15"/>
        <v>#DIV/0!</v>
      </c>
      <c r="G57" s="345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7" customFormat="1" ht="12.75">
      <c r="A58" s="2331" t="s">
        <v>2329</v>
      </c>
      <c r="B58" s="639" t="e">
        <f t="shared" si="17"/>
        <v>#DIV/0!</v>
      </c>
      <c r="C58" s="379">
        <f t="shared" si="16"/>
        <v>0</v>
      </c>
      <c r="D58" s="2229">
        <v>0.25</v>
      </c>
      <c r="E58" s="642">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570</v>
      </c>
      <c r="B59" s="639" t="e">
        <f t="shared" si="17"/>
        <v>#DIV/0!</v>
      </c>
      <c r="C59" s="379">
        <f t="shared" si="16"/>
        <v>0</v>
      </c>
      <c r="D59" s="2229">
        <v>0.25</v>
      </c>
      <c r="E59" s="642">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571</v>
      </c>
      <c r="B60" s="639" t="e">
        <f t="shared" si="17"/>
        <v>#DIV/0!</v>
      </c>
      <c r="C60" s="379">
        <f t="shared" si="16"/>
        <v>0</v>
      </c>
      <c r="D60" s="2229">
        <v>0.25</v>
      </c>
      <c r="E60" s="642">
        <f>'数据-汇总表'!E13</f>
        <v>50960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572</v>
      </c>
      <c r="B61" s="639" t="e">
        <f t="shared" si="17"/>
        <v>#DIV/0!</v>
      </c>
      <c r="C61" s="379">
        <f t="shared" si="16"/>
        <v>0</v>
      </c>
      <c r="D61" s="2229">
        <v>0.25</v>
      </c>
      <c r="E61" s="642">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3.5" thickBot="1">
      <c r="A62" s="638" t="s">
        <v>573</v>
      </c>
      <c r="B62" s="639" t="e">
        <f t="shared" si="17"/>
        <v>#DIV/0!</v>
      </c>
      <c r="C62" s="379">
        <f t="shared" si="16"/>
        <v>0</v>
      </c>
      <c r="D62" s="2229">
        <v>0.25</v>
      </c>
      <c r="E62" s="642">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3.5" thickBot="1">
      <c r="A63" s="643" t="s">
        <v>574</v>
      </c>
      <c r="B63" s="644" t="s">
        <v>17</v>
      </c>
      <c r="C63" s="644" t="s">
        <v>18</v>
      </c>
      <c r="D63" s="644" t="s">
        <v>2295</v>
      </c>
      <c r="E63" s="644">
        <f>IF(B43="楼面地价",SUM(E53:E62),'数据-汇总表'!D3)</f>
        <v>163507.1</v>
      </c>
      <c r="F63" s="645"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8" customFormat="1" ht="15">
      <c r="A67" s="2592" t="s">
        <v>2537</v>
      </c>
      <c r="B67" s="647"/>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1" customFormat="1" ht="27.75" customHeight="1">
      <c r="A68" s="2824" t="s">
        <v>2655</v>
      </c>
      <c r="B68" s="480" t="str">
        <f>"北京市平均增长率"&amp;TEXT(基准地价!P24,"0.00%")</f>
        <v>北京市平均增长率1.39%</v>
      </c>
      <c r="C68" s="895">
        <v>100</v>
      </c>
      <c r="D68" s="731"/>
      <c r="E68" s="731"/>
      <c r="F68" s="731"/>
      <c r="G68" s="731"/>
      <c r="H68" s="731"/>
      <c r="I68" s="731"/>
      <c r="J68" s="731"/>
      <c r="K68" s="731"/>
      <c r="L68" s="731"/>
      <c r="M68" s="2818"/>
      <c r="N68" s="2819"/>
      <c r="O68" s="2162"/>
      <c r="P68" s="2158"/>
      <c r="Q68" s="1993"/>
      <c r="R68" s="1993"/>
      <c r="S68" s="1993"/>
      <c r="T68" s="1993"/>
      <c r="U68" s="1993"/>
      <c r="V68" s="1993"/>
      <c r="W68" s="1993"/>
      <c r="X68" s="1993"/>
      <c r="Y68" s="1993"/>
      <c r="Z68" s="1993"/>
      <c r="AA68" s="1993"/>
      <c r="AB68" s="1993"/>
      <c r="AC68" s="1993"/>
    </row>
    <row r="69" spans="1:29" s="1221" customFormat="1" ht="15.75" thickBot="1">
      <c r="A69" s="654" t="s">
        <v>576</v>
      </c>
      <c r="B69" s="655"/>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1" customFormat="1" ht="15">
      <c r="A70" s="660" t="s">
        <v>532</v>
      </c>
      <c r="B70" s="649"/>
      <c r="C70" s="661" t="s">
        <v>577</v>
      </c>
      <c r="D70" s="662"/>
      <c r="E70" s="662"/>
      <c r="F70" s="662"/>
      <c r="G70" s="662"/>
      <c r="H70" s="662"/>
      <c r="I70" s="662"/>
      <c r="J70" s="662"/>
      <c r="K70" s="662"/>
      <c r="L70" s="663"/>
      <c r="M70" s="664"/>
      <c r="N70" s="2162"/>
      <c r="O70" s="2162"/>
      <c r="P70" s="2163"/>
      <c r="Q70" s="2158"/>
      <c r="R70" s="1993"/>
      <c r="S70" s="1993"/>
      <c r="T70" s="1993"/>
      <c r="U70" s="1993"/>
      <c r="V70" s="1993"/>
      <c r="W70" s="1993"/>
      <c r="X70" s="1993"/>
      <c r="Y70" s="1993"/>
      <c r="Z70" s="1993"/>
      <c r="AA70" s="1993"/>
      <c r="AB70" s="1993"/>
      <c r="AC70" s="1993"/>
    </row>
    <row r="71" spans="1:29" s="1221" customFormat="1" ht="15.75" thickBot="1">
      <c r="A71" s="660"/>
      <c r="B71" s="649"/>
      <c r="C71" s="650">
        <v>100</v>
      </c>
      <c r="D71" s="651"/>
      <c r="E71" s="651"/>
      <c r="F71" s="651"/>
      <c r="G71" s="651"/>
      <c r="H71" s="651"/>
      <c r="I71" s="651"/>
      <c r="J71" s="651"/>
      <c r="K71" s="651"/>
      <c r="L71" s="651"/>
      <c r="M71" s="653"/>
      <c r="N71" s="2162"/>
      <c r="O71" s="2162"/>
      <c r="P71" s="2158"/>
      <c r="Q71" s="2158"/>
      <c r="R71" s="1993"/>
      <c r="S71" s="1993"/>
      <c r="T71" s="1993"/>
      <c r="U71" s="1993"/>
      <c r="V71" s="1993"/>
      <c r="W71" s="1993"/>
      <c r="X71" s="1993"/>
      <c r="Y71" s="1993"/>
      <c r="Z71" s="1993"/>
      <c r="AA71" s="1993"/>
      <c r="AB71" s="1993"/>
      <c r="AC71" s="1993"/>
    </row>
    <row r="72" spans="1:29">
      <c r="A72" s="665" t="s">
        <v>578</v>
      </c>
      <c r="B72" s="666" t="s">
        <v>535</v>
      </c>
      <c r="C72" s="599"/>
      <c r="D72" s="599"/>
      <c r="E72" s="599"/>
      <c r="F72" s="599"/>
      <c r="G72" s="599"/>
      <c r="H72" s="599"/>
      <c r="I72" s="599"/>
      <c r="J72" s="599"/>
      <c r="K72" s="667"/>
      <c r="L72" s="668"/>
      <c r="M72" s="669"/>
      <c r="N72" s="2164"/>
      <c r="O72" s="2164"/>
      <c r="P72" s="2165"/>
      <c r="Q72" s="2158"/>
      <c r="R72" s="2145"/>
      <c r="S72" s="2145"/>
      <c r="T72" s="2145"/>
      <c r="U72" s="2145"/>
      <c r="V72" s="2145"/>
      <c r="W72" s="2145"/>
      <c r="X72" s="2145"/>
      <c r="Y72" s="2145"/>
      <c r="Z72" s="2145"/>
      <c r="AA72" s="2145"/>
      <c r="AB72" s="2145"/>
      <c r="AC72" s="2145"/>
    </row>
    <row r="73" spans="1:29" ht="15.75" thickBot="1">
      <c r="A73" s="670"/>
      <c r="B73" s="671"/>
      <c r="C73" s="672"/>
      <c r="D73" s="672"/>
      <c r="E73" s="672"/>
      <c r="F73" s="672"/>
      <c r="G73" s="672"/>
      <c r="H73" s="672"/>
      <c r="I73" s="672"/>
      <c r="J73" s="672"/>
      <c r="K73" s="672"/>
      <c r="L73" s="672"/>
      <c r="M73" s="673"/>
      <c r="N73" s="2166"/>
      <c r="O73" s="2166"/>
      <c r="P73" s="2165"/>
      <c r="Q73" s="2158"/>
      <c r="R73" s="2145"/>
      <c r="S73" s="2145"/>
      <c r="T73" s="2145"/>
      <c r="U73" s="2145"/>
      <c r="V73" s="2145"/>
      <c r="W73" s="2145"/>
      <c r="X73" s="2145"/>
      <c r="Y73" s="2145"/>
      <c r="Z73" s="2145"/>
      <c r="AA73" s="2145"/>
      <c r="AB73" s="2145"/>
      <c r="AC73" s="2145"/>
    </row>
    <row r="74" spans="1:29" ht="27.75" thickTop="1">
      <c r="A74" s="670"/>
      <c r="B74" s="674" t="s">
        <v>538</v>
      </c>
      <c r="C74" s="675"/>
      <c r="D74" s="675"/>
      <c r="E74" s="675"/>
      <c r="F74" s="675"/>
      <c r="G74" s="675"/>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c r="D75" s="680"/>
      <c r="E75" s="680"/>
      <c r="F75" s="680"/>
      <c r="G75" s="680"/>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0"/>
      <c r="B77" s="684"/>
      <c r="C77" s="542"/>
      <c r="D77" s="542"/>
      <c r="E77" s="542"/>
      <c r="F77" s="542"/>
      <c r="G77" s="542"/>
      <c r="H77" s="542"/>
      <c r="I77" s="542"/>
      <c r="J77" s="542"/>
      <c r="K77" s="685"/>
      <c r="L77" s="686"/>
      <c r="M77" s="687"/>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6"/>
      <c r="O78" s="2166"/>
      <c r="P78" s="2165"/>
      <c r="Q78" s="2158"/>
      <c r="R78" s="2145"/>
      <c r="S78" s="2145"/>
      <c r="T78" s="2145"/>
      <c r="U78" s="2145"/>
      <c r="V78" s="2145"/>
      <c r="W78" s="2145"/>
      <c r="X78" s="2145"/>
      <c r="Y78" s="2145"/>
      <c r="Z78" s="2145"/>
      <c r="AA78" s="2145"/>
      <c r="AB78" s="2145"/>
      <c r="AC78" s="2145"/>
    </row>
    <row r="79" spans="1:29" s="1340" customFormat="1" ht="15.75" thickTop="1">
      <c r="A79" s="688"/>
      <c r="B79" s="674">
        <f>B14</f>
        <v>111</v>
      </c>
      <c r="C79" s="689"/>
      <c r="D79" s="689"/>
      <c r="E79" s="689"/>
      <c r="F79" s="689"/>
      <c r="G79" s="689"/>
      <c r="H79" s="690"/>
      <c r="I79" s="690"/>
      <c r="J79" s="690"/>
      <c r="K79" s="690"/>
      <c r="L79" s="691"/>
      <c r="M79" s="692"/>
      <c r="N79" s="2167"/>
      <c r="O79" s="2167"/>
      <c r="P79" s="2168"/>
      <c r="Q79" s="2169"/>
      <c r="R79" s="2170"/>
      <c r="S79" s="2170"/>
      <c r="T79" s="2170"/>
      <c r="U79" s="2170"/>
      <c r="V79" s="2170"/>
      <c r="W79" s="2170"/>
      <c r="X79" s="2170"/>
      <c r="Y79" s="2170"/>
      <c r="Z79" s="2170"/>
      <c r="AA79" s="2170"/>
      <c r="AB79" s="2170"/>
      <c r="AC79" s="2170"/>
    </row>
    <row r="80" spans="1:29" s="1340" customFormat="1" ht="15.75" thickBot="1">
      <c r="A80" s="688"/>
      <c r="B80" s="679"/>
      <c r="C80" s="693"/>
      <c r="D80" s="672"/>
      <c r="E80" s="672"/>
      <c r="F80" s="672"/>
      <c r="G80" s="672"/>
      <c r="H80" s="672"/>
      <c r="I80" s="672"/>
      <c r="J80" s="672"/>
      <c r="K80" s="672"/>
      <c r="L80" s="672"/>
      <c r="M80" s="673"/>
      <c r="N80" s="2166"/>
      <c r="O80" s="2166"/>
      <c r="P80" s="2168"/>
      <c r="Q80" s="2169"/>
      <c r="R80" s="2170"/>
      <c r="S80" s="2170"/>
      <c r="T80" s="2170"/>
      <c r="U80" s="2170"/>
      <c r="V80" s="2170"/>
      <c r="W80" s="2170"/>
      <c r="X80" s="2170"/>
      <c r="Y80" s="2170"/>
      <c r="Z80" s="2170"/>
      <c r="AA80" s="2170"/>
      <c r="AB80" s="2170"/>
      <c r="AC80" s="2170"/>
    </row>
    <row r="81" spans="1:29" s="1340" customFormat="1" ht="15.75" thickTop="1">
      <c r="A81" s="688"/>
      <c r="B81" s="674">
        <f>B15</f>
        <v>111</v>
      </c>
      <c r="C81" s="689"/>
      <c r="D81" s="689"/>
      <c r="E81" s="689"/>
      <c r="F81" s="689"/>
      <c r="G81" s="689"/>
      <c r="H81" s="690"/>
      <c r="I81" s="690"/>
      <c r="J81" s="690"/>
      <c r="K81" s="690"/>
      <c r="L81" s="691"/>
      <c r="M81" s="692"/>
      <c r="N81" s="2167"/>
      <c r="O81" s="2167"/>
      <c r="P81" s="2171"/>
      <c r="Q81" s="2172"/>
      <c r="R81" s="2170"/>
      <c r="S81" s="2170"/>
      <c r="T81" s="2170"/>
      <c r="U81" s="2170"/>
      <c r="V81" s="2170"/>
      <c r="W81" s="2170"/>
      <c r="X81" s="2170"/>
      <c r="Y81" s="2170"/>
      <c r="Z81" s="2170"/>
      <c r="AA81" s="2170"/>
      <c r="AB81" s="2170"/>
      <c r="AC81" s="2170"/>
    </row>
    <row r="82" spans="1:29" s="1340" customFormat="1" ht="15.75" thickBot="1">
      <c r="A82" s="688"/>
      <c r="B82" s="679"/>
      <c r="C82" s="693"/>
      <c r="D82" s="693"/>
      <c r="E82" s="693"/>
      <c r="F82" s="693"/>
      <c r="G82" s="693"/>
      <c r="H82" s="694"/>
      <c r="I82" s="694"/>
      <c r="J82" s="694"/>
      <c r="K82" s="694"/>
      <c r="L82" s="694"/>
      <c r="M82" s="695"/>
      <c r="N82" s="2167"/>
      <c r="O82" s="2167"/>
      <c r="P82" s="2168"/>
      <c r="Q82" s="2169"/>
      <c r="R82" s="2170"/>
      <c r="S82" s="2170"/>
      <c r="T82" s="2170"/>
      <c r="U82" s="2170"/>
      <c r="V82" s="2170"/>
      <c r="W82" s="2170"/>
      <c r="X82" s="2170"/>
      <c r="Y82" s="2170"/>
      <c r="Z82" s="2170"/>
      <c r="AA82" s="2170"/>
      <c r="AB82" s="2170"/>
      <c r="AC82" s="2170"/>
    </row>
    <row r="83" spans="1:29" s="1340" customFormat="1" ht="15.75" thickTop="1">
      <c r="A83" s="688"/>
      <c r="B83" s="682">
        <f>B16</f>
        <v>111</v>
      </c>
      <c r="C83" s="662"/>
      <c r="D83" s="662"/>
      <c r="E83" s="662"/>
      <c r="F83" s="662"/>
      <c r="G83" s="662"/>
      <c r="H83" s="696"/>
      <c r="I83" s="696"/>
      <c r="J83" s="696"/>
      <c r="K83" s="696"/>
      <c r="L83" s="697"/>
      <c r="M83" s="698"/>
      <c r="N83" s="2167"/>
      <c r="O83" s="2167"/>
      <c r="P83" s="2173"/>
      <c r="Q83" s="2169"/>
      <c r="R83" s="2170"/>
      <c r="S83" s="2170"/>
      <c r="T83" s="2170"/>
      <c r="U83" s="2170"/>
      <c r="V83" s="2170"/>
      <c r="W83" s="2170"/>
      <c r="X83" s="2170"/>
      <c r="Y83" s="2170"/>
      <c r="Z83" s="2170"/>
      <c r="AA83" s="2170"/>
      <c r="AB83" s="2170"/>
      <c r="AC83" s="2170"/>
    </row>
    <row r="84" spans="1:29" s="1340" customFormat="1" ht="15.75" thickBot="1">
      <c r="A84" s="699"/>
      <c r="B84" s="700"/>
      <c r="C84" s="701"/>
      <c r="D84" s="701"/>
      <c r="E84" s="701"/>
      <c r="F84" s="701"/>
      <c r="G84" s="701"/>
      <c r="H84" s="702"/>
      <c r="I84" s="702"/>
      <c r="J84" s="702"/>
      <c r="K84" s="702"/>
      <c r="L84" s="702"/>
      <c r="M84" s="703"/>
      <c r="N84" s="2167"/>
      <c r="O84" s="2167"/>
      <c r="P84" s="2168"/>
      <c r="Q84" s="2169"/>
      <c r="R84" s="2170"/>
      <c r="S84" s="2170"/>
      <c r="T84" s="2170"/>
      <c r="U84" s="2170"/>
      <c r="V84" s="2170"/>
      <c r="W84" s="2170"/>
      <c r="X84" s="2170"/>
      <c r="Y84" s="2170"/>
      <c r="Z84" s="2170"/>
      <c r="AA84" s="2170"/>
      <c r="AB84" s="2170"/>
      <c r="AC84" s="2170"/>
    </row>
    <row r="85" spans="1:29">
      <c r="A85" s="665" t="s">
        <v>540</v>
      </c>
      <c r="B85" s="666" t="s">
        <v>603</v>
      </c>
      <c r="C85" s="704" t="s">
        <v>580</v>
      </c>
      <c r="D85" s="704" t="s">
        <v>581</v>
      </c>
      <c r="E85" s="704" t="s">
        <v>582</v>
      </c>
      <c r="F85" s="704" t="s">
        <v>583</v>
      </c>
      <c r="G85" s="704" t="s">
        <v>584</v>
      </c>
      <c r="H85" s="705"/>
      <c r="I85" s="705"/>
      <c r="J85" s="705"/>
      <c r="K85" s="706"/>
      <c r="L85" s="707"/>
      <c r="M85" s="708"/>
      <c r="N85" s="2164"/>
      <c r="O85" s="2164"/>
      <c r="P85" s="2174"/>
      <c r="Q85" s="2158"/>
      <c r="R85" s="2145"/>
      <c r="S85" s="2145"/>
      <c r="T85" s="2145"/>
      <c r="U85" s="2145"/>
      <c r="V85" s="2145"/>
      <c r="W85" s="2145"/>
      <c r="X85" s="2145"/>
      <c r="Y85" s="2145"/>
      <c r="Z85" s="2145"/>
      <c r="AA85" s="2145"/>
      <c r="AB85" s="2145"/>
      <c r="AC85" s="2145"/>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6"/>
      <c r="O86" s="2166"/>
      <c r="P86" s="2165"/>
      <c r="Q86" s="2158"/>
      <c r="R86" s="2145"/>
      <c r="S86" s="2145"/>
      <c r="T86" s="2145"/>
      <c r="U86" s="2145"/>
      <c r="V86" s="2145"/>
      <c r="W86" s="2145"/>
      <c r="X86" s="2145"/>
      <c r="Y86" s="2145"/>
      <c r="Z86" s="2145"/>
      <c r="AA86" s="2145"/>
      <c r="AB86" s="2145"/>
      <c r="AC86" s="2145"/>
    </row>
    <row r="87" spans="1:29" ht="15.75" thickTop="1">
      <c r="A87" s="670"/>
      <c r="B87" s="674" t="s">
        <v>587</v>
      </c>
      <c r="C87" s="709" t="s">
        <v>580</v>
      </c>
      <c r="D87" s="709" t="s">
        <v>581</v>
      </c>
      <c r="E87" s="709" t="s">
        <v>582</v>
      </c>
      <c r="F87" s="709" t="s">
        <v>583</v>
      </c>
      <c r="G87" s="709" t="s">
        <v>584</v>
      </c>
      <c r="H87" s="675"/>
      <c r="I87" s="675"/>
      <c r="J87" s="675"/>
      <c r="K87" s="676"/>
      <c r="L87" s="677"/>
      <c r="M87" s="678"/>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6"/>
      <c r="O88" s="2166"/>
      <c r="P88" s="2165"/>
      <c r="Q88" s="2158"/>
      <c r="R88" s="2145"/>
      <c r="S88" s="2145"/>
      <c r="T88" s="2145"/>
      <c r="U88" s="2145"/>
      <c r="V88" s="2145"/>
      <c r="W88" s="2145"/>
      <c r="X88" s="2145"/>
      <c r="Y88" s="2145"/>
      <c r="Z88" s="2145"/>
      <c r="AA88" s="2145"/>
      <c r="AB88" s="2145"/>
      <c r="AC88" s="2145"/>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2"/>
      <c r="O89" s="2162"/>
      <c r="P89" s="2165"/>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6"/>
      <c r="O90" s="2166"/>
      <c r="P90" s="2165"/>
      <c r="Q90" s="2158"/>
      <c r="R90" s="1993"/>
      <c r="S90" s="1993"/>
      <c r="T90" s="1993"/>
      <c r="U90" s="1993"/>
      <c r="V90" s="1993"/>
      <c r="W90" s="1993"/>
      <c r="X90" s="1993"/>
      <c r="Y90" s="1993"/>
      <c r="Z90" s="1993"/>
      <c r="AA90" s="1993"/>
      <c r="AB90" s="1993"/>
      <c r="AC90" s="1993"/>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2"/>
      <c r="O91" s="2162"/>
      <c r="P91" s="2165"/>
      <c r="Q91" s="2158"/>
      <c r="R91" s="1993"/>
      <c r="S91" s="1993"/>
      <c r="T91" s="1993"/>
      <c r="U91" s="1993"/>
      <c r="V91" s="1993"/>
      <c r="W91" s="1993"/>
      <c r="X91" s="1993"/>
      <c r="Y91" s="1993"/>
      <c r="Z91" s="1993"/>
      <c r="AA91" s="1993"/>
      <c r="AB91" s="1993"/>
      <c r="AC91" s="1993"/>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6"/>
      <c r="O92" s="2166"/>
      <c r="P92" s="2165"/>
      <c r="Q92" s="2158"/>
      <c r="R92" s="1993"/>
      <c r="S92" s="1993"/>
      <c r="T92" s="1993"/>
      <c r="U92" s="1993"/>
      <c r="V92" s="1993"/>
      <c r="W92" s="1993"/>
      <c r="X92" s="1993"/>
      <c r="Y92" s="1993"/>
      <c r="Z92" s="1993"/>
      <c r="AA92" s="1993"/>
      <c r="AB92" s="1993"/>
      <c r="AC92" s="1993"/>
    </row>
    <row r="93" spans="1:29" s="1340" customFormat="1" ht="15.75" thickTop="1">
      <c r="A93" s="688"/>
      <c r="B93" s="1896" t="s">
        <v>2552</v>
      </c>
      <c r="C93" s="704" t="s">
        <v>580</v>
      </c>
      <c r="D93" s="704" t="s">
        <v>581</v>
      </c>
      <c r="E93" s="704" t="s">
        <v>582</v>
      </c>
      <c r="F93" s="704" t="s">
        <v>583</v>
      </c>
      <c r="G93" s="704" t="s">
        <v>584</v>
      </c>
      <c r="H93" s="714"/>
      <c r="I93" s="714"/>
      <c r="J93" s="714"/>
      <c r="K93" s="714"/>
      <c r="L93" s="715"/>
      <c r="M93" s="716"/>
      <c r="N93" s="2167"/>
      <c r="O93" s="2167"/>
      <c r="P93" s="2168"/>
      <c r="Q93" s="2169"/>
      <c r="R93" s="2170"/>
      <c r="S93" s="2170"/>
      <c r="T93" s="2170"/>
      <c r="U93" s="2170"/>
      <c r="V93" s="2170"/>
      <c r="W93" s="2170"/>
      <c r="X93" s="2170"/>
      <c r="Y93" s="2170"/>
      <c r="Z93" s="2170"/>
      <c r="AA93" s="2170"/>
      <c r="AB93" s="2170"/>
      <c r="AC93" s="2170"/>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7"/>
      <c r="O94" s="2167"/>
      <c r="P94" s="2168"/>
      <c r="Q94" s="2169"/>
      <c r="R94" s="2170"/>
      <c r="S94" s="2170"/>
      <c r="T94" s="2170"/>
      <c r="U94" s="2170"/>
      <c r="V94" s="2170"/>
      <c r="W94" s="2170"/>
      <c r="X94" s="2170"/>
      <c r="Y94" s="2170"/>
      <c r="Z94" s="2170"/>
      <c r="AA94" s="2170"/>
      <c r="AB94" s="2170"/>
      <c r="AC94" s="2170"/>
    </row>
    <row r="95" spans="1:29" s="1340" customFormat="1" ht="15.75" thickTop="1">
      <c r="A95" s="688"/>
      <c r="B95" s="2621" t="s">
        <v>2554</v>
      </c>
      <c r="C95" s="2622" t="s">
        <v>2555</v>
      </c>
      <c r="D95" s="2622" t="s">
        <v>2556</v>
      </c>
      <c r="E95" s="2622" t="s">
        <v>2557</v>
      </c>
      <c r="F95" s="2622" t="s">
        <v>2558</v>
      </c>
      <c r="G95" s="2622" t="s">
        <v>2559</v>
      </c>
      <c r="H95" s="714"/>
      <c r="I95" s="714"/>
      <c r="J95" s="714"/>
      <c r="K95" s="714"/>
      <c r="L95" s="714"/>
      <c r="M95" s="716"/>
      <c r="N95" s="2167"/>
      <c r="O95" s="2167"/>
      <c r="P95" s="2168"/>
      <c r="Q95" s="2169"/>
      <c r="R95" s="2170"/>
      <c r="S95" s="2170"/>
      <c r="T95" s="2170"/>
      <c r="U95" s="2170"/>
      <c r="V95" s="2170"/>
      <c r="W95" s="2170"/>
      <c r="X95" s="2170"/>
      <c r="Y95" s="2170"/>
      <c r="Z95" s="2170"/>
      <c r="AA95" s="2170"/>
      <c r="AB95" s="2170"/>
      <c r="AC95" s="2170"/>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4"/>
      <c r="N96" s="2167"/>
      <c r="O96" s="2167"/>
      <c r="P96" s="2168"/>
      <c r="Q96" s="2169"/>
      <c r="R96" s="2170"/>
      <c r="S96" s="2170"/>
      <c r="T96" s="2170"/>
      <c r="U96" s="2170"/>
      <c r="V96" s="2170"/>
      <c r="W96" s="2170"/>
      <c r="X96" s="2170"/>
      <c r="Y96" s="2170"/>
      <c r="Z96" s="2170"/>
      <c r="AA96" s="2170"/>
      <c r="AB96" s="2170"/>
      <c r="AC96" s="2170"/>
    </row>
    <row r="97" spans="1:29" ht="15.75" thickTop="1">
      <c r="A97" s="670"/>
      <c r="B97" s="674" t="str">
        <f>B29</f>
        <v>临街状况</v>
      </c>
      <c r="C97" s="675" t="s">
        <v>590</v>
      </c>
      <c r="D97" s="675" t="s">
        <v>591</v>
      </c>
      <c r="E97" s="675" t="s">
        <v>592</v>
      </c>
      <c r="F97" s="675" t="s">
        <v>593</v>
      </c>
      <c r="G97" s="675"/>
      <c r="H97" s="675"/>
      <c r="I97" s="675"/>
      <c r="J97" s="675"/>
      <c r="K97" s="676"/>
      <c r="L97" s="677"/>
      <c r="M97" s="678"/>
      <c r="N97" s="2164"/>
      <c r="O97" s="2164"/>
      <c r="P97" s="2165"/>
      <c r="Q97" s="2158"/>
      <c r="R97" s="2145"/>
      <c r="S97" s="2145"/>
      <c r="T97" s="2145"/>
      <c r="U97" s="2145"/>
      <c r="V97" s="2145"/>
      <c r="W97" s="2145"/>
      <c r="X97" s="2145"/>
      <c r="Y97" s="2145"/>
      <c r="Z97" s="2145"/>
      <c r="AA97" s="2145"/>
      <c r="AB97" s="2145"/>
      <c r="AC97" s="2145"/>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0"/>
      <c r="B99" s="674" t="s">
        <v>549</v>
      </c>
      <c r="C99" s="689"/>
      <c r="D99" s="689"/>
      <c r="E99" s="689"/>
      <c r="F99" s="689"/>
      <c r="G99" s="689"/>
      <c r="H99" s="719"/>
      <c r="I99" s="719"/>
      <c r="J99" s="719"/>
      <c r="K99" s="720"/>
      <c r="L99" s="721"/>
      <c r="M99" s="722"/>
      <c r="N99" s="2164"/>
      <c r="O99" s="2164"/>
      <c r="P99" s="2165"/>
      <c r="Q99" s="2158"/>
      <c r="R99" s="2145"/>
      <c r="S99" s="2145"/>
      <c r="T99" s="2145"/>
      <c r="U99" s="2145"/>
      <c r="V99" s="2145"/>
      <c r="W99" s="2145"/>
      <c r="X99" s="2145"/>
      <c r="Y99" s="2145"/>
      <c r="Z99" s="2145"/>
      <c r="AA99" s="2145"/>
      <c r="AB99" s="2145"/>
      <c r="AC99" s="2145"/>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0"/>
      <c r="B101" s="674" t="s">
        <v>550</v>
      </c>
      <c r="C101" s="719"/>
      <c r="D101" s="719"/>
      <c r="E101" s="719"/>
      <c r="F101" s="719"/>
      <c r="G101" s="719"/>
      <c r="H101" s="719"/>
      <c r="I101" s="719"/>
      <c r="J101" s="719"/>
      <c r="K101" s="720"/>
      <c r="L101" s="721"/>
      <c r="M101" s="72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0"/>
      <c r="B103" s="682">
        <f>B33</f>
        <v>111</v>
      </c>
      <c r="C103" s="689"/>
      <c r="D103" s="689"/>
      <c r="E103" s="689"/>
      <c r="F103" s="689"/>
      <c r="G103" s="723"/>
      <c r="H103" s="723"/>
      <c r="I103" s="723"/>
      <c r="J103" s="723"/>
      <c r="K103" s="724"/>
      <c r="L103" s="725"/>
      <c r="M103" s="726"/>
      <c r="N103" s="2164"/>
      <c r="O103" s="2164"/>
      <c r="P103" s="2165"/>
      <c r="Q103" s="2158"/>
      <c r="R103" s="2145"/>
      <c r="S103" s="2145"/>
      <c r="T103" s="2145"/>
      <c r="U103" s="2145"/>
      <c r="V103" s="2145"/>
      <c r="W103" s="2145"/>
      <c r="X103" s="2145"/>
      <c r="Y103" s="2145"/>
      <c r="Z103" s="2145"/>
      <c r="AA103" s="2145"/>
      <c r="AB103" s="2145"/>
      <c r="AC103" s="2145"/>
    </row>
    <row r="104" spans="1:29" ht="15.75" thickBot="1">
      <c r="A104" s="670"/>
      <c r="B104" s="700"/>
      <c r="C104" s="693"/>
      <c r="D104" s="672"/>
      <c r="E104" s="672"/>
      <c r="F104" s="672"/>
      <c r="G104" s="727"/>
      <c r="H104" s="727"/>
      <c r="I104" s="727"/>
      <c r="J104" s="727"/>
      <c r="K104" s="727"/>
      <c r="L104" s="727"/>
      <c r="M104" s="728"/>
      <c r="N104" s="2166"/>
      <c r="O104" s="2166"/>
      <c r="P104" s="2165"/>
      <c r="Q104" s="2158"/>
      <c r="R104" s="2145"/>
      <c r="S104" s="2145"/>
      <c r="T104" s="2145"/>
      <c r="U104" s="2145"/>
      <c r="V104" s="2145"/>
      <c r="W104" s="2145"/>
      <c r="X104" s="2145"/>
      <c r="Y104" s="2145"/>
      <c r="Z104" s="2145"/>
      <c r="AA104" s="2145"/>
      <c r="AB104" s="2145"/>
      <c r="AC104" s="2145"/>
    </row>
    <row r="105" spans="1:29" ht="15" thickTop="1">
      <c r="A105" s="588"/>
      <c r="B105" s="674">
        <f>B34</f>
        <v>111</v>
      </c>
      <c r="C105" s="689"/>
      <c r="D105" s="689"/>
      <c r="E105" s="689"/>
      <c r="F105" s="68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93"/>
      <c r="D106" s="693"/>
      <c r="E106" s="693"/>
      <c r="F106" s="693"/>
      <c r="G106" s="672"/>
      <c r="H106" s="672"/>
      <c r="I106" s="672"/>
      <c r="J106" s="672"/>
      <c r="K106" s="672"/>
      <c r="L106" s="672"/>
      <c r="M106" s="673"/>
      <c r="N106" s="2166"/>
      <c r="O106" s="2166"/>
      <c r="P106" s="2165"/>
      <c r="Q106" s="2158"/>
      <c r="R106" s="2145"/>
      <c r="S106" s="2145"/>
      <c r="T106" s="2145"/>
      <c r="U106" s="2145"/>
      <c r="V106" s="2145"/>
      <c r="W106" s="2145"/>
      <c r="X106" s="2145"/>
      <c r="Y106" s="2145"/>
      <c r="Z106" s="2145"/>
      <c r="AA106" s="2145"/>
      <c r="AB106" s="2145"/>
      <c r="AC106" s="2145"/>
    </row>
    <row r="107" spans="1:29" s="1340" customFormat="1" ht="15" thickTop="1">
      <c r="A107" s="729"/>
      <c r="B107" s="730">
        <f>B35</f>
        <v>111</v>
      </c>
      <c r="C107" s="662"/>
      <c r="D107" s="662"/>
      <c r="E107" s="662"/>
      <c r="F107" s="662"/>
      <c r="G107" s="731"/>
      <c r="H107" s="731"/>
      <c r="I107" s="731"/>
      <c r="J107" s="732"/>
      <c r="K107" s="732"/>
      <c r="L107" s="733"/>
      <c r="M107" s="734"/>
      <c r="N107" s="2167"/>
      <c r="O107" s="2167"/>
      <c r="P107" s="2168"/>
      <c r="Q107" s="2169"/>
      <c r="R107" s="2170"/>
      <c r="S107" s="2170"/>
      <c r="T107" s="2170"/>
      <c r="U107" s="2170"/>
      <c r="V107" s="2170"/>
      <c r="W107" s="2170"/>
      <c r="X107" s="2170"/>
      <c r="Y107" s="2170"/>
      <c r="Z107" s="2170"/>
      <c r="AA107" s="2170"/>
      <c r="AB107" s="2170"/>
      <c r="AC107" s="2170"/>
    </row>
    <row r="108" spans="1:29" s="1340" customFormat="1" ht="15.75" thickBot="1">
      <c r="A108" s="688"/>
      <c r="B108" s="682"/>
      <c r="C108" s="701"/>
      <c r="D108" s="701"/>
      <c r="E108" s="701"/>
      <c r="F108" s="701"/>
      <c r="G108" s="593"/>
      <c r="H108" s="593"/>
      <c r="I108" s="593"/>
      <c r="J108" s="593"/>
      <c r="K108" s="593"/>
      <c r="L108" s="593"/>
      <c r="M108" s="735"/>
      <c r="N108" s="2166"/>
      <c r="O108" s="2166"/>
      <c r="P108" s="2168"/>
      <c r="Q108" s="2169"/>
      <c r="R108" s="2170"/>
      <c r="S108" s="2170"/>
      <c r="T108" s="2170"/>
      <c r="U108" s="2170"/>
      <c r="V108" s="2170"/>
      <c r="W108" s="2170"/>
      <c r="X108" s="2170"/>
      <c r="Y108" s="2170"/>
      <c r="Z108" s="2170"/>
      <c r="AA108" s="2170"/>
      <c r="AB108" s="2170"/>
      <c r="AC108" s="2170"/>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0"/>
      <c r="B110" s="682"/>
      <c r="C110" s="731"/>
      <c r="D110" s="731"/>
      <c r="E110" s="731"/>
      <c r="F110" s="731"/>
      <c r="G110" s="731"/>
      <c r="H110" s="731"/>
      <c r="I110" s="731"/>
      <c r="J110" s="732"/>
      <c r="K110" s="732"/>
      <c r="L110" s="733"/>
      <c r="M110" s="734"/>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01"/>
      <c r="D111" s="727"/>
      <c r="E111" s="727"/>
      <c r="F111" s="727"/>
      <c r="G111" s="727"/>
      <c r="H111" s="727"/>
      <c r="I111" s="727"/>
      <c r="J111" s="727"/>
      <c r="K111" s="727"/>
      <c r="L111" s="727"/>
      <c r="M111" s="728"/>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74" t="s">
        <v>595</v>
      </c>
      <c r="C112" s="719"/>
      <c r="D112" s="719"/>
      <c r="E112" s="719"/>
      <c r="F112" s="719"/>
      <c r="G112" s="719"/>
      <c r="H112" s="719"/>
      <c r="I112" s="719"/>
      <c r="J112" s="719"/>
      <c r="K112" s="720"/>
      <c r="L112" s="721"/>
      <c r="M112" s="722"/>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6"/>
      <c r="O113" s="2166"/>
      <c r="P113" s="2165"/>
      <c r="Q113" s="2158"/>
      <c r="R113" s="2145"/>
      <c r="S113" s="2145"/>
      <c r="T113" s="2145"/>
      <c r="U113" s="2145"/>
      <c r="V113" s="2145"/>
      <c r="W113" s="2145"/>
      <c r="X113" s="2145"/>
      <c r="Y113" s="2145"/>
      <c r="Z113" s="2145"/>
      <c r="AA113" s="2145"/>
      <c r="AB113" s="2145"/>
      <c r="AC113" s="2145"/>
    </row>
    <row r="114" spans="1:29" s="1340" customFormat="1" ht="15" thickTop="1">
      <c r="A114" s="729"/>
      <c r="B114" s="1896" t="s">
        <v>2427</v>
      </c>
      <c r="C114" s="1376"/>
      <c r="D114" s="1376"/>
      <c r="E114" s="1376"/>
      <c r="F114" s="1376"/>
      <c r="G114" s="1376"/>
      <c r="H114" s="719"/>
      <c r="I114" s="719"/>
      <c r="J114" s="719"/>
      <c r="K114" s="720"/>
      <c r="L114" s="721"/>
      <c r="M114" s="722"/>
      <c r="N114" s="2167"/>
      <c r="O114" s="2167"/>
      <c r="P114" s="2168"/>
      <c r="Q114" s="2169"/>
      <c r="R114" s="2170"/>
      <c r="S114" s="2170"/>
      <c r="T114" s="2170"/>
      <c r="U114" s="2170"/>
      <c r="V114" s="2170"/>
      <c r="W114" s="2170"/>
      <c r="X114" s="2170"/>
      <c r="Y114" s="2170"/>
      <c r="Z114" s="2170"/>
      <c r="AA114" s="2170"/>
      <c r="AB114" s="2170"/>
      <c r="AC114" s="2170"/>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6"/>
      <c r="B116" s="674" t="s">
        <v>597</v>
      </c>
      <c r="C116" s="689"/>
      <c r="D116" s="689"/>
      <c r="E116" s="719"/>
      <c r="F116" s="719"/>
      <c r="G116" s="71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f>B40</f>
        <v>111</v>
      </c>
      <c r="C118" s="689"/>
      <c r="D118" s="689"/>
      <c r="E118" s="689"/>
      <c r="F118" s="689"/>
      <c r="G118" s="68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ht="15" thickTop="1">
      <c r="A120" s="736"/>
      <c r="B120" s="674">
        <f>B41</f>
        <v>111</v>
      </c>
      <c r="C120" s="689"/>
      <c r="D120" s="689"/>
      <c r="E120" s="689"/>
      <c r="F120" s="689"/>
      <c r="G120" s="719"/>
      <c r="H120" s="719"/>
      <c r="I120" s="719"/>
      <c r="J120" s="719"/>
      <c r="K120" s="720"/>
      <c r="L120" s="721"/>
      <c r="M120" s="722"/>
      <c r="N120" s="2164"/>
      <c r="O120" s="2164"/>
      <c r="P120" s="2165"/>
      <c r="Q120" s="2158"/>
      <c r="R120" s="2145"/>
      <c r="S120" s="2145"/>
      <c r="T120" s="2145"/>
      <c r="U120" s="2145"/>
      <c r="V120" s="2145"/>
      <c r="W120" s="2145"/>
      <c r="X120" s="2145"/>
      <c r="Y120" s="2145"/>
      <c r="Z120" s="2145"/>
      <c r="AA120" s="2145"/>
      <c r="AB120" s="2145"/>
      <c r="AC120" s="2145"/>
    </row>
    <row r="121" spans="1:29" ht="15.75" thickBot="1">
      <c r="A121" s="670"/>
      <c r="B121" s="679"/>
      <c r="C121" s="693"/>
      <c r="D121" s="693"/>
      <c r="E121" s="693"/>
      <c r="F121" s="693"/>
      <c r="G121" s="672"/>
      <c r="H121" s="672"/>
      <c r="I121" s="672"/>
      <c r="J121" s="672"/>
      <c r="K121" s="672"/>
      <c r="L121" s="672"/>
      <c r="M121" s="673"/>
      <c r="N121" s="2166"/>
      <c r="O121" s="2166"/>
      <c r="P121" s="2165"/>
      <c r="Q121" s="2158"/>
      <c r="R121" s="2145"/>
      <c r="S121" s="2145"/>
      <c r="T121" s="2145"/>
      <c r="U121" s="2145"/>
      <c r="V121" s="2145"/>
      <c r="W121" s="2145"/>
      <c r="X121" s="2145"/>
      <c r="Y121" s="2145"/>
      <c r="Z121" s="2145"/>
      <c r="AA121" s="2145"/>
      <c r="AB121" s="2145"/>
      <c r="AC121" s="2145"/>
    </row>
    <row r="122" spans="1:29" s="1340" customFormat="1" ht="15" thickTop="1">
      <c r="A122" s="729"/>
      <c r="B122" s="674">
        <f>B42</f>
        <v>111</v>
      </c>
      <c r="C122" s="662"/>
      <c r="D122" s="662"/>
      <c r="E122" s="662"/>
      <c r="F122" s="662"/>
      <c r="G122" s="690"/>
      <c r="H122" s="690"/>
      <c r="I122" s="690"/>
      <c r="J122" s="690"/>
      <c r="K122" s="690"/>
      <c r="L122" s="691"/>
      <c r="M122" s="692"/>
      <c r="N122" s="2167"/>
      <c r="O122" s="2167"/>
      <c r="P122" s="2168"/>
      <c r="Q122" s="2169"/>
      <c r="R122" s="2170"/>
      <c r="S122" s="2170"/>
      <c r="T122" s="2170"/>
      <c r="U122" s="2170"/>
      <c r="V122" s="2170"/>
      <c r="W122" s="2170"/>
      <c r="X122" s="2170"/>
      <c r="Y122" s="2170"/>
      <c r="Z122" s="2170"/>
      <c r="AA122" s="2170"/>
      <c r="AB122" s="2170"/>
      <c r="AC122" s="2170"/>
    </row>
    <row r="123" spans="1:29" s="1340" customFormat="1" ht="15.75" thickBot="1">
      <c r="A123" s="699"/>
      <c r="B123" s="737"/>
      <c r="C123" s="701"/>
      <c r="D123" s="701"/>
      <c r="E123" s="701"/>
      <c r="F123" s="701"/>
      <c r="G123" s="727"/>
      <c r="H123" s="727"/>
      <c r="I123" s="727"/>
      <c r="J123" s="727"/>
      <c r="K123" s="727"/>
      <c r="L123" s="727"/>
      <c r="M123" s="728"/>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76"/>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62" t="s">
        <v>2768</v>
      </c>
      <c r="S1" s="2962" t="s">
        <v>2769</v>
      </c>
      <c r="T1" s="2962" t="s">
        <v>2790</v>
      </c>
      <c r="U1" s="2962" t="s">
        <v>2791</v>
      </c>
      <c r="V1" s="2962" t="s">
        <v>2792</v>
      </c>
      <c r="W1" s="2189"/>
      <c r="X1" s="2189"/>
      <c r="Y1" s="2189"/>
      <c r="Z1" s="2189"/>
      <c r="AA1" s="2189"/>
      <c r="AB1" s="2189"/>
      <c r="AC1" s="2190"/>
    </row>
    <row r="2" spans="1:39" ht="15.75">
      <c r="A2" s="1407" t="s">
        <v>920</v>
      </c>
      <c r="B2" s="1039"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2" t="s">
        <v>1688</v>
      </c>
      <c r="B3" s="1039" t="e">
        <f>ROUND(B2*10000/D1,0)</f>
        <v>#DIV/0!</v>
      </c>
      <c r="C3" s="1408" t="s">
        <v>927</v>
      </c>
      <c r="D3" s="1409" t="s">
        <v>928</v>
      </c>
      <c r="E3" s="1413"/>
      <c r="F3" s="1414" t="s">
        <v>2935</v>
      </c>
      <c r="G3" s="1040">
        <f>IF(F3="宗地容积率",'数据-汇总表'!I4,IF(F3="估价对象容积率",'数据-汇总表'!I6,'数据-汇总表'!I7))</f>
        <v>1.2</v>
      </c>
      <c r="H3" s="1415" t="s">
        <v>929</v>
      </c>
      <c r="I3" s="1041">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2" customFormat="1" ht="15.75" thickBot="1">
      <c r="A5" s="1639" t="s">
        <v>1824</v>
      </c>
      <c r="B5" s="1416" t="s">
        <v>931</v>
      </c>
      <c r="C5" s="1042" t="e">
        <f>ROUND(IF(E2="商业",IF(F16="增加",C6*C7+C16,C6*C7-C16),IF(E2="住宅",IF(F16="增加",C6*C12+C16,C6*C12-C16),IF(F16="增加",C6+C16,C6-C16))),0)</f>
        <v>#DIV/0!</v>
      </c>
      <c r="D5" s="3148">
        <f>ROUND(IF(E2="商业",IF(F16="增加",C6+C16,C6-C16)),0)</f>
        <v>0</v>
      </c>
      <c r="E5" s="1417"/>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3">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20"/>
      <c r="AE6" s="1420"/>
      <c r="AF6" s="1420"/>
      <c r="AG6" s="1420"/>
      <c r="AH6" s="1420"/>
      <c r="AI6" s="1420"/>
      <c r="AJ6" s="1421"/>
    </row>
    <row r="7" spans="1:39" ht="24">
      <c r="A7" s="3467" t="str">
        <f>IF(E2="商业",IF(C8="不临58条商业街","",2),"")</f>
        <v/>
      </c>
      <c r="B7" s="1428" t="s">
        <v>932</v>
      </c>
      <c r="C7" s="1044" t="e">
        <f>IF(C8="不临58条商业街",1,ROUND(1+(1.6*E8+1.2*E9+0.8*E10+0.4*E11)*C9,4))</f>
        <v>#DIV/0!</v>
      </c>
      <c r="D7" s="1429" t="s">
        <v>933</v>
      </c>
      <c r="E7" s="1045"/>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1.2</v>
      </c>
      <c r="AA7" s="2192"/>
      <c r="AB7" s="2192"/>
      <c r="AC7" s="2193"/>
      <c r="AD7" s="2955"/>
      <c r="AE7" s="2955"/>
      <c r="AF7" s="2955"/>
      <c r="AG7" s="2955"/>
      <c r="AH7" s="2955"/>
      <c r="AI7" s="2955"/>
      <c r="AJ7" s="2956"/>
    </row>
    <row r="8" spans="1:39" ht="15">
      <c r="A8" s="3468"/>
      <c r="B8" s="1415" t="s">
        <v>934</v>
      </c>
      <c r="C8" s="1530"/>
      <c r="D8" s="1046" t="s">
        <v>935</v>
      </c>
      <c r="E8" s="1047"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59" t="s">
        <v>2789</v>
      </c>
      <c r="X8" s="3460"/>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68"/>
      <c r="B9" s="1415" t="s">
        <v>937</v>
      </c>
      <c r="C9" s="1048">
        <f>SUMIF(修正!C59:C119,C8,修正!E59:E119)</f>
        <v>0</v>
      </c>
      <c r="D9" s="1049" t="s">
        <v>938</v>
      </c>
      <c r="E9" s="1049"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58" t="s">
        <v>2785</v>
      </c>
      <c r="X9" s="2957" t="s">
        <v>2786</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8"/>
      <c r="B10" s="1415" t="s">
        <v>940</v>
      </c>
      <c r="C10" s="1049">
        <f>SUMIF(修正!C59:C119,C8,修正!F59:F119)</f>
        <v>0</v>
      </c>
      <c r="D10" s="1049" t="s">
        <v>941</v>
      </c>
      <c r="E10" s="1049"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5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8"/>
      <c r="B11" s="1436" t="s">
        <v>943</v>
      </c>
      <c r="C11" s="1050">
        <f>C10/4</f>
        <v>0</v>
      </c>
      <c r="D11" s="1050" t="s">
        <v>944</v>
      </c>
      <c r="E11" s="1050"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58" t="s">
        <v>2787</v>
      </c>
      <c r="X11" s="1049" t="s">
        <v>2772</v>
      </c>
      <c r="Y11" s="1654">
        <f>$G$3</f>
        <v>1.2</v>
      </c>
      <c r="Z11" s="1654">
        <f t="shared" ref="Z11:AJ11" si="3">$G$3</f>
        <v>1.2</v>
      </c>
      <c r="AA11" s="1654">
        <f t="shared" si="3"/>
        <v>1.2</v>
      </c>
      <c r="AB11" s="1654">
        <f t="shared" si="3"/>
        <v>1.2</v>
      </c>
      <c r="AC11" s="1654">
        <f t="shared" si="3"/>
        <v>1.2</v>
      </c>
      <c r="AD11" s="1654">
        <f t="shared" si="3"/>
        <v>1.2</v>
      </c>
      <c r="AE11" s="1654">
        <f t="shared" si="3"/>
        <v>1.2</v>
      </c>
      <c r="AF11" s="1654">
        <f t="shared" si="3"/>
        <v>1.2</v>
      </c>
      <c r="AG11" s="1654">
        <f t="shared" si="3"/>
        <v>1.2</v>
      </c>
      <c r="AH11" s="1654">
        <f t="shared" si="3"/>
        <v>1.2</v>
      </c>
      <c r="AI11" s="1654">
        <f t="shared" si="3"/>
        <v>1.2</v>
      </c>
      <c r="AJ11" s="1654">
        <f t="shared" si="3"/>
        <v>1.2</v>
      </c>
    </row>
    <row r="12" spans="1:39" ht="25.5" thickBot="1">
      <c r="A12" s="3467" t="s">
        <v>1872</v>
      </c>
      <c r="B12" s="1440" t="s">
        <v>946</v>
      </c>
      <c r="C12" s="1044">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58"/>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9"/>
      <c r="B13" s="1445" t="s">
        <v>1697</v>
      </c>
      <c r="C13" s="1446" t="s">
        <v>1698</v>
      </c>
      <c r="D13" s="1090" t="s">
        <v>1699</v>
      </c>
      <c r="E13" s="1090" t="s">
        <v>1700</v>
      </c>
      <c r="F13" s="1447" t="s">
        <v>948</v>
      </c>
      <c r="G13" s="1448" t="s">
        <v>1643</v>
      </c>
      <c r="H13" s="1449" t="s">
        <v>1643</v>
      </c>
      <c r="I13" s="1450" t="s">
        <v>1643</v>
      </c>
      <c r="J13" s="1451" t="s">
        <v>1643</v>
      </c>
      <c r="K13" s="1402"/>
      <c r="L13" s="2189"/>
      <c r="M13" s="2189"/>
      <c r="N13" s="2189"/>
      <c r="O13" s="2189"/>
      <c r="P13" s="2189"/>
      <c r="Q13" s="2189"/>
      <c r="R13" s="2963">
        <v>12</v>
      </c>
      <c r="S13" s="2952"/>
      <c r="T13" s="2963" t="e">
        <f t="shared" si="0"/>
        <v>#DIV/0!</v>
      </c>
      <c r="U13" s="2952"/>
      <c r="V13" s="2963" t="e">
        <f t="shared" si="1"/>
        <v>#DIV/0!</v>
      </c>
      <c r="W13" s="3458"/>
      <c r="X13" s="2960"/>
      <c r="Y13" s="2959">
        <f>(-0.163*(Y12^2)-0.59*Y12+7617)*(10^(-4))/Y11</f>
        <v>0.63475000000000004</v>
      </c>
      <c r="Z13" s="2959">
        <f t="shared" ref="Z13:AJ13" si="5">(-0.163*(Z12^2)-0.59*Z12+7617)*(10^(-4))/Z11</f>
        <v>0.63475000000000004</v>
      </c>
      <c r="AA13" s="2959">
        <f t="shared" si="5"/>
        <v>0.63475000000000004</v>
      </c>
      <c r="AB13" s="2959">
        <f t="shared" si="5"/>
        <v>0.63475000000000004</v>
      </c>
      <c r="AC13" s="2959">
        <f t="shared" si="5"/>
        <v>0.63475000000000004</v>
      </c>
      <c r="AD13" s="2959">
        <f t="shared" si="5"/>
        <v>0.63475000000000004</v>
      </c>
      <c r="AE13" s="2959">
        <f t="shared" si="5"/>
        <v>0.63475000000000004</v>
      </c>
      <c r="AF13" s="2959">
        <f t="shared" si="5"/>
        <v>0.63475000000000004</v>
      </c>
      <c r="AG13" s="2959">
        <f t="shared" si="5"/>
        <v>0.63475000000000004</v>
      </c>
      <c r="AH13" s="2959">
        <f t="shared" si="5"/>
        <v>0.63475000000000004</v>
      </c>
      <c r="AI13" s="2959">
        <f t="shared" si="5"/>
        <v>0.63475000000000004</v>
      </c>
      <c r="AJ13" s="2959">
        <f t="shared" si="5"/>
        <v>0.63475000000000004</v>
      </c>
    </row>
    <row r="14" spans="1:39" ht="12.75" customHeight="1" thickBot="1">
      <c r="A14" s="3469"/>
      <c r="B14" s="1452"/>
      <c r="C14" s="1453"/>
      <c r="D14" s="1454"/>
      <c r="E14" s="1454"/>
      <c r="F14" s="1455"/>
      <c r="G14" s="1456" t="s">
        <v>949</v>
      </c>
      <c r="H14" s="1457"/>
      <c r="I14" s="1458"/>
      <c r="J14" s="1459"/>
      <c r="K14" s="1402"/>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70"/>
      <c r="B15" s="1460" t="s">
        <v>1701</v>
      </c>
      <c r="C15" s="1052">
        <f>IF(C14="有",1.1,1)</f>
        <v>1</v>
      </c>
      <c r="D15" s="1052">
        <f>IF(D14="有",1.1,1)</f>
        <v>1</v>
      </c>
      <c r="E15" s="1052">
        <f>IF(E14="有",1.1,1)</f>
        <v>1</v>
      </c>
      <c r="F15" s="1052">
        <f>IF(F14="500米范围内",1.2,IF(F14="500-1000米",1.1,1))</f>
        <v>1</v>
      </c>
      <c r="G15" s="1053">
        <v>1</v>
      </c>
      <c r="H15" s="1053">
        <v>1</v>
      </c>
      <c r="I15" s="1053">
        <v>1</v>
      </c>
      <c r="J15" s="1054">
        <v>1</v>
      </c>
      <c r="K15" s="1402"/>
      <c r="L15" s="1599" t="s">
        <v>898</v>
      </c>
      <c r="M15" s="1429" t="s">
        <v>984</v>
      </c>
      <c r="N15" s="1429" t="s">
        <v>985</v>
      </c>
      <c r="O15" s="1429" t="s">
        <v>902</v>
      </c>
      <c r="P15" s="1477" t="s">
        <v>986</v>
      </c>
      <c r="Q15" s="2189"/>
      <c r="R15" s="2963">
        <v>14</v>
      </c>
      <c r="S15" s="2952"/>
      <c r="T15" s="2963" t="e">
        <f t="shared" si="0"/>
        <v>#DIV/0!</v>
      </c>
      <c r="U15" s="2952"/>
      <c r="V15" s="2963" t="e">
        <f t="shared" si="1"/>
        <v>#DIV/0!</v>
      </c>
      <c r="W15" s="2189"/>
      <c r="X15" s="2189"/>
      <c r="Y15" s="2189"/>
      <c r="Z15" s="2189"/>
      <c r="AA15" s="2189"/>
      <c r="AB15" s="2189"/>
      <c r="AC15" s="2190"/>
    </row>
    <row r="16" spans="1:39" ht="24">
      <c r="A16" s="3467" t="s">
        <v>1839</v>
      </c>
      <c r="B16" s="1428" t="s">
        <v>950</v>
      </c>
      <c r="C16" s="1055" t="e">
        <f>ROUND(SUM(G17:J17)/C17,0)</f>
        <v>#DIV/0!</v>
      </c>
      <c r="D16" s="1461" t="s">
        <v>951</v>
      </c>
      <c r="E16" s="1462"/>
      <c r="F16" s="1463"/>
      <c r="G16" s="1464"/>
      <c r="H16" s="1464"/>
      <c r="I16" s="1464"/>
      <c r="J16" s="1464"/>
      <c r="K16" s="1402"/>
      <c r="L16" s="1465" t="s">
        <v>988</v>
      </c>
      <c r="M16" s="1048">
        <v>0.25</v>
      </c>
      <c r="N16" s="1048">
        <v>0.2</v>
      </c>
      <c r="O16" s="1048">
        <v>0.15</v>
      </c>
      <c r="P16" s="1540">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68"/>
      <c r="B17" s="1466" t="s">
        <v>953</v>
      </c>
      <c r="C17" s="1056">
        <f>SUMPRODUCT((修正!A2:A5=E2)*(修正!B1:M1=G2)*(修正!B2:M5))</f>
        <v>0</v>
      </c>
      <c r="D17" s="1468" t="s">
        <v>954</v>
      </c>
      <c r="E17" s="1469" t="str">
        <f>IF(OR(G2="八级",G2="九级",G2="十级",G2="十一级",G2="十二级"),"五通一平","七通一平")</f>
        <v>七通一平</v>
      </c>
      <c r="F17" s="1467" t="s">
        <v>955</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8" t="e">
        <f>ROUND(IF(H19="按公示增长率计算",SUMPRODUCT((地价!A3:A20=YEAR(G19)&amp;"-"&amp;ROUNDUP(MONTH(G19)/3,0))*(地价!X2:AB2=E2)*(地价!X3:AB20)),IF(H19="地价指数",M20/M19,(1+I19)^O19)),4)</f>
        <v>#DIV/0!</v>
      </c>
      <c r="D19" s="1475" t="s">
        <v>958</v>
      </c>
      <c r="E19" s="1059">
        <v>41640</v>
      </c>
      <c r="F19" s="1475" t="s">
        <v>959</v>
      </c>
      <c r="G19" s="1060">
        <f>'数据-取费表'!B2</f>
        <v>43089</v>
      </c>
      <c r="H19" s="1476" t="s">
        <v>2936</v>
      </c>
      <c r="I19" s="2810" t="str">
        <f>IF(H19="季度增幅（自定义）",SUMIF(N21:N24,E2,O21:O24),"")</f>
        <v/>
      </c>
      <c r="J19" s="1472"/>
      <c r="K19" s="1482"/>
      <c r="L19" s="3065" t="s">
        <v>2847</v>
      </c>
      <c r="M19" s="3066">
        <f>ROUND(SUMIF(地价!B2:F2,E2,地价!B20:F20),0)</f>
        <v>0</v>
      </c>
      <c r="N19" s="2812" t="s">
        <v>1677</v>
      </c>
      <c r="O19" s="2811">
        <f>ROUNDDOWN(DATEDIF(E19,G19,"M")/3,0)</f>
        <v>15</v>
      </c>
      <c r="P19" s="1597"/>
      <c r="R19" s="2951"/>
      <c r="S19" s="2951"/>
      <c r="T19" s="2951"/>
      <c r="U19" s="2951"/>
      <c r="V19" s="2951"/>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2651</v>
      </c>
      <c r="O20" s="2813" t="s">
        <v>2650</v>
      </c>
      <c r="P20" s="2814" t="s">
        <v>2656</v>
      </c>
      <c r="R20" s="2951"/>
      <c r="S20" s="2951"/>
      <c r="T20" s="2951"/>
      <c r="U20" s="2951"/>
      <c r="V20" s="2951"/>
      <c r="W20" s="2195"/>
      <c r="X20" s="2195"/>
      <c r="Y20" s="2195"/>
      <c r="Z20" s="2195"/>
      <c r="AA20" s="2195"/>
      <c r="AB20" s="2195"/>
      <c r="AC20" s="2195"/>
      <c r="AD20" s="1473"/>
      <c r="AE20" s="1473"/>
      <c r="AF20" s="1473"/>
      <c r="AG20" s="1473"/>
      <c r="AH20" s="1473"/>
      <c r="AI20" s="1473"/>
    </row>
    <row r="21" spans="1:40" s="1422" customFormat="1" ht="14.25">
      <c r="A21" s="1643" t="s">
        <v>1838</v>
      </c>
      <c r="B21" s="1481" t="s">
        <v>2767</v>
      </c>
      <c r="C21" s="1159">
        <f>IF(B21="容积率修正",IF(G3&lt;=10,D22,J22),C23)</f>
        <v>0</v>
      </c>
      <c r="D21" s="1482"/>
      <c r="E21" s="1482"/>
      <c r="F21" s="1482"/>
      <c r="G21" s="1482"/>
      <c r="H21" s="1482"/>
      <c r="I21" s="1482"/>
      <c r="J21" s="1483"/>
      <c r="K21" s="1482"/>
      <c r="L21" s="1482"/>
      <c r="M21" s="1482"/>
      <c r="N21" s="1479" t="s">
        <v>976</v>
      </c>
      <c r="O21" s="1543"/>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1" t="s">
        <v>1703</v>
      </c>
      <c r="D22" s="1061" t="b">
        <f>IF(E22=G22,F22,IF(G3&lt;=10,ROUND(F22+(H22-F22)*(G3-E22)/(G22-E22),4),"——"))</f>
        <v>0</v>
      </c>
      <c r="E22" s="1040">
        <f>ROUNDDOWN(G3,1)</f>
        <v>1.2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978</v>
      </c>
      <c r="J22" s="1061" t="str">
        <f>IF(G3&gt;10,D113,"——")</f>
        <v>——</v>
      </c>
      <c r="K22" s="1482"/>
      <c r="L22" s="1482"/>
      <c r="M22" s="1482"/>
      <c r="N22" s="1479" t="s">
        <v>979</v>
      </c>
      <c r="O22" s="1543"/>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3"/>
      <c r="AE22" s="1473"/>
      <c r="AF22" s="1473"/>
      <c r="AG22" s="1473"/>
      <c r="AH22" s="1473"/>
      <c r="AI22" s="1473"/>
    </row>
    <row r="23" spans="1:40" ht="27.75" thickBot="1">
      <c r="A23" s="1644" t="s">
        <v>1872</v>
      </c>
      <c r="B23" s="1484" t="s">
        <v>980</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5"/>
    </row>
    <row r="24" spans="1:40" s="1422" customFormat="1" ht="15.75" thickBot="1">
      <c r="A24" s="1642" t="s">
        <v>1873</v>
      </c>
      <c r="B24" s="1416" t="s">
        <v>981</v>
      </c>
      <c r="C24" s="1063">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1"/>
      <c r="S24" s="2951"/>
      <c r="T24" s="2951"/>
      <c r="U24" s="2951"/>
      <c r="V24" s="2951"/>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90"/>
      <c r="B26" s="1484" t="s">
        <v>987</v>
      </c>
      <c r="C26" s="1064" t="e">
        <f>E29+SUM(E33:E39)</f>
        <v>#DIV/0!</v>
      </c>
      <c r="D26" s="1491"/>
      <c r="E26" s="1457"/>
      <c r="F26" s="1492"/>
      <c r="G26" s="1457"/>
      <c r="H26" s="1457"/>
      <c r="I26" s="1457"/>
      <c r="J26" s="1493"/>
      <c r="K26" s="1402"/>
      <c r="L26" s="2195"/>
      <c r="M26" s="2195"/>
      <c r="N26" s="2195"/>
      <c r="O26" s="2195"/>
      <c r="P26" s="2195"/>
      <c r="Q26" s="2195"/>
      <c r="R26" s="2951"/>
      <c r="S26" s="2951"/>
      <c r="T26" s="2951"/>
      <c r="U26" s="2951"/>
      <c r="V26" s="2951"/>
      <c r="W26" s="2195"/>
      <c r="X26" s="2195"/>
      <c r="Y26" s="2195"/>
      <c r="Z26" s="2195"/>
      <c r="AA26" s="2195"/>
      <c r="AB26" s="2195"/>
      <c r="AC26" s="2195"/>
      <c r="AD26" s="1473"/>
      <c r="AE26" s="1473"/>
      <c r="AF26" s="1473"/>
      <c r="AG26" s="1473"/>
    </row>
    <row r="27" spans="1:40" ht="15" thickBot="1">
      <c r="A27" s="1490"/>
      <c r="B27" s="1494" t="s">
        <v>989</v>
      </c>
      <c r="C27" s="1065" t="e">
        <f>E30+SUM(I33:I39)</f>
        <v>#DIV/0!</v>
      </c>
      <c r="D27" s="1495"/>
      <c r="E27" s="1496"/>
      <c r="F27" s="1497"/>
      <c r="G27" s="1496"/>
      <c r="H27" s="1496"/>
      <c r="I27" s="1496"/>
      <c r="J27" s="1498"/>
      <c r="K27" s="1402"/>
      <c r="L27" s="2195"/>
      <c r="M27" s="2195"/>
      <c r="N27" s="2195"/>
      <c r="O27" s="2195"/>
      <c r="P27" s="2195"/>
      <c r="Q27" s="2195"/>
      <c r="R27" s="2951"/>
      <c r="S27" s="2951"/>
      <c r="T27" s="2951"/>
      <c r="U27" s="2951"/>
      <c r="V27" s="2951"/>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51"/>
      <c r="S28" s="2951"/>
      <c r="T28" s="2951"/>
      <c r="U28" s="2951"/>
      <c r="V28" s="2951"/>
      <c r="W28" s="2195"/>
      <c r="X28" s="2195"/>
      <c r="Y28" s="2195"/>
      <c r="Z28" s="2195"/>
      <c r="AA28" s="2195"/>
      <c r="AB28" s="2195"/>
      <c r="AC28" s="2195"/>
      <c r="AD28" s="1473"/>
      <c r="AE28" s="1473"/>
      <c r="AF28" s="1473"/>
      <c r="AG28" s="1473"/>
    </row>
    <row r="29" spans="1:40" ht="24">
      <c r="A29" s="1503"/>
      <c r="B29" s="1504" t="s">
        <v>994</v>
      </c>
      <c r="C29" s="1064" t="e">
        <f>ROUND(C5*C18*C19*C20*C21*C24,0)</f>
        <v>#DIV/0!</v>
      </c>
      <c r="D29" s="1505"/>
      <c r="E29" s="1849" t="e">
        <f>ROUND(C29*D29/10000,0)</f>
        <v>#DIV/0!</v>
      </c>
      <c r="F29" s="1506" t="s">
        <v>1702</v>
      </c>
      <c r="G29" s="1507"/>
      <c r="H29" s="1507"/>
      <c r="I29" s="1507"/>
      <c r="J29" s="1508"/>
      <c r="K29" s="1402"/>
      <c r="L29" s="2195"/>
      <c r="M29" s="2195"/>
      <c r="N29" s="2195"/>
      <c r="O29" s="2195"/>
      <c r="P29" s="2195"/>
      <c r="Q29" s="2195"/>
      <c r="R29" s="2951"/>
      <c r="S29" s="2951"/>
      <c r="T29" s="2951"/>
      <c r="U29" s="2951"/>
      <c r="V29" s="2951"/>
      <c r="W29" s="2195"/>
      <c r="X29" s="2195"/>
      <c r="Y29" s="2195"/>
      <c r="Z29" s="2195"/>
      <c r="AA29" s="2195"/>
      <c r="AB29" s="2195"/>
      <c r="AC29" s="2195"/>
      <c r="AH29" s="1403"/>
      <c r="AI29" s="1403"/>
      <c r="AJ29" s="1406"/>
      <c r="AK29" s="1406"/>
      <c r="AL29" s="1406"/>
      <c r="AM29" s="1406"/>
    </row>
    <row r="30" spans="1:40" ht="24.75" thickBot="1">
      <c r="A30" s="1509"/>
      <c r="B30" s="1510" t="s">
        <v>995</v>
      </c>
      <c r="C30" s="1052"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73" t="s">
        <v>2963</v>
      </c>
      <c r="B33" s="1525" t="s">
        <v>1000</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74"/>
      <c r="B34" s="1446" t="s">
        <v>1001</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74"/>
      <c r="B35" s="1446" t="s">
        <v>1002</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5"/>
      <c r="B36" s="1446" t="s">
        <v>1003</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7"/>
      <c r="H44" s="2447"/>
      <c r="I44" s="1067"/>
      <c r="J44" s="1067"/>
      <c r="K44" s="1067"/>
      <c r="L44" s="1067"/>
      <c r="M44" s="1067"/>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7"/>
      <c r="J45" s="1067"/>
      <c r="K45" s="1067"/>
      <c r="L45" s="1067"/>
      <c r="M45" s="1067"/>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8" t="s">
        <v>1009</v>
      </c>
      <c r="B46" s="2432" t="s">
        <v>1010</v>
      </c>
      <c r="C46" s="2454" t="s">
        <v>1011</v>
      </c>
      <c r="D46" s="2455" t="s">
        <v>1012</v>
      </c>
      <c r="E46" s="2456" t="s">
        <v>1014</v>
      </c>
      <c r="F46" s="2457" t="s">
        <v>2251</v>
      </c>
      <c r="G46" s="2455" t="s">
        <v>1015</v>
      </c>
      <c r="H46" s="2438" t="s">
        <v>2420</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8" t="s">
        <v>1021</v>
      </c>
      <c r="B47" s="2435" t="str">
        <f>估价对象房地状况!C16</f>
        <v>估价对象位于椰海大道南侧，周边商业氛围一般，人流量一般，商业繁华度一般</v>
      </c>
      <c r="C47" s="1051"/>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8" t="s">
        <v>1022</v>
      </c>
      <c r="B48" s="2432" t="str">
        <f>估价对象房地状况!C18</f>
        <v>估价对象东北侧临主干道-津塘公路，有186路、207路、659路等公交线路，停车便捷程度较好，综合评价交通便捷度一般</v>
      </c>
      <c r="C48" s="1051"/>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8" t="s">
        <v>1023</v>
      </c>
      <c r="B49" s="2432" t="str">
        <f>估价对象房地状况!C19</f>
        <v>较好</v>
      </c>
      <c r="C49" s="1051"/>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8" t="s">
        <v>1024</v>
      </c>
      <c r="B50" s="3121" t="s">
        <v>2938</v>
      </c>
      <c r="C50" s="1051"/>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8" t="s">
        <v>1025</v>
      </c>
      <c r="B51" s="2432" t="str">
        <f>估价对象房地状况!C24</f>
        <v>主干道-津塘公路</v>
      </c>
      <c r="C51" s="1051"/>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8" t="s">
        <v>1026</v>
      </c>
      <c r="B52" s="3120" t="s">
        <v>2937</v>
      </c>
      <c r="C52" s="1051"/>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60">
      <c r="A53" s="2464" t="s">
        <v>1027</v>
      </c>
      <c r="B53" s="2433" t="str">
        <f>估价对象房地状况!C21</f>
        <v>估价对象所在区域有农业银行、龙跃财富广场、八里台第一小学、天津津南新华医院，公共配套设施较好</v>
      </c>
      <c r="C53" s="1051"/>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七通一平</v>
      </c>
      <c r="C54" s="1051"/>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区域内无特殊自然环境及大学，综合评价环境状况一般</v>
      </c>
      <c r="C55" s="1051"/>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7"/>
      <c r="K56" s="1067"/>
      <c r="L56" s="1067"/>
      <c r="M56" s="1067"/>
      <c r="N56" s="1067"/>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8" t="s">
        <v>1009</v>
      </c>
      <c r="B57" s="2432"/>
      <c r="C57" s="2454" t="s">
        <v>1011</v>
      </c>
      <c r="D57" s="2455" t="s">
        <v>1012</v>
      </c>
      <c r="E57" s="2456" t="s">
        <v>1014</v>
      </c>
      <c r="F57" s="2457" t="s">
        <v>2252</v>
      </c>
      <c r="G57" s="2455" t="s">
        <v>1015</v>
      </c>
      <c r="H57" s="2438" t="s">
        <v>2420</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8" t="s">
        <v>1031</v>
      </c>
      <c r="B58" s="2435" t="str">
        <f>估价对象房地状况!C17</f>
        <v>估价对象位于椰海大道南侧，周边办公楼项目一般，办公集聚程度一般</v>
      </c>
      <c r="C58" s="1051"/>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8" t="s">
        <v>1022</v>
      </c>
      <c r="B59" s="2432" t="str">
        <f>估价对象房地状况!C18</f>
        <v>估价对象东北侧临主干道-津塘公路，有186路、207路、659路等公交线路，停车便捷程度较好，综合评价交通便捷度一般</v>
      </c>
      <c r="C59" s="1051"/>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8" t="s">
        <v>1023</v>
      </c>
      <c r="B60" s="2432" t="str">
        <f>估价对象房地状况!C19</f>
        <v>较好</v>
      </c>
      <c r="C60" s="1051"/>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8" t="s">
        <v>1024</v>
      </c>
      <c r="B61" s="3121" t="s">
        <v>2939</v>
      </c>
      <c r="C61" s="1051"/>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8" t="s">
        <v>1025</v>
      </c>
      <c r="B62" s="2432" t="str">
        <f>估价对象房地状况!C24</f>
        <v>主干道-津塘公路</v>
      </c>
      <c r="C62" s="1051"/>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8" t="s">
        <v>1026</v>
      </c>
      <c r="B63" s="3120" t="s">
        <v>2937</v>
      </c>
      <c r="C63" s="1051"/>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60">
      <c r="A64" s="1068" t="s">
        <v>1027</v>
      </c>
      <c r="B64" s="2433" t="str">
        <f>估价对象房地状况!C21</f>
        <v>估价对象所在区域有农业银行、龙跃财富广场、八里台第一小学、天津津南新华医院，公共配套设施较好</v>
      </c>
      <c r="C64" s="1051"/>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8" t="s">
        <v>1028</v>
      </c>
      <c r="B65" s="2433" t="str">
        <f>估价对象房地状况!C22</f>
        <v>七通一平</v>
      </c>
      <c r="C65" s="1051"/>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区域内无特殊自然环境及大学，综合评价环境状况一般</v>
      </c>
      <c r="C66" s="1051"/>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7"/>
      <c r="K67" s="1067"/>
      <c r="L67" s="1067"/>
      <c r="M67" s="1067"/>
      <c r="N67" s="1067"/>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8" t="s">
        <v>1009</v>
      </c>
      <c r="B68" s="2432"/>
      <c r="C68" s="2454" t="s">
        <v>1011</v>
      </c>
      <c r="D68" s="2455" t="s">
        <v>1012</v>
      </c>
      <c r="E68" s="2456" t="s">
        <v>1014</v>
      </c>
      <c r="F68" s="2457" t="s">
        <v>2253</v>
      </c>
      <c r="G68" s="2455" t="s">
        <v>1015</v>
      </c>
      <c r="H68" s="2438" t="s">
        <v>2420</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8" t="s">
        <v>1033</v>
      </c>
      <c r="B69" s="2435" t="str">
        <f>估价对象房地状况!C15</f>
        <v>估价对象、居住小区规模及数量一般，社区发展完善程度一般，综合评价居住社区成熟度一般</v>
      </c>
      <c r="C69" s="1160"/>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8" t="s">
        <v>1034</v>
      </c>
      <c r="B70" s="2432" t="str">
        <f>估价对象房地状况!C18</f>
        <v>估价对象东北侧临主干道-津塘公路，有186路、207路、659路等公交线路，停车便捷程度较好，综合评价交通便捷度一般</v>
      </c>
      <c r="C70" s="1160"/>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8" t="s">
        <v>1023</v>
      </c>
      <c r="B71" s="2432" t="str">
        <f>估价对象房地状况!C19</f>
        <v>较好</v>
      </c>
      <c r="C71" s="1160"/>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8" t="s">
        <v>1035</v>
      </c>
      <c r="B72" s="2432" t="str">
        <f>估价对象房地状况!C24</f>
        <v>主干道-津塘公路</v>
      </c>
      <c r="C72" s="1160"/>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60">
      <c r="A73" s="1068" t="s">
        <v>1027</v>
      </c>
      <c r="B73" s="2433" t="str">
        <f>估价对象房地状况!C21</f>
        <v>估价对象所在区域有农业银行、龙跃财富广场、八里台第一小学、天津津南新华医院，公共配套设施较好</v>
      </c>
      <c r="C73" s="1160"/>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8" t="s">
        <v>1028</v>
      </c>
      <c r="B74" s="2433" t="str">
        <f>估价对象房地状况!C22</f>
        <v>七通一平</v>
      </c>
      <c r="C74" s="1160"/>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8" t="s">
        <v>1026</v>
      </c>
      <c r="B75" s="3120" t="s">
        <v>2937</v>
      </c>
      <c r="C75" s="1160"/>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8" t="s">
        <v>1029</v>
      </c>
      <c r="B76" s="2435" t="str">
        <f>估价对象房地状况!C20</f>
        <v>区域内无特殊自然环境及大学，综合评价环境状况一般</v>
      </c>
      <c r="C76" s="1160"/>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60"/>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7"/>
      <c r="K78" s="1067"/>
      <c r="L78" s="1067"/>
      <c r="M78" s="1067"/>
      <c r="N78" s="1067"/>
      <c r="AC78" s="1406"/>
      <c r="AD78" s="1405"/>
      <c r="AJ78" s="1404"/>
      <c r="AN78" s="1405"/>
    </row>
    <row r="79" spans="1:40" ht="24">
      <c r="A79" s="1068" t="s">
        <v>1009</v>
      </c>
      <c r="B79" s="2432"/>
      <c r="C79" s="2454" t="s">
        <v>1011</v>
      </c>
      <c r="D79" s="2455" t="s">
        <v>1012</v>
      </c>
      <c r="E79" s="2456" t="s">
        <v>1014</v>
      </c>
      <c r="F79" s="2457" t="s">
        <v>2254</v>
      </c>
      <c r="G79" s="2455" t="s">
        <v>1015</v>
      </c>
      <c r="H79" s="2438" t="s">
        <v>2420</v>
      </c>
      <c r="I79" s="2455" t="s">
        <v>1013</v>
      </c>
      <c r="J79" s="2458" t="s">
        <v>1016</v>
      </c>
      <c r="K79" s="2458" t="s">
        <v>1017</v>
      </c>
      <c r="L79" s="2458" t="s">
        <v>1018</v>
      </c>
      <c r="M79" s="2458" t="s">
        <v>1019</v>
      </c>
      <c r="N79" s="2458" t="s">
        <v>1020</v>
      </c>
      <c r="AC79" s="1406"/>
      <c r="AD79" s="1405"/>
      <c r="AJ79" s="1404"/>
      <c r="AN79" s="1405"/>
    </row>
    <row r="80" spans="1:40" ht="36">
      <c r="A80" s="1068" t="s">
        <v>1038</v>
      </c>
      <c r="B80" s="2432" t="str">
        <f>估价对象房地状况!G15</f>
        <v>估价对象位于XX开发区，园区建设成熟度XX，产业集聚程度XX</v>
      </c>
      <c r="C80" s="1051"/>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8" t="s">
        <v>1034</v>
      </c>
      <c r="B81" s="2432" t="str">
        <f>估价对象房地状况!G16</f>
        <v>估价对象周边道路状况、公共交通通达情况、停车便捷程度，综合评价交通便捷度较好</v>
      </c>
      <c r="C81" s="1051"/>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8" t="s">
        <v>1023</v>
      </c>
      <c r="B82" s="2432">
        <f>估价对象房地状况!G17</f>
        <v>0</v>
      </c>
      <c r="C82" s="1051"/>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8" t="s">
        <v>1035</v>
      </c>
      <c r="B83" s="2432">
        <f>估价对象房地状况!G22</f>
        <v>0</v>
      </c>
      <c r="C83" s="1051"/>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8" t="s">
        <v>1027</v>
      </c>
      <c r="B84" s="2433" t="str">
        <f>估价对象房地状况!G19</f>
        <v>估价对象所在区域公共配套设施齐备情况</v>
      </c>
      <c r="C84" s="1051"/>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8" t="s">
        <v>1028</v>
      </c>
      <c r="B85" s="2433" t="str">
        <f>估价对象房地状况!G20</f>
        <v>估价对象所在区域基础设施水平</v>
      </c>
      <c r="C85" s="1051"/>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8" t="s">
        <v>1026</v>
      </c>
      <c r="B86" s="3120" t="s">
        <v>2937</v>
      </c>
      <c r="C86" s="1051"/>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1"/>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71" t="s">
        <v>1634</v>
      </c>
      <c r="B90" s="3471"/>
      <c r="C90" s="3471"/>
      <c r="D90" s="3471"/>
      <c r="E90" s="3471"/>
      <c r="F90" s="3471"/>
      <c r="G90" s="3471"/>
      <c r="H90" s="3471"/>
      <c r="I90" s="3471"/>
      <c r="J90" s="3471"/>
      <c r="K90" s="2474"/>
      <c r="L90" s="2474"/>
      <c r="M90" s="2474"/>
      <c r="N90" s="2474"/>
    </row>
    <row r="91" spans="1:40">
      <c r="A91" s="3472" t="s">
        <v>1444</v>
      </c>
      <c r="B91" s="3472" t="s">
        <v>1635</v>
      </c>
      <c r="C91" s="1141" t="s">
        <v>1636</v>
      </c>
      <c r="D91" s="1142"/>
      <c r="E91" s="1142"/>
      <c r="F91" s="1142"/>
      <c r="G91" s="1142"/>
      <c r="H91" s="1142"/>
      <c r="I91" s="1142"/>
      <c r="J91" s="1143"/>
      <c r="K91" s="1135"/>
      <c r="L91" s="1135"/>
      <c r="M91" s="1135"/>
      <c r="N91" s="1135"/>
    </row>
    <row r="92" spans="1:40">
      <c r="A92" s="3472"/>
      <c r="B92" s="3472"/>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61" t="s">
        <v>2770</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6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6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6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6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6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62"/>
      <c r="B99" s="1144" t="s">
        <v>1637</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6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61" t="s">
        <v>1638</v>
      </c>
      <c r="B101" s="1148" t="s">
        <v>906</v>
      </c>
      <c r="C101" s="1149">
        <f>$G$3</f>
        <v>1.2</v>
      </c>
      <c r="D101" s="1149">
        <f t="shared" ref="D101:N101" si="31">$G$3</f>
        <v>1.2</v>
      </c>
      <c r="E101" s="1149">
        <f t="shared" si="31"/>
        <v>1.2</v>
      </c>
      <c r="F101" s="1149">
        <f t="shared" si="31"/>
        <v>1.2</v>
      </c>
      <c r="G101" s="1149">
        <f t="shared" si="31"/>
        <v>1.2</v>
      </c>
      <c r="H101" s="1149">
        <f t="shared" si="31"/>
        <v>1.2</v>
      </c>
      <c r="I101" s="1149">
        <f t="shared" si="31"/>
        <v>1.2</v>
      </c>
      <c r="J101" s="1149">
        <f t="shared" si="31"/>
        <v>1.2</v>
      </c>
      <c r="K101" s="1149">
        <f t="shared" si="31"/>
        <v>1.2</v>
      </c>
      <c r="L101" s="1149">
        <f t="shared" si="31"/>
        <v>1.2</v>
      </c>
      <c r="M101" s="1149">
        <f t="shared" si="31"/>
        <v>1.2</v>
      </c>
      <c r="N101" s="1149">
        <f t="shared" si="31"/>
        <v>1.2</v>
      </c>
    </row>
    <row r="102" spans="1:14">
      <c r="A102" s="3462"/>
      <c r="B102" s="1144">
        <v>1</v>
      </c>
      <c r="C102" s="1145">
        <f>1.9362/C101</f>
        <v>1.6134999999999999</v>
      </c>
      <c r="D102" s="1145">
        <f>1.9362/D101</f>
        <v>1.6134999999999999</v>
      </c>
      <c r="E102" s="1145">
        <f>1.8629/E101</f>
        <v>1.5524166666666668</v>
      </c>
      <c r="F102" s="1145">
        <f>1.8629/F101</f>
        <v>1.5524166666666668</v>
      </c>
      <c r="G102" s="1145">
        <f>1.8629/G101</f>
        <v>1.5524166666666668</v>
      </c>
      <c r="H102" s="1145">
        <f>1.8629/H101</f>
        <v>1.5524166666666668</v>
      </c>
      <c r="I102" s="1145">
        <f>1.8629/I101</f>
        <v>1.5524166666666668</v>
      </c>
      <c r="J102" s="1145">
        <f>1.942/J101</f>
        <v>1.6183333333333334</v>
      </c>
      <c r="K102" s="1145">
        <f>1.942/K101</f>
        <v>1.6183333333333334</v>
      </c>
      <c r="L102" s="1145">
        <f>1.942/L101</f>
        <v>1.6183333333333334</v>
      </c>
      <c r="M102" s="1145">
        <f>1.942/M101</f>
        <v>1.6183333333333334</v>
      </c>
      <c r="N102" s="1145">
        <f>1.942/N101</f>
        <v>1.6183333333333334</v>
      </c>
    </row>
    <row r="103" spans="1:14">
      <c r="A103" s="3462"/>
      <c r="B103" s="1144">
        <v>2</v>
      </c>
      <c r="C103" s="1145">
        <f>1.4198/C101</f>
        <v>1.1831666666666667</v>
      </c>
      <c r="D103" s="1145">
        <f>1.4198/D101</f>
        <v>1.1831666666666667</v>
      </c>
      <c r="E103" s="1145">
        <f>1.3372/E101</f>
        <v>1.1143333333333334</v>
      </c>
      <c r="F103" s="1145">
        <f>1.3372/F101</f>
        <v>1.1143333333333334</v>
      </c>
      <c r="G103" s="1145">
        <f>1.3372/G101</f>
        <v>1.1143333333333334</v>
      </c>
      <c r="H103" s="1145">
        <f>1.3372/H101</f>
        <v>1.1143333333333334</v>
      </c>
      <c r="I103" s="1145">
        <f>1.3372/I101</f>
        <v>1.1143333333333334</v>
      </c>
      <c r="J103" s="1145">
        <f>1.2799/J101</f>
        <v>1.0665833333333334</v>
      </c>
      <c r="K103" s="1145">
        <f>1.2799/K101</f>
        <v>1.0665833333333334</v>
      </c>
      <c r="L103" s="1145">
        <f>1.2799/L101</f>
        <v>1.0665833333333334</v>
      </c>
      <c r="M103" s="1145">
        <f>1.2799/M101</f>
        <v>1.0665833333333334</v>
      </c>
      <c r="N103" s="1145">
        <f>1.2799/N101</f>
        <v>1.0665833333333334</v>
      </c>
    </row>
    <row r="104" spans="1:14">
      <c r="A104" s="3462"/>
      <c r="B104" s="1144">
        <v>3</v>
      </c>
      <c r="C104" s="1145">
        <f>1.1594/C101</f>
        <v>0.96616666666666673</v>
      </c>
      <c r="D104" s="1145">
        <f>1.1594/D101</f>
        <v>0.96616666666666673</v>
      </c>
      <c r="E104" s="1145">
        <f>1.0788/E101</f>
        <v>0.89900000000000002</v>
      </c>
      <c r="F104" s="1145">
        <f>1.0788/F101</f>
        <v>0.89900000000000002</v>
      </c>
      <c r="G104" s="1145">
        <f>1.0788/G101</f>
        <v>0.89900000000000002</v>
      </c>
      <c r="H104" s="1145">
        <f>1.0788/H101</f>
        <v>0.89900000000000002</v>
      </c>
      <c r="I104" s="1145">
        <f>1.0788/I101</f>
        <v>0.89900000000000002</v>
      </c>
      <c r="J104" s="1145">
        <f>1.0072/J101</f>
        <v>0.83933333333333349</v>
      </c>
      <c r="K104" s="1145">
        <f>1.0072/K101</f>
        <v>0.83933333333333349</v>
      </c>
      <c r="L104" s="1145">
        <f>1.0072/L101</f>
        <v>0.83933333333333349</v>
      </c>
      <c r="M104" s="1145">
        <f>1.0072/M101</f>
        <v>0.83933333333333349</v>
      </c>
      <c r="N104" s="1145">
        <f>1.0072/N101</f>
        <v>0.83933333333333349</v>
      </c>
    </row>
    <row r="105" spans="1:14">
      <c r="A105" s="3462"/>
      <c r="B105" s="1144">
        <v>4</v>
      </c>
      <c r="C105" s="1145">
        <f>0.9622/C101</f>
        <v>0.8018333333333334</v>
      </c>
      <c r="D105" s="1145">
        <f>0.9622/D101</f>
        <v>0.8018333333333334</v>
      </c>
      <c r="E105" s="1145">
        <f>0.8656/E101</f>
        <v>0.72133333333333338</v>
      </c>
      <c r="F105" s="1145">
        <f>0.8656/F101</f>
        <v>0.72133333333333338</v>
      </c>
      <c r="G105" s="1145">
        <f>0.8656/G101</f>
        <v>0.72133333333333338</v>
      </c>
      <c r="H105" s="1145">
        <f>0.8656/H101</f>
        <v>0.72133333333333338</v>
      </c>
      <c r="I105" s="1145">
        <f>0.8656/I101</f>
        <v>0.72133333333333338</v>
      </c>
      <c r="J105" s="1145">
        <f>0.7525/J101</f>
        <v>0.62708333333333333</v>
      </c>
      <c r="K105" s="1145">
        <f>0.7525/K101</f>
        <v>0.62708333333333333</v>
      </c>
      <c r="L105" s="1145">
        <f>0.7525/L101</f>
        <v>0.62708333333333333</v>
      </c>
      <c r="M105" s="1145">
        <f>0.7525/M101</f>
        <v>0.62708333333333333</v>
      </c>
      <c r="N105" s="1145">
        <f>0.7525/N101</f>
        <v>0.62708333333333333</v>
      </c>
    </row>
    <row r="106" spans="1:14">
      <c r="A106" s="3462"/>
      <c r="B106" s="1144">
        <v>5</v>
      </c>
      <c r="C106" s="1145">
        <f>0.8417/C101</f>
        <v>0.70141666666666669</v>
      </c>
      <c r="D106" s="1145">
        <f>0.8417/D101</f>
        <v>0.70141666666666669</v>
      </c>
      <c r="E106" s="1145">
        <f>0.7371/E101</f>
        <v>0.61424999999999996</v>
      </c>
      <c r="F106" s="1145">
        <f>0.7371/F101</f>
        <v>0.61424999999999996</v>
      </c>
      <c r="G106" s="1145">
        <f>0.7371/G101</f>
        <v>0.61424999999999996</v>
      </c>
      <c r="H106" s="1145">
        <f>0.7371/H101</f>
        <v>0.61424999999999996</v>
      </c>
      <c r="I106" s="1145">
        <f>0.7371/I101</f>
        <v>0.61424999999999996</v>
      </c>
      <c r="J106" s="1145">
        <f>0.5659/J101</f>
        <v>0.4715833333333333</v>
      </c>
      <c r="K106" s="1145">
        <f>0.5659/K101</f>
        <v>0.4715833333333333</v>
      </c>
      <c r="L106" s="1145">
        <f>0.5659/L101</f>
        <v>0.4715833333333333</v>
      </c>
      <c r="M106" s="1145">
        <f>0.5659/M101</f>
        <v>0.4715833333333333</v>
      </c>
      <c r="N106" s="1145">
        <f>0.5659/N101</f>
        <v>0.4715833333333333</v>
      </c>
    </row>
    <row r="107" spans="1:14">
      <c r="A107" s="3462"/>
      <c r="B107" s="1144">
        <v>6</v>
      </c>
      <c r="C107" s="1145">
        <f>0.7608/C101</f>
        <v>0.63400000000000001</v>
      </c>
      <c r="D107" s="1145">
        <f>0.7608/D101</f>
        <v>0.63400000000000001</v>
      </c>
      <c r="E107" s="1145">
        <f>0.6482/E101</f>
        <v>0.54016666666666668</v>
      </c>
      <c r="F107" s="1145">
        <f>0.6482/F101</f>
        <v>0.54016666666666668</v>
      </c>
      <c r="G107" s="1145">
        <f>0.6482/G101</f>
        <v>0.54016666666666668</v>
      </c>
      <c r="H107" s="1145">
        <f>0.6482/H101</f>
        <v>0.54016666666666668</v>
      </c>
      <c r="I107" s="1145">
        <f>0.6482/I101</f>
        <v>0.54016666666666668</v>
      </c>
      <c r="J107" s="1145">
        <f>0.4525/J101</f>
        <v>0.37708333333333338</v>
      </c>
      <c r="K107" s="1145">
        <f>0.4525/K101</f>
        <v>0.37708333333333338</v>
      </c>
      <c r="L107" s="1145">
        <f>0.4525/L101</f>
        <v>0.37708333333333338</v>
      </c>
      <c r="M107" s="1145">
        <f>0.4525/M101</f>
        <v>0.37708333333333338</v>
      </c>
      <c r="N107" s="1145">
        <f>0.4525/N101</f>
        <v>0.37708333333333338</v>
      </c>
    </row>
    <row r="108" spans="1:14">
      <c r="A108" s="3462"/>
      <c r="B108" s="3464" t="s">
        <v>1639</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63"/>
      <c r="B109" s="3465"/>
      <c r="C109" s="1147">
        <f>(-0.163*(C108^2)-0.59*C108+7617)*(10^(-4))/C101</f>
        <v>0.6334873333333334</v>
      </c>
      <c r="D109" s="1147">
        <f>(-0.163*(D108^2)-0.59*D108+7617)*(10^(-4))/D101</f>
        <v>0.6334873333333334</v>
      </c>
      <c r="E109" s="1147">
        <f>(-0.161*(E108^2)-7.509*E108+6533)*(10^(-4))/E101</f>
        <v>0.53855200000000003</v>
      </c>
      <c r="F109" s="1147">
        <f>(-0.161*(F108^2)-7.509*F108+6533)*(10^(-4))/F101</f>
        <v>0.53855200000000003</v>
      </c>
      <c r="G109" s="1147">
        <f>(-0.161*(G108^2)-7.509*G108+6533)*(10^(-4))/G101</f>
        <v>0.53855200000000003</v>
      </c>
      <c r="H109" s="1147">
        <f>(-0.161*(H108^2)-7.509*H108+6533)*(10^(-4))/H101</f>
        <v>0.53855200000000003</v>
      </c>
      <c r="I109" s="1147">
        <f>(-0.161*(I108^2)-7.509*I108+6533)*(10^(-4))/I101</f>
        <v>0.53855200000000003</v>
      </c>
      <c r="J109" s="1147">
        <f>(-0.214*(J108^2)-21.991*J108+4665)*(10^(-4))/J101</f>
        <v>0.37294800000000006</v>
      </c>
      <c r="K109" s="1147">
        <f>(-0.214*(K108^2)-21.991*K108+4665)*(10^(-4))/K101</f>
        <v>0.37294800000000006</v>
      </c>
      <c r="L109" s="1147">
        <f>(-0.214*(L108^2)-21.991*L108+4665)*(10^(-4))/L101</f>
        <v>0.37294800000000006</v>
      </c>
      <c r="M109" s="1147">
        <f>(-0.214*(M108^2)-21.991*M108+4665)*(10^(-4))/M101</f>
        <v>0.37294800000000006</v>
      </c>
      <c r="N109" s="1147">
        <f>(-0.214*(N108^2)-21.991*N108+4665)*(10^(-4))/N101</f>
        <v>0.37294800000000006</v>
      </c>
    </row>
    <row r="110" spans="1:14">
      <c r="A110" s="3466" t="s">
        <v>1640</v>
      </c>
      <c r="B110" s="3466"/>
      <c r="C110" s="3466"/>
      <c r="D110" s="3466"/>
      <c r="E110" s="3466"/>
      <c r="F110" s="3466"/>
      <c r="G110" s="3466"/>
      <c r="H110" s="3466"/>
      <c r="I110" s="3466"/>
      <c r="J110" s="3466"/>
      <c r="K110" s="2472"/>
      <c r="L110" s="2472"/>
      <c r="M110" s="2472"/>
      <c r="N110" s="2472"/>
    </row>
    <row r="112" spans="1:14" ht="12.75" thickBot="1"/>
    <row r="113" spans="1:13" ht="25.5" thickBot="1">
      <c r="A113" s="1017" t="s">
        <v>896</v>
      </c>
      <c r="B113" s="2475">
        <f>G3</f>
        <v>1.2</v>
      </c>
      <c r="C113" s="1018" t="s">
        <v>897</v>
      </c>
      <c r="D113" s="1019">
        <f>SUMPRODUCT((A115:A118=F113)*(B114:M114=H113)*B115:M118)</f>
        <v>0</v>
      </c>
      <c r="E113" s="1020" t="s">
        <v>898</v>
      </c>
      <c r="F113" s="1021">
        <f>E2</f>
        <v>0</v>
      </c>
      <c r="G113" s="1020" t="s">
        <v>899</v>
      </c>
      <c r="H113" s="1021">
        <f>G2</f>
        <v>0</v>
      </c>
      <c r="I113" s="1020"/>
      <c r="J113" s="1012"/>
      <c r="K113" s="1012"/>
      <c r="L113" s="1012"/>
      <c r="M113" s="1012"/>
    </row>
    <row r="114" spans="1:13" ht="12.75">
      <c r="A114" s="1024"/>
      <c r="B114" s="1025" t="s">
        <v>884</v>
      </c>
      <c r="C114" s="1025" t="s">
        <v>885</v>
      </c>
      <c r="D114" s="1025" t="s">
        <v>886</v>
      </c>
      <c r="E114" s="1026" t="s">
        <v>887</v>
      </c>
      <c r="F114" s="1026" t="s">
        <v>888</v>
      </c>
      <c r="G114" s="1026" t="s">
        <v>889</v>
      </c>
      <c r="H114" s="1027" t="s">
        <v>890</v>
      </c>
      <c r="I114" s="1027" t="s">
        <v>891</v>
      </c>
      <c r="J114" s="1028" t="s">
        <v>892</v>
      </c>
      <c r="K114" s="1028" t="s">
        <v>893</v>
      </c>
      <c r="L114" s="1028" t="s">
        <v>894</v>
      </c>
      <c r="M114" s="1029" t="s">
        <v>895</v>
      </c>
    </row>
    <row r="115" spans="1:13" ht="12.75">
      <c r="A115" s="1030" t="s">
        <v>900</v>
      </c>
      <c r="B115" s="1031">
        <f>ROUND(0.9335-0.0094*B113,4)</f>
        <v>0.92220000000000002</v>
      </c>
      <c r="C115" s="1031">
        <f>B115</f>
        <v>0.92220000000000002</v>
      </c>
      <c r="D115" s="1031">
        <f>ROUND(0.8331-0.0109*B113,4)</f>
        <v>0.82</v>
      </c>
      <c r="E115" s="1031">
        <f>D115</f>
        <v>0.82</v>
      </c>
      <c r="F115" s="1031">
        <f>E115</f>
        <v>0.82</v>
      </c>
      <c r="G115" s="1031">
        <f>F115</f>
        <v>0.82</v>
      </c>
      <c r="H115" s="1031">
        <f>G115</f>
        <v>0.82</v>
      </c>
      <c r="I115" s="1031">
        <f>ROUND(0.689-0.0155*B113,4)</f>
        <v>0.6704</v>
      </c>
      <c r="J115" s="1031">
        <f t="shared" ref="J115:M118" si="33">I115</f>
        <v>0.6704</v>
      </c>
      <c r="K115" s="1031">
        <f t="shared" si="33"/>
        <v>0.6704</v>
      </c>
      <c r="L115" s="1031">
        <f t="shared" si="33"/>
        <v>0.6704</v>
      </c>
      <c r="M115" s="1032">
        <f t="shared" si="33"/>
        <v>0.6704</v>
      </c>
    </row>
    <row r="116" spans="1:13" ht="12.75">
      <c r="A116" s="1030" t="s">
        <v>901</v>
      </c>
      <c r="B116" s="1031">
        <f>ROUND(0.949-0.012*B113,4)</f>
        <v>0.93459999999999999</v>
      </c>
      <c r="C116" s="1031">
        <f>B116</f>
        <v>0.93459999999999999</v>
      </c>
      <c r="D116" s="1031">
        <f>ROUND(0.8567-0.013*B113,4)</f>
        <v>0.84109999999999996</v>
      </c>
      <c r="E116" s="1031">
        <f t="shared" ref="E116:H117" si="34">D116</f>
        <v>0.84109999999999996</v>
      </c>
      <c r="F116" s="1031">
        <f t="shared" si="34"/>
        <v>0.84109999999999996</v>
      </c>
      <c r="G116" s="1031">
        <f t="shared" si="34"/>
        <v>0.84109999999999996</v>
      </c>
      <c r="H116" s="1031">
        <f t="shared" si="34"/>
        <v>0.84109999999999996</v>
      </c>
      <c r="I116" s="1031">
        <f>ROUND(0.7694-0.014*B113,4)</f>
        <v>0.75260000000000005</v>
      </c>
      <c r="J116" s="1031">
        <f t="shared" si="33"/>
        <v>0.75260000000000005</v>
      </c>
      <c r="K116" s="1031">
        <f t="shared" si="33"/>
        <v>0.75260000000000005</v>
      </c>
      <c r="L116" s="1031">
        <f t="shared" si="33"/>
        <v>0.75260000000000005</v>
      </c>
      <c r="M116" s="1032">
        <f t="shared" si="33"/>
        <v>0.75260000000000005</v>
      </c>
    </row>
    <row r="117" spans="1:13" ht="12.75">
      <c r="A117" s="1033" t="s">
        <v>902</v>
      </c>
      <c r="B117" s="1031">
        <f>ROUND(0.8808-0.006*B113,4)</f>
        <v>0.87360000000000004</v>
      </c>
      <c r="C117" s="1031">
        <f>B117</f>
        <v>0.87360000000000004</v>
      </c>
      <c r="D117" s="1031">
        <f>ROUND(0.8748-0.008*B113,4)</f>
        <v>0.86519999999999997</v>
      </c>
      <c r="E117" s="1031">
        <f t="shared" si="34"/>
        <v>0.86519999999999997</v>
      </c>
      <c r="F117" s="1031">
        <f t="shared" si="34"/>
        <v>0.86519999999999997</v>
      </c>
      <c r="G117" s="1031">
        <f t="shared" si="34"/>
        <v>0.86519999999999997</v>
      </c>
      <c r="H117" s="1031">
        <f t="shared" si="34"/>
        <v>0.86519999999999997</v>
      </c>
      <c r="I117" s="1031">
        <f>ROUND(0.7412-0.0095*B113,4)</f>
        <v>0.7298</v>
      </c>
      <c r="J117" s="1031">
        <f t="shared" si="33"/>
        <v>0.7298</v>
      </c>
      <c r="K117" s="1031">
        <f t="shared" si="33"/>
        <v>0.7298</v>
      </c>
      <c r="L117" s="1031">
        <f t="shared" si="33"/>
        <v>0.7298</v>
      </c>
      <c r="M117" s="1032">
        <f t="shared" si="33"/>
        <v>0.7298</v>
      </c>
    </row>
    <row r="118" spans="1:13" ht="13.5" thickBot="1">
      <c r="A118" s="1034" t="s">
        <v>903</v>
      </c>
      <c r="B118" s="1035">
        <f>ROUND(0.7275-0.01*B113,4)</f>
        <v>0.71550000000000002</v>
      </c>
      <c r="C118" s="1035">
        <f>B118</f>
        <v>0.71550000000000002</v>
      </c>
      <c r="D118" s="1035">
        <f>ROUND(0.7043-0.012*B113,4)</f>
        <v>0.68989999999999996</v>
      </c>
      <c r="E118" s="1035">
        <f>D118</f>
        <v>0.68989999999999996</v>
      </c>
      <c r="F118" s="1035">
        <f>E118</f>
        <v>0.68989999999999996</v>
      </c>
      <c r="G118" s="1035">
        <f>ROUND(0.6299-0.0122*B113,4)</f>
        <v>0.61529999999999996</v>
      </c>
      <c r="H118" s="1035">
        <f>G118</f>
        <v>0.61529999999999996</v>
      </c>
      <c r="I118" s="1035">
        <f>ROUND(0.5667-0.0136*B113,4)</f>
        <v>0.5504</v>
      </c>
      <c r="J118" s="1035">
        <f t="shared" si="33"/>
        <v>0.5504</v>
      </c>
      <c r="K118" s="1035">
        <f t="shared" si="33"/>
        <v>0.5504</v>
      </c>
      <c r="L118" s="1035">
        <f t="shared" si="33"/>
        <v>0.5504</v>
      </c>
      <c r="M118" s="1036">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1432</v>
      </c>
      <c r="B1" s="1073" t="s">
        <v>907</v>
      </c>
      <c r="C1" s="1073" t="s">
        <v>908</v>
      </c>
      <c r="D1" s="1073" t="s">
        <v>909</v>
      </c>
      <c r="E1" s="1073" t="s">
        <v>910</v>
      </c>
      <c r="F1" s="1073" t="s">
        <v>911</v>
      </c>
      <c r="G1" s="1073" t="s">
        <v>912</v>
      </c>
      <c r="H1" s="1073" t="s">
        <v>913</v>
      </c>
      <c r="I1" s="1073" t="s">
        <v>914</v>
      </c>
      <c r="J1" s="1073" t="s">
        <v>915</v>
      </c>
      <c r="K1" s="1073" t="s">
        <v>916</v>
      </c>
      <c r="L1" s="1073" t="s">
        <v>917</v>
      </c>
      <c r="M1" s="1074" t="s">
        <v>918</v>
      </c>
    </row>
    <row r="2" spans="1:13" ht="19.5" customHeight="1">
      <c r="A2" s="1108" t="s">
        <v>1008</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1030</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1032</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1433</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1434</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1435</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1436</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1437</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1438</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1439</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1440</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1441</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1442</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1443</v>
      </c>
      <c r="B16" s="1127"/>
      <c r="C16" s="1128"/>
      <c r="D16" s="1128"/>
      <c r="E16" s="1127"/>
      <c r="F16" s="1128"/>
      <c r="G16" s="1128"/>
    </row>
    <row r="17" spans="1:9" ht="19.5" customHeight="1">
      <c r="A17" s="1069" t="s">
        <v>1444</v>
      </c>
      <c r="B17" s="1129" t="s">
        <v>1445</v>
      </c>
      <c r="C17" s="1129" t="s">
        <v>1644</v>
      </c>
      <c r="D17" s="1130"/>
      <c r="E17" s="1069" t="s">
        <v>1446</v>
      </c>
      <c r="F17" s="1131"/>
      <c r="G17" s="1131"/>
    </row>
    <row r="18" spans="1:9" s="1600" customFormat="1" ht="19.5" customHeight="1">
      <c r="A18" s="3472" t="s">
        <v>1008</v>
      </c>
      <c r="B18" s="1155" t="s">
        <v>1447</v>
      </c>
      <c r="C18" s="1132" t="s">
        <v>1448</v>
      </c>
      <c r="D18" s="1133"/>
      <c r="E18" s="1155">
        <v>1</v>
      </c>
      <c r="F18" s="1134" t="s">
        <v>1449</v>
      </c>
      <c r="G18" s="1135"/>
      <c r="H18" s="1106"/>
      <c r="I18" s="1106"/>
    </row>
    <row r="19" spans="1:9" s="1600" customFormat="1" ht="19.5" customHeight="1">
      <c r="A19" s="3472"/>
      <c r="B19" s="3472" t="s">
        <v>1450</v>
      </c>
      <c r="C19" s="1132" t="s">
        <v>1451</v>
      </c>
      <c r="D19" s="1133"/>
      <c r="E19" s="1155">
        <v>0.9</v>
      </c>
      <c r="F19" s="1134" t="s">
        <v>1452</v>
      </c>
      <c r="G19" s="1135"/>
      <c r="H19" s="1106"/>
      <c r="I19" s="1106"/>
    </row>
    <row r="20" spans="1:9" s="1600" customFormat="1" ht="19.5" customHeight="1">
      <c r="A20" s="3472"/>
      <c r="B20" s="3472"/>
      <c r="C20" s="1132" t="s">
        <v>1453</v>
      </c>
      <c r="D20" s="1133"/>
      <c r="E20" s="1155">
        <v>1.1000000000000001</v>
      </c>
      <c r="F20" s="1134" t="s">
        <v>1454</v>
      </c>
      <c r="G20" s="1135"/>
      <c r="H20" s="1106"/>
      <c r="I20" s="1106"/>
    </row>
    <row r="21" spans="1:9" s="1600" customFormat="1" ht="19.5" customHeight="1">
      <c r="A21" s="3472"/>
      <c r="B21" s="3472"/>
      <c r="C21" s="1132" t="s">
        <v>1455</v>
      </c>
      <c r="D21" s="1133"/>
      <c r="E21" s="1155">
        <v>0.8</v>
      </c>
      <c r="F21" s="1134" t="s">
        <v>1456</v>
      </c>
      <c r="G21" s="1135"/>
      <c r="H21" s="1106"/>
      <c r="I21" s="1106"/>
    </row>
    <row r="22" spans="1:9" s="1600" customFormat="1" ht="19.5" customHeight="1">
      <c r="A22" s="3472"/>
      <c r="B22" s="3472"/>
      <c r="C22" s="1132" t="s">
        <v>1457</v>
      </c>
      <c r="D22" s="1133"/>
      <c r="E22" s="1155">
        <v>0.5</v>
      </c>
      <c r="F22" s="1134"/>
      <c r="G22" s="1135"/>
      <c r="H22" s="1106"/>
      <c r="I22" s="1106"/>
    </row>
    <row r="23" spans="1:9" s="1600" customFormat="1" ht="19.5" customHeight="1">
      <c r="A23" s="3472" t="s">
        <v>1030</v>
      </c>
      <c r="B23" s="1155" t="s">
        <v>1447</v>
      </c>
      <c r="C23" s="1132" t="s">
        <v>1458</v>
      </c>
      <c r="D23" s="1133"/>
      <c r="E23" s="1155">
        <v>1</v>
      </c>
      <c r="F23" s="1134" t="s">
        <v>1459</v>
      </c>
      <c r="G23" s="1135"/>
      <c r="H23" s="1106"/>
      <c r="I23" s="1106"/>
    </row>
    <row r="24" spans="1:9" s="1600" customFormat="1" ht="19.5" customHeight="1">
      <c r="A24" s="3472"/>
      <c r="B24" s="3472" t="s">
        <v>1450</v>
      </c>
      <c r="C24" s="1132" t="s">
        <v>1460</v>
      </c>
      <c r="D24" s="1133"/>
      <c r="E24" s="1155">
        <v>0.5</v>
      </c>
      <c r="F24" s="1134"/>
      <c r="G24" s="1135"/>
      <c r="H24" s="1106"/>
      <c r="I24" s="1106"/>
    </row>
    <row r="25" spans="1:9" s="1600" customFormat="1" ht="19.5" customHeight="1">
      <c r="A25" s="3472"/>
      <c r="B25" s="3472"/>
      <c r="C25" s="1132" t="s">
        <v>1461</v>
      </c>
      <c r="D25" s="1133"/>
      <c r="E25" s="1155">
        <v>1.1000000000000001</v>
      </c>
      <c r="F25" s="1134"/>
      <c r="G25" s="1135"/>
      <c r="H25" s="1106"/>
      <c r="I25" s="1106"/>
    </row>
    <row r="26" spans="1:9" s="1600" customFormat="1" ht="19.5" customHeight="1">
      <c r="A26" s="3472"/>
      <c r="B26" s="3472"/>
      <c r="C26" s="1132" t="s">
        <v>1462</v>
      </c>
      <c r="D26" s="1133"/>
      <c r="E26" s="1155">
        <v>1.1000000000000001</v>
      </c>
      <c r="F26" s="1134"/>
      <c r="G26" s="1135"/>
      <c r="H26" s="1106"/>
      <c r="I26" s="1106"/>
    </row>
    <row r="27" spans="1:9" s="1600" customFormat="1" ht="19.5" customHeight="1">
      <c r="A27" s="3472"/>
      <c r="B27" s="3472"/>
      <c r="C27" s="1132" t="s">
        <v>1463</v>
      </c>
      <c r="D27" s="1133"/>
      <c r="E27" s="1155">
        <v>0.9</v>
      </c>
      <c r="F27" s="1134" t="s">
        <v>1464</v>
      </c>
      <c r="G27" s="1135"/>
      <c r="H27" s="1106"/>
      <c r="I27" s="1106"/>
    </row>
    <row r="28" spans="1:9" s="1600" customFormat="1" ht="19.5" customHeight="1">
      <c r="A28" s="3472"/>
      <c r="B28" s="3472"/>
      <c r="C28" s="1132" t="s">
        <v>1465</v>
      </c>
      <c r="D28" s="1133"/>
      <c r="E28" s="1155">
        <v>0.9</v>
      </c>
      <c r="F28" s="1134" t="s">
        <v>1466</v>
      </c>
      <c r="G28" s="1135"/>
      <c r="H28" s="1106"/>
      <c r="I28" s="1106"/>
    </row>
    <row r="29" spans="1:9" s="1600" customFormat="1" ht="19.5" customHeight="1">
      <c r="A29" s="3472"/>
      <c r="B29" s="3472"/>
      <c r="C29" s="1132" t="s">
        <v>1467</v>
      </c>
      <c r="D29" s="1133"/>
      <c r="E29" s="1155">
        <v>0.9</v>
      </c>
      <c r="F29" s="1134" t="s">
        <v>1468</v>
      </c>
      <c r="G29" s="1135"/>
      <c r="H29" s="1106"/>
      <c r="I29" s="1106"/>
    </row>
    <row r="30" spans="1:9" s="1600" customFormat="1" ht="19.5" customHeight="1">
      <c r="A30" s="3472"/>
      <c r="B30" s="3472"/>
      <c r="C30" s="1132" t="s">
        <v>1469</v>
      </c>
      <c r="D30" s="1133"/>
      <c r="E30" s="1155">
        <v>0.9</v>
      </c>
      <c r="F30" s="1134" t="s">
        <v>1470</v>
      </c>
      <c r="G30" s="1135"/>
      <c r="H30" s="1106"/>
      <c r="I30" s="1106"/>
    </row>
    <row r="31" spans="1:9" s="1600" customFormat="1" ht="19.5" customHeight="1">
      <c r="A31" s="3472"/>
      <c r="B31" s="3472"/>
      <c r="C31" s="1132" t="s">
        <v>1471</v>
      </c>
      <c r="D31" s="1133"/>
      <c r="E31" s="1155">
        <v>0.8</v>
      </c>
      <c r="F31" s="1134" t="s">
        <v>1472</v>
      </c>
      <c r="G31" s="1135"/>
      <c r="H31" s="1106"/>
      <c r="I31" s="1106"/>
    </row>
    <row r="32" spans="1:9" s="1600" customFormat="1" ht="19.5" customHeight="1">
      <c r="A32" s="3472"/>
      <c r="B32" s="3472"/>
      <c r="C32" s="1132" t="s">
        <v>1473</v>
      </c>
      <c r="D32" s="1133"/>
      <c r="E32" s="1155">
        <v>0.8</v>
      </c>
      <c r="F32" s="1134" t="s">
        <v>1474</v>
      </c>
      <c r="G32" s="1135"/>
      <c r="H32" s="1106"/>
      <c r="I32" s="1106"/>
    </row>
    <row r="33" spans="1:9" s="1600" customFormat="1" ht="19.5" customHeight="1">
      <c r="A33" s="3472" t="s">
        <v>1475</v>
      </c>
      <c r="B33" s="1155" t="s">
        <v>1447</v>
      </c>
      <c r="C33" s="1132" t="s">
        <v>1476</v>
      </c>
      <c r="D33" s="1133"/>
      <c r="E33" s="1155">
        <v>1</v>
      </c>
      <c r="F33" s="1134" t="s">
        <v>1477</v>
      </c>
      <c r="G33" s="1135"/>
      <c r="H33" s="1106"/>
      <c r="I33" s="1106"/>
    </row>
    <row r="34" spans="1:9" s="1600" customFormat="1" ht="19.5" customHeight="1">
      <c r="A34" s="3472"/>
      <c r="B34" s="1155" t="s">
        <v>1450</v>
      </c>
      <c r="C34" s="1132" t="s">
        <v>1478</v>
      </c>
      <c r="D34" s="1133"/>
      <c r="E34" s="1155">
        <v>1.5</v>
      </c>
      <c r="F34" s="1134" t="s">
        <v>1479</v>
      </c>
      <c r="G34" s="1135"/>
      <c r="H34" s="1106"/>
      <c r="I34" s="1106"/>
    </row>
    <row r="35" spans="1:9" s="1600" customFormat="1" ht="19.5" customHeight="1">
      <c r="A35" s="3472" t="s">
        <v>1433</v>
      </c>
      <c r="B35" s="1155" t="s">
        <v>1447</v>
      </c>
      <c r="C35" s="1132" t="s">
        <v>1480</v>
      </c>
      <c r="D35" s="1133"/>
      <c r="E35" s="1155">
        <v>1</v>
      </c>
      <c r="F35" s="1134" t="s">
        <v>1481</v>
      </c>
      <c r="G35" s="1135"/>
      <c r="H35" s="1106"/>
      <c r="I35" s="1106"/>
    </row>
    <row r="36" spans="1:9" s="1600" customFormat="1" ht="19.5" customHeight="1">
      <c r="A36" s="3472"/>
      <c r="B36" s="3472" t="s">
        <v>1450</v>
      </c>
      <c r="C36" s="1132" t="s">
        <v>1482</v>
      </c>
      <c r="D36" s="1133"/>
      <c r="E36" s="1155">
        <v>1</v>
      </c>
      <c r="F36" s="1134" t="s">
        <v>1483</v>
      </c>
      <c r="G36" s="1135"/>
      <c r="H36" s="1106"/>
      <c r="I36" s="1106"/>
    </row>
    <row r="37" spans="1:9" s="1600" customFormat="1" ht="19.5" customHeight="1">
      <c r="A37" s="3472"/>
      <c r="B37" s="3472"/>
      <c r="C37" s="1132" t="s">
        <v>1484</v>
      </c>
      <c r="D37" s="1133"/>
      <c r="E37" s="1155">
        <v>1.5</v>
      </c>
      <c r="F37" s="1134" t="s">
        <v>1485</v>
      </c>
      <c r="G37" s="1135"/>
      <c r="H37" s="1106"/>
      <c r="I37" s="1106"/>
    </row>
    <row r="38" spans="1:9" s="1600" customFormat="1" ht="19.5" customHeight="1">
      <c r="A38" s="3472"/>
      <c r="B38" s="3472"/>
      <c r="C38" s="1132" t="s">
        <v>1486</v>
      </c>
      <c r="D38" s="1133"/>
      <c r="E38" s="1155">
        <v>1</v>
      </c>
      <c r="F38" s="1134" t="s">
        <v>1487</v>
      </c>
      <c r="G38" s="1135"/>
      <c r="H38" s="1106"/>
      <c r="I38" s="1106"/>
    </row>
    <row r="39" spans="1:9" s="1600" customFormat="1" ht="19.5" customHeight="1">
      <c r="A39" s="3472"/>
      <c r="B39" s="3472"/>
      <c r="C39" s="1132" t="s">
        <v>1488</v>
      </c>
      <c r="D39" s="1133"/>
      <c r="E39" s="1155">
        <v>1</v>
      </c>
      <c r="F39" s="1134" t="s">
        <v>1489</v>
      </c>
      <c r="G39" s="1135"/>
      <c r="H39" s="1106"/>
      <c r="I39" s="1106"/>
    </row>
    <row r="40" spans="1:9" s="1600" customFormat="1" ht="19.5" customHeight="1">
      <c r="A40" s="1601" t="s">
        <v>1490</v>
      </c>
      <c r="B40" s="1601"/>
      <c r="C40" s="1601"/>
      <c r="D40" s="1601"/>
      <c r="E40" s="1601"/>
      <c r="F40" s="1134"/>
      <c r="G40" s="1134"/>
      <c r="H40" s="1106"/>
      <c r="I40" s="1106"/>
    </row>
    <row r="42" spans="1:9" ht="19.5" customHeight="1">
      <c r="A42" s="1136"/>
      <c r="B42" s="1069" t="s">
        <v>1491</v>
      </c>
      <c r="C42" s="1069" t="s">
        <v>1491</v>
      </c>
      <c r="D42" s="1069" t="s">
        <v>1491</v>
      </c>
      <c r="E42" s="1154" t="s">
        <v>1491</v>
      </c>
      <c r="F42" s="1154" t="s">
        <v>1491</v>
      </c>
      <c r="G42" s="1154" t="s">
        <v>1492</v>
      </c>
      <c r="H42" s="1154" t="s">
        <v>1491</v>
      </c>
    </row>
    <row r="43" spans="1:9" ht="19.5" customHeight="1">
      <c r="A43" s="1137"/>
      <c r="B43" s="1154" t="s">
        <v>1008</v>
      </c>
      <c r="C43" s="1154" t="s">
        <v>1008</v>
      </c>
      <c r="D43" s="1154" t="s">
        <v>1008</v>
      </c>
      <c r="E43" s="1154" t="s">
        <v>1008</v>
      </c>
      <c r="F43" s="1069" t="s">
        <v>1030</v>
      </c>
      <c r="G43" s="1069" t="s">
        <v>1433</v>
      </c>
      <c r="H43" s="1069" t="s">
        <v>1493</v>
      </c>
    </row>
    <row r="44" spans="1:9" ht="19.5" customHeight="1">
      <c r="A44" s="1138"/>
      <c r="B44" s="1069">
        <v>1</v>
      </c>
      <c r="C44" s="1069">
        <v>2</v>
      </c>
      <c r="D44" s="1069">
        <v>3</v>
      </c>
      <c r="E44" s="1154">
        <v>4</v>
      </c>
      <c r="F44" s="1130" t="s">
        <v>1494</v>
      </c>
      <c r="G44" s="1130" t="s">
        <v>1494</v>
      </c>
      <c r="H44" s="1130" t="s">
        <v>1494</v>
      </c>
    </row>
    <row r="45" spans="1:9" ht="19.5" customHeight="1">
      <c r="A45" s="1153" t="s">
        <v>907</v>
      </c>
      <c r="B45" s="1069">
        <v>0.8</v>
      </c>
      <c r="C45" s="1069">
        <v>0.5</v>
      </c>
      <c r="D45" s="1069">
        <v>0.36</v>
      </c>
      <c r="E45" s="1069">
        <v>0.3</v>
      </c>
      <c r="F45" s="1130">
        <v>0.3</v>
      </c>
      <c r="G45" s="1069">
        <v>0.3</v>
      </c>
      <c r="H45" s="1069">
        <v>0.25</v>
      </c>
    </row>
    <row r="46" spans="1:9" ht="19.5" customHeight="1">
      <c r="A46" s="1153" t="s">
        <v>908</v>
      </c>
      <c r="B46" s="1069">
        <v>0.8</v>
      </c>
      <c r="C46" s="1069">
        <v>0.5</v>
      </c>
      <c r="D46" s="1069">
        <v>0.36</v>
      </c>
      <c r="E46" s="1069">
        <v>0.3</v>
      </c>
      <c r="F46" s="1069">
        <v>0.3</v>
      </c>
      <c r="G46" s="1069">
        <v>0.3</v>
      </c>
      <c r="H46" s="1069">
        <v>0.25</v>
      </c>
    </row>
    <row r="47" spans="1:9" ht="19.5" customHeight="1">
      <c r="A47" s="1153" t="s">
        <v>909</v>
      </c>
      <c r="B47" s="1069">
        <v>0.7</v>
      </c>
      <c r="C47" s="1069">
        <v>0.4</v>
      </c>
      <c r="D47" s="1069">
        <v>0.28000000000000003</v>
      </c>
      <c r="E47" s="1069">
        <v>0.25</v>
      </c>
      <c r="F47" s="1069">
        <v>0.25</v>
      </c>
      <c r="G47" s="1069">
        <v>0.25</v>
      </c>
      <c r="H47" s="1069">
        <v>0.2</v>
      </c>
    </row>
    <row r="48" spans="1:9" ht="19.5" customHeight="1">
      <c r="A48" s="1153" t="s">
        <v>910</v>
      </c>
      <c r="B48" s="1069">
        <v>0.7</v>
      </c>
      <c r="C48" s="1069">
        <v>0.4</v>
      </c>
      <c r="D48" s="1069">
        <v>0.28000000000000003</v>
      </c>
      <c r="E48" s="1069">
        <v>0.25</v>
      </c>
      <c r="F48" s="1069">
        <v>0.25</v>
      </c>
      <c r="G48" s="1069">
        <v>0.25</v>
      </c>
      <c r="H48" s="1069">
        <v>0.2</v>
      </c>
    </row>
    <row r="49" spans="1:8" s="1106" customFormat="1" ht="19.5" customHeight="1">
      <c r="A49" s="1153" t="s">
        <v>911</v>
      </c>
      <c r="B49" s="1069">
        <v>0.7</v>
      </c>
      <c r="C49" s="1069">
        <v>0.4</v>
      </c>
      <c r="D49" s="1069">
        <v>0.28000000000000003</v>
      </c>
      <c r="E49" s="1069">
        <v>0.25</v>
      </c>
      <c r="F49" s="1069">
        <v>0.25</v>
      </c>
      <c r="G49" s="1069">
        <v>0.25</v>
      </c>
      <c r="H49" s="1069">
        <v>0.2</v>
      </c>
    </row>
    <row r="50" spans="1:8" s="1106" customFormat="1" ht="19.5" customHeight="1">
      <c r="A50" s="1153" t="s">
        <v>912</v>
      </c>
      <c r="B50" s="1069">
        <v>0.7</v>
      </c>
      <c r="C50" s="1069">
        <v>0.4</v>
      </c>
      <c r="D50" s="1069">
        <v>0.28000000000000003</v>
      </c>
      <c r="E50" s="1069">
        <v>0.25</v>
      </c>
      <c r="F50" s="1069">
        <v>0.25</v>
      </c>
      <c r="G50" s="1069">
        <v>0.25</v>
      </c>
      <c r="H50" s="1069">
        <v>0.2</v>
      </c>
    </row>
    <row r="51" spans="1:8" s="1106" customFormat="1" ht="19.5" customHeight="1">
      <c r="A51" s="1153" t="s">
        <v>913</v>
      </c>
      <c r="B51" s="1069">
        <v>0.7</v>
      </c>
      <c r="C51" s="1069">
        <v>0.4</v>
      </c>
      <c r="D51" s="1069">
        <v>0.28000000000000003</v>
      </c>
      <c r="E51" s="1069">
        <v>0.25</v>
      </c>
      <c r="F51" s="1069">
        <v>0.25</v>
      </c>
      <c r="G51" s="1069">
        <v>0.25</v>
      </c>
      <c r="H51" s="1069">
        <v>0.2</v>
      </c>
    </row>
    <row r="52" spans="1:8" s="1106" customFormat="1" ht="19.5" customHeight="1">
      <c r="A52" s="1153" t="s">
        <v>914</v>
      </c>
      <c r="B52" s="1069">
        <v>0.6</v>
      </c>
      <c r="C52" s="1069">
        <v>0.3</v>
      </c>
      <c r="D52" s="1069">
        <v>0.2</v>
      </c>
      <c r="E52" s="1069">
        <v>0.2</v>
      </c>
      <c r="F52" s="1069">
        <v>0.2</v>
      </c>
      <c r="G52" s="1069">
        <v>0.2</v>
      </c>
      <c r="H52" s="1069">
        <v>0.15</v>
      </c>
    </row>
    <row r="53" spans="1:8" s="1106" customFormat="1" ht="19.5" customHeight="1">
      <c r="A53" s="1153" t="s">
        <v>915</v>
      </c>
      <c r="B53" s="1069">
        <v>0.6</v>
      </c>
      <c r="C53" s="1069">
        <v>0.3</v>
      </c>
      <c r="D53" s="1069">
        <v>0.2</v>
      </c>
      <c r="E53" s="1069">
        <v>0.2</v>
      </c>
      <c r="F53" s="1069">
        <v>0.2</v>
      </c>
      <c r="G53" s="1069">
        <v>0.2</v>
      </c>
      <c r="H53" s="1069">
        <v>0.15</v>
      </c>
    </row>
    <row r="54" spans="1:8" s="1106" customFormat="1" ht="19.5" customHeight="1">
      <c r="A54" s="1153" t="s">
        <v>916</v>
      </c>
      <c r="B54" s="1069">
        <v>0.6</v>
      </c>
      <c r="C54" s="1069">
        <v>0.3</v>
      </c>
      <c r="D54" s="1069">
        <v>0.2</v>
      </c>
      <c r="E54" s="1069">
        <v>0.2</v>
      </c>
      <c r="F54" s="1069">
        <v>0.2</v>
      </c>
      <c r="G54" s="1069">
        <v>0.2</v>
      </c>
      <c r="H54" s="1069">
        <v>0.15</v>
      </c>
    </row>
    <row r="55" spans="1:8" s="1106" customFormat="1" ht="19.5" customHeight="1">
      <c r="A55" s="1153" t="s">
        <v>917</v>
      </c>
      <c r="B55" s="1069">
        <v>0.6</v>
      </c>
      <c r="C55" s="1069">
        <v>0.3</v>
      </c>
      <c r="D55" s="1069">
        <v>0.2</v>
      </c>
      <c r="E55" s="1069">
        <v>0.2</v>
      </c>
      <c r="F55" s="1069">
        <v>0.2</v>
      </c>
      <c r="G55" s="1069">
        <v>0.2</v>
      </c>
      <c r="H55" s="1069">
        <v>0.15</v>
      </c>
    </row>
    <row r="56" spans="1:8" s="1106" customFormat="1" ht="19.5" customHeight="1">
      <c r="A56" s="1153" t="s">
        <v>918</v>
      </c>
      <c r="B56" s="1069">
        <v>0.6</v>
      </c>
      <c r="C56" s="1069">
        <v>0.3</v>
      </c>
      <c r="D56" s="1069">
        <v>0.2</v>
      </c>
      <c r="E56" s="1069">
        <v>0.2</v>
      </c>
      <c r="F56" s="1069">
        <v>0.2</v>
      </c>
      <c r="G56" s="1069">
        <v>0.2</v>
      </c>
      <c r="H56" s="1069">
        <v>0.15</v>
      </c>
    </row>
    <row r="58" spans="1:8" s="1106" customFormat="1" ht="19.5" customHeight="1">
      <c r="A58" s="1139"/>
      <c r="B58" s="1127"/>
      <c r="C58" s="1127"/>
      <c r="D58" s="1127" t="s">
        <v>1495</v>
      </c>
      <c r="E58" s="1127"/>
      <c r="F58" s="1127"/>
    </row>
    <row r="59" spans="1:8" s="1106" customFormat="1" ht="19.5" customHeight="1">
      <c r="A59" s="1155" t="s">
        <v>1496</v>
      </c>
      <c r="B59" s="1155" t="s">
        <v>1497</v>
      </c>
      <c r="C59" s="1155" t="s">
        <v>1498</v>
      </c>
      <c r="D59" s="1155" t="s">
        <v>1499</v>
      </c>
      <c r="E59" s="1155" t="s">
        <v>1500</v>
      </c>
      <c r="F59" s="1155" t="s">
        <v>1501</v>
      </c>
    </row>
    <row r="60" spans="1:8" s="1106" customFormat="1" ht="19.5" customHeight="1">
      <c r="A60" s="1155"/>
      <c r="B60" s="1155"/>
      <c r="C60" s="1155" t="s">
        <v>1633</v>
      </c>
      <c r="D60" s="1155"/>
      <c r="E60" s="1140" t="s">
        <v>1442</v>
      </c>
      <c r="F60" s="1155" t="s">
        <v>1442</v>
      </c>
    </row>
    <row r="61" spans="1:8" s="1106" customFormat="1" ht="24">
      <c r="A61" s="1155">
        <v>1</v>
      </c>
      <c r="B61" s="3472" t="s">
        <v>1502</v>
      </c>
      <c r="C61" s="1069" t="s">
        <v>1503</v>
      </c>
      <c r="D61" s="1069" t="s">
        <v>1504</v>
      </c>
      <c r="E61" s="1140">
        <v>0.5</v>
      </c>
      <c r="F61" s="1155">
        <v>80</v>
      </c>
      <c r="H61" s="1106">
        <f>SUMIF(C59:C119,基准地价!C8,E59:E119)</f>
        <v>0</v>
      </c>
    </row>
    <row r="62" spans="1:8" s="1106" customFormat="1" ht="24">
      <c r="A62" s="1155">
        <v>2</v>
      </c>
      <c r="B62" s="3472"/>
      <c r="C62" s="1069" t="s">
        <v>1505</v>
      </c>
      <c r="D62" s="1069" t="s">
        <v>1506</v>
      </c>
      <c r="E62" s="1140">
        <v>0.5</v>
      </c>
      <c r="F62" s="1155">
        <v>80</v>
      </c>
    </row>
    <row r="63" spans="1:8" s="1106" customFormat="1" ht="36">
      <c r="A63" s="1155">
        <v>3</v>
      </c>
      <c r="B63" s="3472"/>
      <c r="C63" s="1069" t="s">
        <v>1507</v>
      </c>
      <c r="D63" s="1069" t="s">
        <v>1508</v>
      </c>
      <c r="E63" s="1140">
        <v>0.5</v>
      </c>
      <c r="F63" s="1155">
        <v>80</v>
      </c>
    </row>
    <row r="64" spans="1:8" s="1106" customFormat="1" ht="36">
      <c r="A64" s="1155">
        <v>4</v>
      </c>
      <c r="B64" s="3472"/>
      <c r="C64" s="1069" t="s">
        <v>1509</v>
      </c>
      <c r="D64" s="1069" t="s">
        <v>1510</v>
      </c>
      <c r="E64" s="1140">
        <v>0.4</v>
      </c>
      <c r="F64" s="1155">
        <v>60</v>
      </c>
    </row>
    <row r="65" spans="1:6" s="1106" customFormat="1" ht="36">
      <c r="A65" s="1155">
        <v>5</v>
      </c>
      <c r="B65" s="3472"/>
      <c r="C65" s="1069" t="s">
        <v>1511</v>
      </c>
      <c r="D65" s="1069" t="s">
        <v>1512</v>
      </c>
      <c r="E65" s="1140">
        <v>0.2</v>
      </c>
      <c r="F65" s="1155">
        <v>30</v>
      </c>
    </row>
    <row r="66" spans="1:6" s="1106" customFormat="1" ht="36">
      <c r="A66" s="1155">
        <v>6</v>
      </c>
      <c r="B66" s="3472"/>
      <c r="C66" s="1069" t="s">
        <v>1513</v>
      </c>
      <c r="D66" s="1069" t="s">
        <v>1514</v>
      </c>
      <c r="E66" s="1140">
        <v>0.3</v>
      </c>
      <c r="F66" s="1155">
        <v>50</v>
      </c>
    </row>
    <row r="67" spans="1:6" s="1106" customFormat="1" ht="36">
      <c r="A67" s="1155">
        <v>7</v>
      </c>
      <c r="B67" s="3472"/>
      <c r="C67" s="1069" t="s">
        <v>1515</v>
      </c>
      <c r="D67" s="1069" t="s">
        <v>1516</v>
      </c>
      <c r="E67" s="1140">
        <v>0.2</v>
      </c>
      <c r="F67" s="1155">
        <v>30</v>
      </c>
    </row>
    <row r="68" spans="1:6" s="1106" customFormat="1" ht="36">
      <c r="A68" s="1155">
        <v>8</v>
      </c>
      <c r="B68" s="3472"/>
      <c r="C68" s="1069" t="s">
        <v>1517</v>
      </c>
      <c r="D68" s="1069" t="s">
        <v>1518</v>
      </c>
      <c r="E68" s="1140">
        <v>0.2</v>
      </c>
      <c r="F68" s="1155">
        <v>30</v>
      </c>
    </row>
    <row r="69" spans="1:6" s="1106" customFormat="1" ht="36">
      <c r="A69" s="1155">
        <v>9</v>
      </c>
      <c r="B69" s="3472"/>
      <c r="C69" s="1069" t="s">
        <v>1519</v>
      </c>
      <c r="D69" s="1069" t="s">
        <v>1520</v>
      </c>
      <c r="E69" s="1140">
        <v>0.2</v>
      </c>
      <c r="F69" s="1155">
        <v>30</v>
      </c>
    </row>
    <row r="70" spans="1:6" s="1106" customFormat="1" ht="48">
      <c r="A70" s="1155">
        <v>10</v>
      </c>
      <c r="B70" s="3472"/>
      <c r="C70" s="1069" t="s">
        <v>1521</v>
      </c>
      <c r="D70" s="1069" t="s">
        <v>1522</v>
      </c>
      <c r="E70" s="1140">
        <v>0.2</v>
      </c>
      <c r="F70" s="1155">
        <v>30</v>
      </c>
    </row>
    <row r="71" spans="1:6" s="1106" customFormat="1" ht="48">
      <c r="A71" s="1155">
        <v>11</v>
      </c>
      <c r="B71" s="3472"/>
      <c r="C71" s="1069" t="s">
        <v>1523</v>
      </c>
      <c r="D71" s="1069" t="s">
        <v>1524</v>
      </c>
      <c r="E71" s="1140">
        <v>0.2</v>
      </c>
      <c r="F71" s="1155">
        <v>30</v>
      </c>
    </row>
    <row r="72" spans="1:6" s="1106" customFormat="1" ht="36">
      <c r="A72" s="1155">
        <v>12</v>
      </c>
      <c r="B72" s="3472"/>
      <c r="C72" s="1069" t="s">
        <v>1525</v>
      </c>
      <c r="D72" s="1069" t="s">
        <v>1526</v>
      </c>
      <c r="E72" s="1140">
        <v>0.5</v>
      </c>
      <c r="F72" s="1155">
        <v>80</v>
      </c>
    </row>
    <row r="73" spans="1:6" s="1106" customFormat="1" ht="24">
      <c r="A73" s="1155">
        <v>13</v>
      </c>
      <c r="B73" s="3472"/>
      <c r="C73" s="1069" t="s">
        <v>1527</v>
      </c>
      <c r="D73" s="1069" t="s">
        <v>1528</v>
      </c>
      <c r="E73" s="1140">
        <v>0.4</v>
      </c>
      <c r="F73" s="1155">
        <v>60</v>
      </c>
    </row>
    <row r="74" spans="1:6" s="1106" customFormat="1" ht="24">
      <c r="A74" s="1155">
        <v>14</v>
      </c>
      <c r="B74" s="3472"/>
      <c r="C74" s="1069" t="s">
        <v>1529</v>
      </c>
      <c r="D74" s="1069" t="s">
        <v>1530</v>
      </c>
      <c r="E74" s="1140">
        <v>0.2</v>
      </c>
      <c r="F74" s="1155">
        <v>30</v>
      </c>
    </row>
    <row r="75" spans="1:6" s="1106" customFormat="1" ht="24">
      <c r="A75" s="1155">
        <v>15</v>
      </c>
      <c r="B75" s="3472"/>
      <c r="C75" s="1069" t="s">
        <v>1531</v>
      </c>
      <c r="D75" s="1069" t="s">
        <v>1532</v>
      </c>
      <c r="E75" s="1140">
        <v>0.2</v>
      </c>
      <c r="F75" s="1155">
        <v>30</v>
      </c>
    </row>
    <row r="76" spans="1:6" s="1106" customFormat="1" ht="24">
      <c r="A76" s="1155">
        <v>16</v>
      </c>
      <c r="B76" s="3472" t="s">
        <v>1533</v>
      </c>
      <c r="C76" s="1069" t="s">
        <v>1534</v>
      </c>
      <c r="D76" s="1069" t="s">
        <v>1535</v>
      </c>
      <c r="E76" s="1140">
        <v>0.5</v>
      </c>
      <c r="F76" s="1155">
        <v>80</v>
      </c>
    </row>
    <row r="77" spans="1:6" s="1106" customFormat="1" ht="24">
      <c r="A77" s="1155">
        <v>17</v>
      </c>
      <c r="B77" s="3472"/>
      <c r="C77" s="1069" t="s">
        <v>1536</v>
      </c>
      <c r="D77" s="1069" t="s">
        <v>1537</v>
      </c>
      <c r="E77" s="1140">
        <v>0.5</v>
      </c>
      <c r="F77" s="1155">
        <v>80</v>
      </c>
    </row>
    <row r="78" spans="1:6" s="1106" customFormat="1" ht="24">
      <c r="A78" s="1155">
        <v>18</v>
      </c>
      <c r="B78" s="3472"/>
      <c r="C78" s="1069" t="s">
        <v>1538</v>
      </c>
      <c r="D78" s="1069" t="s">
        <v>1539</v>
      </c>
      <c r="E78" s="1140">
        <v>0.2</v>
      </c>
      <c r="F78" s="1155">
        <v>30</v>
      </c>
    </row>
    <row r="79" spans="1:6" s="1106" customFormat="1" ht="24">
      <c r="A79" s="1155">
        <v>19</v>
      </c>
      <c r="B79" s="3472"/>
      <c r="C79" s="1069" t="s">
        <v>1540</v>
      </c>
      <c r="D79" s="1069" t="s">
        <v>1541</v>
      </c>
      <c r="E79" s="1140">
        <v>0.5</v>
      </c>
      <c r="F79" s="1155">
        <v>80</v>
      </c>
    </row>
    <row r="80" spans="1:6" s="1106" customFormat="1" ht="36">
      <c r="A80" s="1155">
        <v>20</v>
      </c>
      <c r="B80" s="3472"/>
      <c r="C80" s="1069" t="s">
        <v>1542</v>
      </c>
      <c r="D80" s="1069" t="s">
        <v>1543</v>
      </c>
      <c r="E80" s="1140">
        <v>0.2</v>
      </c>
      <c r="F80" s="1155">
        <v>30</v>
      </c>
    </row>
    <row r="81" spans="1:6" s="1106" customFormat="1" ht="36">
      <c r="A81" s="1155">
        <v>21</v>
      </c>
      <c r="B81" s="3472"/>
      <c r="C81" s="1069" t="s">
        <v>1544</v>
      </c>
      <c r="D81" s="1069" t="s">
        <v>1545</v>
      </c>
      <c r="E81" s="1140">
        <v>0.2</v>
      </c>
      <c r="F81" s="1155">
        <v>30</v>
      </c>
    </row>
    <row r="82" spans="1:6" s="1106" customFormat="1" ht="48">
      <c r="A82" s="1155">
        <v>22</v>
      </c>
      <c r="B82" s="3472"/>
      <c r="C82" s="1069" t="s">
        <v>1546</v>
      </c>
      <c r="D82" s="1069" t="s">
        <v>1547</v>
      </c>
      <c r="E82" s="1140">
        <v>0.2</v>
      </c>
      <c r="F82" s="1155">
        <v>30</v>
      </c>
    </row>
    <row r="83" spans="1:6" s="1106" customFormat="1" ht="48">
      <c r="A83" s="1155">
        <v>23</v>
      </c>
      <c r="B83" s="3472"/>
      <c r="C83" s="1069" t="s">
        <v>1548</v>
      </c>
      <c r="D83" s="1069" t="s">
        <v>1549</v>
      </c>
      <c r="E83" s="1140">
        <v>0.2</v>
      </c>
      <c r="F83" s="1155">
        <v>30</v>
      </c>
    </row>
    <row r="84" spans="1:6" s="1106" customFormat="1" ht="36">
      <c r="A84" s="1155">
        <v>24</v>
      </c>
      <c r="B84" s="3472"/>
      <c r="C84" s="1069" t="s">
        <v>1550</v>
      </c>
      <c r="D84" s="1069" t="s">
        <v>1551</v>
      </c>
      <c r="E84" s="1140">
        <v>0.2</v>
      </c>
      <c r="F84" s="1155">
        <v>30</v>
      </c>
    </row>
    <row r="85" spans="1:6" s="1106" customFormat="1" ht="36">
      <c r="A85" s="1155">
        <v>25</v>
      </c>
      <c r="B85" s="3472"/>
      <c r="C85" s="1069" t="s">
        <v>1552</v>
      </c>
      <c r="D85" s="1069" t="s">
        <v>1553</v>
      </c>
      <c r="E85" s="1140">
        <v>0.5</v>
      </c>
      <c r="F85" s="1155">
        <v>80</v>
      </c>
    </row>
    <row r="86" spans="1:6" s="1106" customFormat="1" ht="36">
      <c r="A86" s="1155">
        <v>26</v>
      </c>
      <c r="B86" s="3472"/>
      <c r="C86" s="1069" t="s">
        <v>1554</v>
      </c>
      <c r="D86" s="1069" t="s">
        <v>1555</v>
      </c>
      <c r="E86" s="1140">
        <v>0.2</v>
      </c>
      <c r="F86" s="1155">
        <v>30</v>
      </c>
    </row>
    <row r="87" spans="1:6" s="1106" customFormat="1" ht="36">
      <c r="A87" s="1155">
        <v>27</v>
      </c>
      <c r="B87" s="3472"/>
      <c r="C87" s="1069" t="s">
        <v>1556</v>
      </c>
      <c r="D87" s="1069" t="s">
        <v>1557</v>
      </c>
      <c r="E87" s="1140">
        <v>0.2</v>
      </c>
      <c r="F87" s="1155">
        <v>30</v>
      </c>
    </row>
    <row r="88" spans="1:6" s="1106" customFormat="1" ht="36">
      <c r="A88" s="1155">
        <v>28</v>
      </c>
      <c r="B88" s="3472"/>
      <c r="C88" s="1069" t="s">
        <v>1558</v>
      </c>
      <c r="D88" s="1069" t="s">
        <v>1559</v>
      </c>
      <c r="E88" s="1140">
        <v>0.2</v>
      </c>
      <c r="F88" s="1155">
        <v>30</v>
      </c>
    </row>
    <row r="89" spans="1:6" s="1106" customFormat="1" ht="24">
      <c r="A89" s="1155">
        <v>29</v>
      </c>
      <c r="B89" s="3472"/>
      <c r="C89" s="1069" t="s">
        <v>1560</v>
      </c>
      <c r="D89" s="1069" t="s">
        <v>1561</v>
      </c>
      <c r="E89" s="1140">
        <v>0.2</v>
      </c>
      <c r="F89" s="1155">
        <v>30</v>
      </c>
    </row>
    <row r="90" spans="1:6" s="1106" customFormat="1" ht="24">
      <c r="A90" s="1155">
        <v>30</v>
      </c>
      <c r="B90" s="3472"/>
      <c r="C90" s="1069" t="s">
        <v>1562</v>
      </c>
      <c r="D90" s="1069" t="s">
        <v>1563</v>
      </c>
      <c r="E90" s="1140">
        <v>0.2</v>
      </c>
      <c r="F90" s="1155">
        <v>30</v>
      </c>
    </row>
    <row r="91" spans="1:6" s="1106" customFormat="1" ht="36">
      <c r="A91" s="1155">
        <v>31</v>
      </c>
      <c r="B91" s="3472"/>
      <c r="C91" s="1069" t="s">
        <v>1564</v>
      </c>
      <c r="D91" s="1069" t="s">
        <v>1565</v>
      </c>
      <c r="E91" s="1140">
        <v>0.2</v>
      </c>
      <c r="F91" s="1155">
        <v>30</v>
      </c>
    </row>
    <row r="92" spans="1:6" s="1106" customFormat="1" ht="24">
      <c r="A92" s="1155">
        <v>32</v>
      </c>
      <c r="B92" s="3472" t="s">
        <v>1566</v>
      </c>
      <c r="C92" s="1155" t="s">
        <v>1567</v>
      </c>
      <c r="D92" s="1069" t="s">
        <v>1568</v>
      </c>
      <c r="E92" s="1140">
        <v>0.2</v>
      </c>
      <c r="F92" s="1155">
        <v>30</v>
      </c>
    </row>
    <row r="93" spans="1:6" s="1106" customFormat="1" ht="36">
      <c r="A93" s="1155">
        <v>33</v>
      </c>
      <c r="B93" s="3472"/>
      <c r="C93" s="1155" t="s">
        <v>1569</v>
      </c>
      <c r="D93" s="1069" t="s">
        <v>1570</v>
      </c>
      <c r="E93" s="1140">
        <v>0.2</v>
      </c>
      <c r="F93" s="1155">
        <v>30</v>
      </c>
    </row>
    <row r="94" spans="1:6" s="1106" customFormat="1" ht="48">
      <c r="A94" s="1155">
        <v>34</v>
      </c>
      <c r="B94" s="3472"/>
      <c r="C94" s="1155" t="s">
        <v>1571</v>
      </c>
      <c r="D94" s="1069" t="s">
        <v>1572</v>
      </c>
      <c r="E94" s="1140">
        <v>0.2</v>
      </c>
      <c r="F94" s="1155">
        <v>30</v>
      </c>
    </row>
    <row r="95" spans="1:6" s="1106" customFormat="1" ht="36">
      <c r="A95" s="1155">
        <v>35</v>
      </c>
      <c r="B95" s="3472"/>
      <c r="C95" s="1155" t="s">
        <v>1573</v>
      </c>
      <c r="D95" s="1069" t="s">
        <v>1574</v>
      </c>
      <c r="E95" s="1140">
        <v>0.2</v>
      </c>
      <c r="F95" s="1155">
        <v>30</v>
      </c>
    </row>
    <row r="96" spans="1:6" s="1106" customFormat="1" ht="48">
      <c r="A96" s="1155">
        <v>36</v>
      </c>
      <c r="B96" s="3472"/>
      <c r="C96" s="1069" t="s">
        <v>1575</v>
      </c>
      <c r="D96" s="1069" t="s">
        <v>1576</v>
      </c>
      <c r="E96" s="1140">
        <v>0.2</v>
      </c>
      <c r="F96" s="1155">
        <v>30</v>
      </c>
    </row>
    <row r="97" spans="1:6" s="1106" customFormat="1" ht="36">
      <c r="A97" s="1155">
        <v>37</v>
      </c>
      <c r="B97" s="3472"/>
      <c r="C97" s="1155" t="s">
        <v>1577</v>
      </c>
      <c r="D97" s="1069" t="s">
        <v>1578</v>
      </c>
      <c r="E97" s="1140">
        <v>0.2</v>
      </c>
      <c r="F97" s="1155">
        <v>30</v>
      </c>
    </row>
    <row r="98" spans="1:6" s="1106" customFormat="1" ht="36">
      <c r="A98" s="1155">
        <v>38</v>
      </c>
      <c r="B98" s="3472"/>
      <c r="C98" s="1155" t="s">
        <v>1579</v>
      </c>
      <c r="D98" s="1069" t="s">
        <v>1580</v>
      </c>
      <c r="E98" s="1140">
        <v>0.2</v>
      </c>
      <c r="F98" s="1155">
        <v>30</v>
      </c>
    </row>
    <row r="99" spans="1:6" s="1106" customFormat="1" ht="36">
      <c r="A99" s="1155">
        <v>39</v>
      </c>
      <c r="B99" s="3472" t="s">
        <v>1581</v>
      </c>
      <c r="C99" s="1155" t="s">
        <v>1582</v>
      </c>
      <c r="D99" s="1069" t="s">
        <v>1583</v>
      </c>
      <c r="E99" s="1140">
        <v>0.3</v>
      </c>
      <c r="F99" s="1155">
        <v>50</v>
      </c>
    </row>
    <row r="100" spans="1:6" s="1106" customFormat="1" ht="24">
      <c r="A100" s="1155">
        <v>40</v>
      </c>
      <c r="B100" s="3472"/>
      <c r="C100" s="1155" t="s">
        <v>1584</v>
      </c>
      <c r="D100" s="1069" t="s">
        <v>1585</v>
      </c>
      <c r="E100" s="1140">
        <v>0.2</v>
      </c>
      <c r="F100" s="1155">
        <v>30</v>
      </c>
    </row>
    <row r="101" spans="1:6" s="1106" customFormat="1" ht="36">
      <c r="A101" s="1155">
        <v>41</v>
      </c>
      <c r="B101" s="3472"/>
      <c r="C101" s="1155" t="s">
        <v>1586</v>
      </c>
      <c r="D101" s="1069" t="s">
        <v>1583</v>
      </c>
      <c r="E101" s="1140">
        <v>0.2</v>
      </c>
      <c r="F101" s="1155">
        <v>30</v>
      </c>
    </row>
    <row r="102" spans="1:6" s="1106" customFormat="1" ht="48">
      <c r="A102" s="1155">
        <v>42</v>
      </c>
      <c r="B102" s="1155" t="s">
        <v>1587</v>
      </c>
      <c r="C102" s="1069" t="s">
        <v>1588</v>
      </c>
      <c r="D102" s="1069" t="s">
        <v>1589</v>
      </c>
      <c r="E102" s="1140">
        <v>0.2</v>
      </c>
      <c r="F102" s="1155">
        <v>30</v>
      </c>
    </row>
    <row r="103" spans="1:6" s="1106" customFormat="1" ht="24">
      <c r="A103" s="1155">
        <v>43</v>
      </c>
      <c r="B103" s="1155" t="s">
        <v>1590</v>
      </c>
      <c r="C103" s="1155" t="s">
        <v>1591</v>
      </c>
      <c r="D103" s="1069" t="s">
        <v>1592</v>
      </c>
      <c r="E103" s="1140">
        <v>0.2</v>
      </c>
      <c r="F103" s="1155">
        <v>30</v>
      </c>
    </row>
    <row r="104" spans="1:6" s="1106" customFormat="1" ht="36">
      <c r="A104" s="1155">
        <v>44</v>
      </c>
      <c r="B104" s="1155" t="s">
        <v>1593</v>
      </c>
      <c r="C104" s="1155" t="s">
        <v>1594</v>
      </c>
      <c r="D104" s="1069" t="s">
        <v>1595</v>
      </c>
      <c r="E104" s="1140">
        <v>0.2</v>
      </c>
      <c r="F104" s="1155">
        <v>30</v>
      </c>
    </row>
    <row r="105" spans="1:6" s="1106" customFormat="1" ht="36">
      <c r="A105" s="1155">
        <v>45</v>
      </c>
      <c r="B105" s="3472" t="s">
        <v>1596</v>
      </c>
      <c r="C105" s="1155" t="s">
        <v>1597</v>
      </c>
      <c r="D105" s="1069" t="s">
        <v>1598</v>
      </c>
      <c r="E105" s="1140">
        <v>0.2</v>
      </c>
      <c r="F105" s="1155">
        <v>30</v>
      </c>
    </row>
    <row r="106" spans="1:6" s="1106" customFormat="1" ht="36">
      <c r="A106" s="1155">
        <v>46</v>
      </c>
      <c r="B106" s="3472"/>
      <c r="C106" s="1155" t="s">
        <v>1599</v>
      </c>
      <c r="D106" s="1069" t="s">
        <v>1600</v>
      </c>
      <c r="E106" s="1140">
        <v>0.2</v>
      </c>
      <c r="F106" s="1155">
        <v>30</v>
      </c>
    </row>
    <row r="107" spans="1:6" s="1106" customFormat="1" ht="36">
      <c r="A107" s="1155">
        <v>47</v>
      </c>
      <c r="B107" s="3472" t="s">
        <v>1601</v>
      </c>
      <c r="C107" s="1155" t="s">
        <v>1602</v>
      </c>
      <c r="D107" s="1069" t="s">
        <v>1603</v>
      </c>
      <c r="E107" s="1140">
        <v>0.3</v>
      </c>
      <c r="F107" s="1155">
        <v>50</v>
      </c>
    </row>
    <row r="108" spans="1:6" s="1106" customFormat="1" ht="36">
      <c r="A108" s="1155">
        <v>48</v>
      </c>
      <c r="B108" s="3472"/>
      <c r="C108" s="1155" t="s">
        <v>1604</v>
      </c>
      <c r="D108" s="1069" t="s">
        <v>1605</v>
      </c>
      <c r="E108" s="1140">
        <v>0.2</v>
      </c>
      <c r="F108" s="1155">
        <v>30</v>
      </c>
    </row>
    <row r="109" spans="1:6" s="1106" customFormat="1" ht="36">
      <c r="A109" s="1155">
        <v>49</v>
      </c>
      <c r="B109" s="1155" t="s">
        <v>1606</v>
      </c>
      <c r="C109" s="1155" t="s">
        <v>1607</v>
      </c>
      <c r="D109" s="1069" t="s">
        <v>1608</v>
      </c>
      <c r="E109" s="1140">
        <v>0.2</v>
      </c>
      <c r="F109" s="1155">
        <v>30</v>
      </c>
    </row>
    <row r="110" spans="1:6" s="1106" customFormat="1" ht="36">
      <c r="A110" s="1155">
        <v>50</v>
      </c>
      <c r="B110" s="1155" t="s">
        <v>1609</v>
      </c>
      <c r="C110" s="1155" t="s">
        <v>1610</v>
      </c>
      <c r="D110" s="1069" t="s">
        <v>1611</v>
      </c>
      <c r="E110" s="1140">
        <v>0.2</v>
      </c>
      <c r="F110" s="1155">
        <v>30</v>
      </c>
    </row>
    <row r="111" spans="1:6" s="1106" customFormat="1" ht="36">
      <c r="A111" s="1155">
        <v>51</v>
      </c>
      <c r="B111" s="3472" t="s">
        <v>1612</v>
      </c>
      <c r="C111" s="1155" t="s">
        <v>1613</v>
      </c>
      <c r="D111" s="1069" t="s">
        <v>1614</v>
      </c>
      <c r="E111" s="1140">
        <v>0.2</v>
      </c>
      <c r="F111" s="1155">
        <v>30</v>
      </c>
    </row>
    <row r="112" spans="1:6" s="1106" customFormat="1" ht="24">
      <c r="A112" s="1155">
        <v>52</v>
      </c>
      <c r="B112" s="3472"/>
      <c r="C112" s="1155" t="s">
        <v>1615</v>
      </c>
      <c r="D112" s="1069" t="s">
        <v>1616</v>
      </c>
      <c r="E112" s="1140">
        <v>0.2</v>
      </c>
      <c r="F112" s="1155">
        <v>30</v>
      </c>
    </row>
    <row r="113" spans="1:14" s="1106" customFormat="1" ht="24">
      <c r="A113" s="1155">
        <v>53</v>
      </c>
      <c r="B113" s="3472"/>
      <c r="C113" s="1155" t="s">
        <v>1617</v>
      </c>
      <c r="D113" s="1069" t="s">
        <v>1618</v>
      </c>
      <c r="E113" s="1140">
        <v>0.2</v>
      </c>
      <c r="F113" s="1155">
        <v>30</v>
      </c>
    </row>
    <row r="114" spans="1:14" ht="36">
      <c r="A114" s="1155">
        <v>54</v>
      </c>
      <c r="B114" s="1155" t="s">
        <v>1619</v>
      </c>
      <c r="C114" s="1155" t="s">
        <v>1620</v>
      </c>
      <c r="D114" s="1069" t="s">
        <v>1621</v>
      </c>
      <c r="E114" s="1140">
        <v>0.2</v>
      </c>
      <c r="F114" s="1155">
        <v>30</v>
      </c>
    </row>
    <row r="115" spans="1:14" ht="24">
      <c r="A115" s="1155">
        <v>55</v>
      </c>
      <c r="B115" s="1155" t="s">
        <v>1622</v>
      </c>
      <c r="C115" s="1155" t="s">
        <v>1623</v>
      </c>
      <c r="D115" s="1069" t="s">
        <v>1624</v>
      </c>
      <c r="E115" s="1140">
        <v>0.2</v>
      </c>
      <c r="F115" s="1155">
        <v>30</v>
      </c>
    </row>
    <row r="116" spans="1:14" ht="24">
      <c r="A116" s="1155">
        <v>56</v>
      </c>
      <c r="B116" s="3472" t="s">
        <v>1625</v>
      </c>
      <c r="C116" s="1155" t="s">
        <v>1626</v>
      </c>
      <c r="D116" s="1069" t="s">
        <v>1627</v>
      </c>
      <c r="E116" s="1140">
        <v>0.2</v>
      </c>
      <c r="F116" s="1155">
        <v>30</v>
      </c>
    </row>
    <row r="117" spans="1:14" ht="36">
      <c r="A117" s="1155">
        <v>57</v>
      </c>
      <c r="B117" s="3472"/>
      <c r="C117" s="1155" t="s">
        <v>1628</v>
      </c>
      <c r="D117" s="1069" t="s">
        <v>1629</v>
      </c>
      <c r="E117" s="1140">
        <v>0.2</v>
      </c>
      <c r="F117" s="1155">
        <v>30</v>
      </c>
    </row>
    <row r="118" spans="1:14" ht="36">
      <c r="A118" s="1155">
        <v>58</v>
      </c>
      <c r="B118" s="1155" t="s">
        <v>1630</v>
      </c>
      <c r="C118" s="1155" t="s">
        <v>1631</v>
      </c>
      <c r="D118" s="1069" t="s">
        <v>1632</v>
      </c>
      <c r="E118" s="1140">
        <v>0.2</v>
      </c>
      <c r="F118" s="1155">
        <v>30</v>
      </c>
    </row>
    <row r="119" spans="1:14" ht="13.5">
      <c r="A119" s="1155"/>
      <c r="B119" s="1155"/>
      <c r="C119" s="1155"/>
      <c r="D119" s="1155"/>
      <c r="E119" s="1140"/>
      <c r="F119" s="1155"/>
    </row>
    <row r="121" spans="1:14" ht="19.5" customHeight="1">
      <c r="A121" s="3471" t="s">
        <v>1634</v>
      </c>
      <c r="B121" s="3471"/>
      <c r="C121" s="3471"/>
      <c r="D121" s="3471"/>
      <c r="E121" s="3471"/>
      <c r="F121" s="3471"/>
      <c r="G121" s="3471"/>
      <c r="H121" s="3471"/>
      <c r="I121" s="3471"/>
      <c r="J121" s="3471"/>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76" t="s">
        <v>1040</v>
      </c>
      <c r="B1" s="3476"/>
      <c r="C1" s="3476"/>
      <c r="D1" s="3476"/>
      <c r="E1" s="3476"/>
      <c r="F1" s="3476"/>
      <c r="H1" s="1071"/>
      <c r="I1" s="1072" t="s">
        <v>1041</v>
      </c>
      <c r="J1" s="1073" t="s">
        <v>1042</v>
      </c>
      <c r="K1" s="1073" t="s">
        <v>1043</v>
      </c>
      <c r="L1" s="1073" t="s">
        <v>1044</v>
      </c>
      <c r="M1" s="1073" t="s">
        <v>1045</v>
      </c>
      <c r="N1" s="1073" t="s">
        <v>1046</v>
      </c>
      <c r="O1" s="1073" t="s">
        <v>1047</v>
      </c>
      <c r="P1" s="1073" t="s">
        <v>1048</v>
      </c>
      <c r="Q1" s="1073" t="s">
        <v>1049</v>
      </c>
      <c r="R1" s="1073" t="s">
        <v>1050</v>
      </c>
      <c r="S1" s="1073" t="s">
        <v>1051</v>
      </c>
      <c r="T1" s="1074" t="s">
        <v>1052</v>
      </c>
    </row>
    <row r="2" spans="1:20" ht="14.25" thickBot="1">
      <c r="A2" s="3477" t="s">
        <v>1053</v>
      </c>
      <c r="B2" s="3477"/>
      <c r="C2" s="3477"/>
      <c r="D2" s="3477"/>
      <c r="E2" s="3477"/>
      <c r="F2" s="3477"/>
      <c r="I2" s="1075" t="s">
        <v>1054</v>
      </c>
      <c r="J2" s="1076" t="s">
        <v>1055</v>
      </c>
      <c r="K2" s="1076" t="s">
        <v>1056</v>
      </c>
      <c r="L2" s="1076" t="s">
        <v>1057</v>
      </c>
      <c r="M2" s="1076" t="s">
        <v>1058</v>
      </c>
      <c r="N2" s="1076" t="s">
        <v>1059</v>
      </c>
      <c r="O2" s="1076" t="s">
        <v>1060</v>
      </c>
      <c r="P2" s="1076" t="s">
        <v>1061</v>
      </c>
      <c r="Q2" s="1076" t="s">
        <v>1062</v>
      </c>
      <c r="R2" s="1076" t="s">
        <v>1063</v>
      </c>
      <c r="S2" s="1076" t="s">
        <v>1064</v>
      </c>
      <c r="T2" s="1076" t="s">
        <v>1065</v>
      </c>
    </row>
    <row r="3" spans="1:20" s="1071" customFormat="1" ht="19.5" customHeight="1">
      <c r="A3" s="3478" t="s">
        <v>1066</v>
      </c>
      <c r="B3" s="1077"/>
      <c r="C3" s="1078" t="s">
        <v>1067</v>
      </c>
      <c r="D3" s="1078" t="s">
        <v>1068</v>
      </c>
      <c r="E3" s="1078" t="s">
        <v>1069</v>
      </c>
      <c r="F3" s="1078" t="s">
        <v>1070</v>
      </c>
      <c r="G3" s="1079"/>
      <c r="I3" s="1075" t="s">
        <v>1071</v>
      </c>
      <c r="J3" s="1076" t="s">
        <v>1072</v>
      </c>
      <c r="K3" s="1076" t="s">
        <v>1073</v>
      </c>
      <c r="L3" s="1076" t="s">
        <v>1074</v>
      </c>
      <c r="M3" s="1076" t="s">
        <v>1075</v>
      </c>
      <c r="N3" s="1076" t="s">
        <v>1076</v>
      </c>
      <c r="O3" s="1076" t="s">
        <v>1077</v>
      </c>
      <c r="P3" s="1076" t="s">
        <v>1078</v>
      </c>
      <c r="Q3" s="1076" t="s">
        <v>1079</v>
      </c>
      <c r="R3" s="1076" t="s">
        <v>1080</v>
      </c>
      <c r="S3" s="1076" t="s">
        <v>1081</v>
      </c>
      <c r="T3" s="1076" t="s">
        <v>1082</v>
      </c>
    </row>
    <row r="4" spans="1:20" s="1071" customFormat="1" ht="19.5" customHeight="1" thickBot="1">
      <c r="A4" s="3479"/>
      <c r="B4" s="1080" t="s">
        <v>1083</v>
      </c>
      <c r="C4" s="1080" t="s">
        <v>1084</v>
      </c>
      <c r="D4" s="1080" t="s">
        <v>1084</v>
      </c>
      <c r="E4" s="1080" t="s">
        <v>1084</v>
      </c>
      <c r="F4" s="1081" t="s">
        <v>1084</v>
      </c>
      <c r="G4" s="1079"/>
      <c r="I4" s="1075" t="s">
        <v>1085</v>
      </c>
      <c r="J4" s="1076" t="s">
        <v>1086</v>
      </c>
      <c r="K4" s="1076" t="s">
        <v>1087</v>
      </c>
      <c r="L4" s="1076" t="s">
        <v>1088</v>
      </c>
      <c r="M4" s="1076" t="s">
        <v>1089</v>
      </c>
      <c r="N4" s="1076" t="s">
        <v>1090</v>
      </c>
      <c r="O4" s="1076" t="s">
        <v>1091</v>
      </c>
      <c r="P4" s="1076" t="s">
        <v>1092</v>
      </c>
      <c r="Q4" s="1076" t="s">
        <v>1093</v>
      </c>
      <c r="R4" s="1076" t="s">
        <v>1094</v>
      </c>
      <c r="S4" s="1076" t="s">
        <v>1095</v>
      </c>
      <c r="T4" s="1076" t="s">
        <v>1096</v>
      </c>
    </row>
    <row r="5" spans="1:20" ht="14.25" customHeight="1" thickBot="1">
      <c r="A5" s="1082" t="s">
        <v>1097</v>
      </c>
      <c r="B5" s="1083" t="s">
        <v>1054</v>
      </c>
      <c r="C5" s="1083">
        <v>29530</v>
      </c>
      <c r="D5" s="1083">
        <v>28130</v>
      </c>
      <c r="E5" s="1083">
        <v>27930</v>
      </c>
      <c r="F5" s="1084">
        <v>11300</v>
      </c>
      <c r="G5" s="1085" t="s">
        <v>1041</v>
      </c>
      <c r="H5" s="1086">
        <f>SUMPRODUCT((B5:B9=基准地价!I2)*(C3:F3=基准地价!E2)*(C5:F9))</f>
        <v>0</v>
      </c>
      <c r="I5" s="1075" t="s">
        <v>1098</v>
      </c>
      <c r="J5" s="1076" t="s">
        <v>1099</v>
      </c>
      <c r="K5" s="1076" t="s">
        <v>1100</v>
      </c>
      <c r="L5" s="1076" t="s">
        <v>1101</v>
      </c>
      <c r="M5" s="1076" t="s">
        <v>1102</v>
      </c>
      <c r="N5" s="1076" t="s">
        <v>1103</v>
      </c>
      <c r="O5" s="1076" t="s">
        <v>1104</v>
      </c>
      <c r="P5" s="1076" t="s">
        <v>1105</v>
      </c>
      <c r="Q5" s="1076" t="s">
        <v>1106</v>
      </c>
      <c r="R5" s="1076" t="s">
        <v>1107</v>
      </c>
      <c r="S5" s="1076" t="s">
        <v>1108</v>
      </c>
      <c r="T5" s="1076" t="s">
        <v>1109</v>
      </c>
    </row>
    <row r="6" spans="1:20" ht="14.25" customHeight="1" thickBot="1">
      <c r="A6" s="1082" t="s">
        <v>1097</v>
      </c>
      <c r="B6" s="1076" t="s">
        <v>1110</v>
      </c>
      <c r="C6" s="1076">
        <v>30290</v>
      </c>
      <c r="D6" s="1076">
        <v>29210</v>
      </c>
      <c r="E6" s="1076">
        <v>28860</v>
      </c>
      <c r="F6" s="1087">
        <v>12600</v>
      </c>
      <c r="G6" s="1088" t="s">
        <v>1111</v>
      </c>
      <c r="H6" s="1089">
        <f>SUMPRODUCT((B10:B28=基准地价!I2)*(C3:F3=基准地价!E2)*(C10:F28))</f>
        <v>0</v>
      </c>
      <c r="I6" s="1075" t="s">
        <v>1112</v>
      </c>
      <c r="J6" s="1076" t="s">
        <v>1113</v>
      </c>
      <c r="K6" s="1076" t="s">
        <v>1114</v>
      </c>
      <c r="L6" s="1076" t="s">
        <v>1115</v>
      </c>
      <c r="M6" s="1076" t="s">
        <v>1116</v>
      </c>
      <c r="N6" s="1076" t="s">
        <v>1117</v>
      </c>
      <c r="O6" s="1076" t="s">
        <v>1118</v>
      </c>
      <c r="P6" s="1076" t="s">
        <v>1119</v>
      </c>
      <c r="Q6" s="1076" t="s">
        <v>1120</v>
      </c>
      <c r="R6" s="1076" t="s">
        <v>1121</v>
      </c>
      <c r="S6" s="1076" t="s">
        <v>1122</v>
      </c>
      <c r="T6" s="1076" t="s">
        <v>1123</v>
      </c>
    </row>
    <row r="7" spans="1:20" ht="14.25" customHeight="1" thickBot="1">
      <c r="A7" s="1082" t="s">
        <v>1097</v>
      </c>
      <c r="B7" s="1090" t="s">
        <v>1085</v>
      </c>
      <c r="C7" s="1076">
        <v>29350</v>
      </c>
      <c r="D7" s="1076">
        <v>28410</v>
      </c>
      <c r="E7" s="1076">
        <v>27990</v>
      </c>
      <c r="F7" s="1087">
        <v>12300</v>
      </c>
      <c r="G7" s="1088" t="s">
        <v>909</v>
      </c>
      <c r="H7" s="1089">
        <f>SUMPRODUCT((B29:B48=基准地价!I2)*(C3:F3=基准地价!E2)*(C29:F48))</f>
        <v>0</v>
      </c>
      <c r="J7" s="1076" t="s">
        <v>1124</v>
      </c>
      <c r="K7" s="1076" t="s">
        <v>1125</v>
      </c>
      <c r="L7" s="1076" t="s">
        <v>1126</v>
      </c>
      <c r="M7" s="1076" t="s">
        <v>1127</v>
      </c>
      <c r="N7" s="1076" t="s">
        <v>1128</v>
      </c>
      <c r="O7" s="1076" t="s">
        <v>1129</v>
      </c>
      <c r="P7" s="1076" t="s">
        <v>1130</v>
      </c>
      <c r="Q7" s="1076" t="s">
        <v>1131</v>
      </c>
      <c r="R7" s="1076" t="s">
        <v>1132</v>
      </c>
      <c r="S7" s="1076" t="s">
        <v>1133</v>
      </c>
      <c r="T7" s="1090" t="s">
        <v>1134</v>
      </c>
    </row>
    <row r="8" spans="1:20" ht="14.25" customHeight="1" thickBot="1">
      <c r="A8" s="1082" t="s">
        <v>1097</v>
      </c>
      <c r="B8" s="1076" t="s">
        <v>1098</v>
      </c>
      <c r="C8" s="1076">
        <v>30890</v>
      </c>
      <c r="D8" s="1076">
        <v>29780</v>
      </c>
      <c r="E8" s="1076">
        <v>29270</v>
      </c>
      <c r="F8" s="1087">
        <v>11600</v>
      </c>
      <c r="G8" s="1088" t="s">
        <v>910</v>
      </c>
      <c r="H8" s="1089">
        <f>SUMPRODUCT((B49:B75=基准地价!I2)*(C3:F3=基准地价!E2)*(C49:F75))</f>
        <v>0</v>
      </c>
      <c r="J8" s="1076" t="s">
        <v>1135</v>
      </c>
      <c r="K8" s="1076" t="s">
        <v>1136</v>
      </c>
      <c r="L8" s="1076" t="s">
        <v>1137</v>
      </c>
      <c r="M8" s="1076" t="s">
        <v>1138</v>
      </c>
      <c r="N8" s="1076" t="s">
        <v>1139</v>
      </c>
      <c r="O8" s="1076" t="s">
        <v>1140</v>
      </c>
      <c r="P8" s="1076" t="s">
        <v>1141</v>
      </c>
      <c r="Q8" s="1076" t="s">
        <v>1142</v>
      </c>
      <c r="R8" s="1076" t="s">
        <v>1143</v>
      </c>
      <c r="S8" s="1076" t="s">
        <v>1144</v>
      </c>
      <c r="T8" s="1076" t="s">
        <v>1145</v>
      </c>
    </row>
    <row r="9" spans="1:20" ht="14.25" customHeight="1" thickBot="1">
      <c r="A9" s="1082" t="s">
        <v>1097</v>
      </c>
      <c r="B9" s="1091" t="s">
        <v>1112</v>
      </c>
      <c r="C9" s="1092">
        <v>28140</v>
      </c>
      <c r="D9" s="1092"/>
      <c r="E9" s="1092"/>
      <c r="F9" s="1093"/>
      <c r="G9" s="1088" t="s">
        <v>911</v>
      </c>
      <c r="H9" s="1089">
        <f>SUMPRODUCT((B76:B109=基准地价!I2)*(C3:F3=基准地价!E2)*(C76:F109))</f>
        <v>0</v>
      </c>
      <c r="J9" s="1076" t="s">
        <v>1146</v>
      </c>
      <c r="K9" s="1076" t="s">
        <v>1147</v>
      </c>
      <c r="L9" s="1076" t="s">
        <v>1148</v>
      </c>
      <c r="M9" s="1076" t="s">
        <v>1149</v>
      </c>
      <c r="N9" s="1076" t="s">
        <v>1150</v>
      </c>
      <c r="O9" s="1076" t="s">
        <v>1151</v>
      </c>
      <c r="P9" s="1076" t="s">
        <v>1152</v>
      </c>
      <c r="Q9" s="1076" t="s">
        <v>1153</v>
      </c>
      <c r="R9" s="1076" t="s">
        <v>1154</v>
      </c>
      <c r="S9" s="1076" t="s">
        <v>1155</v>
      </c>
    </row>
    <row r="10" spans="1:20" ht="14.25" customHeight="1" thickBot="1">
      <c r="A10" s="1082" t="s">
        <v>1156</v>
      </c>
      <c r="B10" s="1083" t="s">
        <v>1157</v>
      </c>
      <c r="C10" s="1083">
        <v>27450</v>
      </c>
      <c r="D10" s="1083">
        <v>26180</v>
      </c>
      <c r="E10" s="1083">
        <v>25980</v>
      </c>
      <c r="F10" s="1084">
        <v>8910</v>
      </c>
      <c r="G10" s="1088" t="s">
        <v>912</v>
      </c>
      <c r="H10" s="1089">
        <f>SUMPRODUCT((B110:B157=基准地价!I2)*(C3:F3=基准地价!E2)*(C110:F157))</f>
        <v>0</v>
      </c>
      <c r="J10" s="1076" t="s">
        <v>1158</v>
      </c>
      <c r="K10" s="1076" t="s">
        <v>1159</v>
      </c>
      <c r="L10" s="1076" t="s">
        <v>1160</v>
      </c>
      <c r="M10" s="1076" t="s">
        <v>1161</v>
      </c>
      <c r="N10" s="1076" t="s">
        <v>1162</v>
      </c>
      <c r="O10" s="1076" t="s">
        <v>1163</v>
      </c>
      <c r="P10" s="1076" t="s">
        <v>1164</v>
      </c>
      <c r="Q10" s="1076" t="s">
        <v>1165</v>
      </c>
      <c r="R10" s="1076" t="s">
        <v>1166</v>
      </c>
      <c r="S10" s="1076" t="s">
        <v>1167</v>
      </c>
    </row>
    <row r="11" spans="1:20" ht="14.25" customHeight="1" thickBot="1">
      <c r="A11" s="1082" t="s">
        <v>1156</v>
      </c>
      <c r="B11" s="1090" t="s">
        <v>1072</v>
      </c>
      <c r="C11" s="1076">
        <v>22950</v>
      </c>
      <c r="D11" s="1076">
        <v>22630</v>
      </c>
      <c r="E11" s="1076">
        <v>22030</v>
      </c>
      <c r="F11" s="1094">
        <v>8330</v>
      </c>
      <c r="G11" s="1088" t="s">
        <v>913</v>
      </c>
      <c r="H11" s="1089">
        <f>SUMPRODUCT((B158:B205=基准地价!I2)*(C3:F3=基准地价!E2)*(C158:F205))</f>
        <v>0</v>
      </c>
      <c r="J11" s="1076" t="s">
        <v>1168</v>
      </c>
      <c r="K11" s="1076" t="s">
        <v>1169</v>
      </c>
      <c r="L11" s="1076" t="s">
        <v>1170</v>
      </c>
      <c r="M11" s="1076" t="s">
        <v>1171</v>
      </c>
      <c r="N11" s="1076" t="s">
        <v>1172</v>
      </c>
      <c r="O11" s="1076" t="s">
        <v>1173</v>
      </c>
      <c r="P11" s="1076" t="s">
        <v>1174</v>
      </c>
      <c r="Q11" s="1076" t="s">
        <v>1175</v>
      </c>
      <c r="R11" s="1076" t="s">
        <v>1176</v>
      </c>
      <c r="S11" s="1076" t="s">
        <v>1177</v>
      </c>
    </row>
    <row r="12" spans="1:20" ht="14.25" customHeight="1" thickBot="1">
      <c r="A12" s="1082" t="s">
        <v>1156</v>
      </c>
      <c r="B12" s="1090" t="s">
        <v>1086</v>
      </c>
      <c r="C12" s="1076">
        <v>24940</v>
      </c>
      <c r="D12" s="1076">
        <v>23180</v>
      </c>
      <c r="E12" s="1076">
        <v>22910</v>
      </c>
      <c r="F12" s="1094">
        <v>7180</v>
      </c>
      <c r="G12" s="1088" t="s">
        <v>914</v>
      </c>
      <c r="H12" s="1089">
        <f>SUMPRODUCT((B206:B244=基准地价!I2)*(C3:F3=基准地价!E2)*(C206:F244))</f>
        <v>0</v>
      </c>
      <c r="J12" s="1076" t="s">
        <v>1178</v>
      </c>
      <c r="K12" s="1076" t="s">
        <v>1179</v>
      </c>
      <c r="L12" s="1076" t="s">
        <v>1180</v>
      </c>
      <c r="M12" s="1076" t="s">
        <v>1181</v>
      </c>
      <c r="N12" s="1076" t="s">
        <v>1182</v>
      </c>
      <c r="O12" s="1076" t="s">
        <v>1183</v>
      </c>
      <c r="P12" s="1076" t="s">
        <v>1184</v>
      </c>
      <c r="Q12" s="1076" t="s">
        <v>1185</v>
      </c>
      <c r="R12" s="1076" t="s">
        <v>1186</v>
      </c>
      <c r="S12" s="1076" t="s">
        <v>1187</v>
      </c>
    </row>
    <row r="13" spans="1:20" ht="14.25" customHeight="1" thickBot="1">
      <c r="A13" s="1082" t="s">
        <v>1156</v>
      </c>
      <c r="B13" s="1090" t="s">
        <v>1099</v>
      </c>
      <c r="C13" s="1076">
        <v>24140</v>
      </c>
      <c r="D13" s="1076">
        <v>22270</v>
      </c>
      <c r="E13" s="1076">
        <v>21950</v>
      </c>
      <c r="F13" s="1094">
        <v>7600</v>
      </c>
      <c r="G13" s="1088" t="s">
        <v>915</v>
      </c>
      <c r="H13" s="1089">
        <f>SUMPRODUCT((B245:B289=基准地价!I2)*(C3:F3=基准地价!E2)*(C245:F289))</f>
        <v>0</v>
      </c>
      <c r="J13" s="1076" t="s">
        <v>1188</v>
      </c>
      <c r="K13" s="1076" t="s">
        <v>1189</v>
      </c>
      <c r="L13" s="1076" t="s">
        <v>1190</v>
      </c>
      <c r="M13" s="1076" t="s">
        <v>1191</v>
      </c>
      <c r="N13" s="1076" t="s">
        <v>1192</v>
      </c>
      <c r="O13" s="1076" t="s">
        <v>1193</v>
      </c>
      <c r="P13" s="1076" t="s">
        <v>1194</v>
      </c>
      <c r="Q13" s="1076" t="s">
        <v>1195</v>
      </c>
      <c r="R13" s="1076" t="s">
        <v>1196</v>
      </c>
      <c r="S13" s="1076" t="s">
        <v>1197</v>
      </c>
    </row>
    <row r="14" spans="1:20" ht="14.25" customHeight="1" thickBot="1">
      <c r="A14" s="1082" t="s">
        <v>1156</v>
      </c>
      <c r="B14" s="1090" t="s">
        <v>1113</v>
      </c>
      <c r="C14" s="1076">
        <v>25600</v>
      </c>
      <c r="D14" s="1076">
        <v>22260</v>
      </c>
      <c r="E14" s="1076">
        <v>22110</v>
      </c>
      <c r="F14" s="1094">
        <v>7630</v>
      </c>
      <c r="G14" s="1088" t="s">
        <v>916</v>
      </c>
      <c r="H14" s="1089">
        <f>SUMPRODUCT((B290:B316=基准地价!I2)*(C3:F3=基准地价!E2)*(C290:F316))</f>
        <v>0</v>
      </c>
      <c r="J14" s="1076" t="s">
        <v>1198</v>
      </c>
      <c r="K14" s="1076" t="s">
        <v>1199</v>
      </c>
      <c r="L14" s="1076" t="s">
        <v>1200</v>
      </c>
      <c r="M14" s="1076" t="s">
        <v>1201</v>
      </c>
      <c r="N14" s="1076" t="s">
        <v>1202</v>
      </c>
      <c r="O14" s="1076" t="s">
        <v>1203</v>
      </c>
      <c r="P14" s="1076" t="s">
        <v>1204</v>
      </c>
      <c r="Q14" s="1076" t="s">
        <v>1205</v>
      </c>
      <c r="R14" s="1076" t="s">
        <v>1206</v>
      </c>
      <c r="S14" s="1076" t="s">
        <v>1207</v>
      </c>
    </row>
    <row r="15" spans="1:20" ht="14.25" customHeight="1" thickBot="1">
      <c r="A15" s="1082" t="s">
        <v>1156</v>
      </c>
      <c r="B15" s="1090" t="s">
        <v>1124</v>
      </c>
      <c r="C15" s="1076">
        <v>24760</v>
      </c>
      <c r="D15" s="1076">
        <v>24440</v>
      </c>
      <c r="E15" s="1076">
        <v>24130</v>
      </c>
      <c r="F15" s="1094">
        <v>9480</v>
      </c>
      <c r="G15" s="1088" t="s">
        <v>917</v>
      </c>
      <c r="H15" s="1089">
        <f>SUMPRODUCT((B317:B337=基准地价!I2)*(C3:F3=基准地价!E2)*(C317:F337))</f>
        <v>0</v>
      </c>
      <c r="J15" s="1076" t="s">
        <v>1208</v>
      </c>
      <c r="K15" s="1076" t="s">
        <v>1209</v>
      </c>
      <c r="L15" s="1076" t="s">
        <v>1210</v>
      </c>
      <c r="M15" s="1076" t="s">
        <v>1211</v>
      </c>
      <c r="N15" s="1076" t="s">
        <v>1212</v>
      </c>
      <c r="O15" s="1076" t="s">
        <v>1213</v>
      </c>
      <c r="P15" s="1076" t="s">
        <v>1214</v>
      </c>
      <c r="Q15" s="1076" t="s">
        <v>1215</v>
      </c>
      <c r="R15" s="1076" t="s">
        <v>1216</v>
      </c>
      <c r="S15" s="1076" t="s">
        <v>1217</v>
      </c>
    </row>
    <row r="16" spans="1:20" ht="14.25" customHeight="1" thickBot="1">
      <c r="A16" s="1082" t="s">
        <v>1156</v>
      </c>
      <c r="B16" s="1090" t="s">
        <v>1135</v>
      </c>
      <c r="C16" s="1076">
        <v>22220</v>
      </c>
      <c r="D16" s="1076">
        <v>22310</v>
      </c>
      <c r="E16" s="1076">
        <v>22000</v>
      </c>
      <c r="F16" s="1094">
        <v>8900</v>
      </c>
      <c r="G16" s="1095" t="s">
        <v>918</v>
      </c>
      <c r="H16" s="1096">
        <f>SUMPRODUCT((B338:B344=基准地价!I2)*(C3:F3=基准地价!E2)*(C338:F344))</f>
        <v>0</v>
      </c>
      <c r="J16" s="1076" t="s">
        <v>1218</v>
      </c>
      <c r="K16" s="1076" t="s">
        <v>1219</v>
      </c>
      <c r="L16" s="1076" t="s">
        <v>1220</v>
      </c>
      <c r="M16" s="1076" t="s">
        <v>1221</v>
      </c>
      <c r="N16" s="1076" t="s">
        <v>1222</v>
      </c>
      <c r="O16" s="1076" t="s">
        <v>1223</v>
      </c>
      <c r="P16" s="1076" t="s">
        <v>1224</v>
      </c>
      <c r="Q16" s="1076" t="s">
        <v>1225</v>
      </c>
      <c r="R16" s="1076" t="s">
        <v>1226</v>
      </c>
      <c r="S16" s="1076" t="s">
        <v>1227</v>
      </c>
    </row>
    <row r="17" spans="1:19" ht="14.25" customHeight="1" thickBot="1">
      <c r="A17" s="1082" t="s">
        <v>1156</v>
      </c>
      <c r="B17" s="1090" t="s">
        <v>1146</v>
      </c>
      <c r="C17" s="1076">
        <v>24700</v>
      </c>
      <c r="D17" s="1076">
        <v>25150</v>
      </c>
      <c r="E17" s="1076">
        <v>24700</v>
      </c>
      <c r="F17" s="1097"/>
      <c r="H17" s="1098"/>
      <c r="J17" s="1076" t="s">
        <v>1228</v>
      </c>
      <c r="K17" s="1076" t="s">
        <v>1229</v>
      </c>
      <c r="L17" s="1076" t="s">
        <v>1230</v>
      </c>
      <c r="M17" s="1076" t="s">
        <v>1231</v>
      </c>
      <c r="N17" s="1076" t="s">
        <v>1232</v>
      </c>
      <c r="O17" s="1076" t="s">
        <v>1233</v>
      </c>
      <c r="P17" s="1076" t="s">
        <v>1234</v>
      </c>
      <c r="Q17" s="1076" t="s">
        <v>1235</v>
      </c>
      <c r="R17" s="1076" t="s">
        <v>1236</v>
      </c>
      <c r="S17" s="1076" t="s">
        <v>1237</v>
      </c>
    </row>
    <row r="18" spans="1:19" ht="14.25" customHeight="1" thickBot="1">
      <c r="A18" s="1082" t="s">
        <v>1156</v>
      </c>
      <c r="B18" s="1090" t="s">
        <v>1158</v>
      </c>
      <c r="C18" s="1076">
        <v>22350</v>
      </c>
      <c r="D18" s="1076">
        <v>24340</v>
      </c>
      <c r="E18" s="1076">
        <v>24100</v>
      </c>
      <c r="F18" s="1097"/>
      <c r="H18" s="1098"/>
      <c r="J18" s="1076" t="s">
        <v>1238</v>
      </c>
      <c r="K18" s="1076" t="s">
        <v>1239</v>
      </c>
      <c r="L18" s="1076" t="s">
        <v>1240</v>
      </c>
      <c r="M18" s="1076" t="s">
        <v>1241</v>
      </c>
      <c r="N18" s="1076" t="s">
        <v>1242</v>
      </c>
      <c r="O18" s="1076" t="s">
        <v>1243</v>
      </c>
      <c r="P18" s="1076" t="s">
        <v>1244</v>
      </c>
      <c r="Q18" s="1076" t="s">
        <v>1245</v>
      </c>
      <c r="R18" s="1076" t="s">
        <v>1246</v>
      </c>
      <c r="S18" s="1076" t="s">
        <v>1247</v>
      </c>
    </row>
    <row r="19" spans="1:19" ht="14.25" customHeight="1" thickBot="1">
      <c r="A19" s="1082" t="s">
        <v>1156</v>
      </c>
      <c r="B19" s="1090" t="s">
        <v>1168</v>
      </c>
      <c r="C19" s="1076">
        <v>23430</v>
      </c>
      <c r="D19" s="1076">
        <v>21580</v>
      </c>
      <c r="E19" s="1076">
        <v>21350</v>
      </c>
      <c r="F19" s="1097"/>
      <c r="H19" s="1098"/>
      <c r="J19" s="1076" t="s">
        <v>1248</v>
      </c>
      <c r="K19" s="1076" t="s">
        <v>1249</v>
      </c>
      <c r="L19" s="1076" t="s">
        <v>1250</v>
      </c>
      <c r="M19" s="1076" t="s">
        <v>1251</v>
      </c>
      <c r="N19" s="1076" t="s">
        <v>1252</v>
      </c>
      <c r="O19" s="1076" t="s">
        <v>1253</v>
      </c>
      <c r="P19" s="1076" t="s">
        <v>1254</v>
      </c>
      <c r="Q19" s="1076" t="s">
        <v>1255</v>
      </c>
      <c r="R19" s="1076" t="s">
        <v>1256</v>
      </c>
      <c r="S19" s="1076" t="s">
        <v>1257</v>
      </c>
    </row>
    <row r="20" spans="1:19" ht="14.25" customHeight="1" thickBot="1">
      <c r="A20" s="1082" t="s">
        <v>1156</v>
      </c>
      <c r="B20" s="1090" t="s">
        <v>1178</v>
      </c>
      <c r="C20" s="1076">
        <v>27660</v>
      </c>
      <c r="D20" s="1076">
        <v>24240</v>
      </c>
      <c r="E20" s="1076">
        <v>24020</v>
      </c>
      <c r="F20" s="1097"/>
      <c r="J20" s="1076" t="s">
        <v>1258</v>
      </c>
      <c r="K20" s="1076" t="s">
        <v>1259</v>
      </c>
      <c r="L20" s="1076" t="s">
        <v>1260</v>
      </c>
      <c r="M20" s="1076" t="s">
        <v>1261</v>
      </c>
      <c r="N20" s="1076" t="s">
        <v>1262</v>
      </c>
      <c r="O20" s="1076" t="s">
        <v>1263</v>
      </c>
      <c r="P20" s="1076" t="s">
        <v>1264</v>
      </c>
      <c r="Q20" s="1076" t="s">
        <v>1265</v>
      </c>
      <c r="R20" s="1076" t="s">
        <v>1266</v>
      </c>
      <c r="S20" s="1076" t="s">
        <v>1267</v>
      </c>
    </row>
    <row r="21" spans="1:19" ht="14.25" customHeight="1" thickBot="1">
      <c r="A21" s="1082" t="s">
        <v>1156</v>
      </c>
      <c r="B21" s="1090" t="s">
        <v>1188</v>
      </c>
      <c r="C21" s="1076">
        <v>24720</v>
      </c>
      <c r="D21" s="1076">
        <v>21670</v>
      </c>
      <c r="E21" s="1076">
        <v>21510</v>
      </c>
      <c r="F21" s="1097"/>
      <c r="K21" s="1076" t="s">
        <v>1268</v>
      </c>
      <c r="L21" s="1076" t="s">
        <v>1269</v>
      </c>
      <c r="M21" s="1076" t="s">
        <v>1270</v>
      </c>
      <c r="N21" s="1076" t="s">
        <v>1271</v>
      </c>
      <c r="O21" s="1076" t="s">
        <v>1272</v>
      </c>
      <c r="P21" s="1076" t="s">
        <v>1273</v>
      </c>
      <c r="Q21" s="1076" t="s">
        <v>1274</v>
      </c>
      <c r="R21" s="1076" t="s">
        <v>1275</v>
      </c>
      <c r="S21" s="1076" t="s">
        <v>1276</v>
      </c>
    </row>
    <row r="22" spans="1:19" ht="14.25" customHeight="1" thickBot="1">
      <c r="A22" s="1082" t="s">
        <v>1156</v>
      </c>
      <c r="B22" s="1090" t="s">
        <v>1277</v>
      </c>
      <c r="C22" s="1076">
        <v>26530</v>
      </c>
      <c r="D22" s="1076">
        <v>22980</v>
      </c>
      <c r="E22" s="1076">
        <v>22650</v>
      </c>
      <c r="F22" s="1097"/>
      <c r="L22" s="1076" t="s">
        <v>1278</v>
      </c>
      <c r="M22" s="1076" t="s">
        <v>1279</v>
      </c>
      <c r="N22" s="1076" t="s">
        <v>1280</v>
      </c>
      <c r="O22" s="1076" t="s">
        <v>1281</v>
      </c>
      <c r="P22" s="1076" t="s">
        <v>1282</v>
      </c>
      <c r="Q22" s="1076" t="s">
        <v>1283</v>
      </c>
      <c r="R22" s="1076" t="s">
        <v>1284</v>
      </c>
      <c r="S22" s="1090" t="s">
        <v>1285</v>
      </c>
    </row>
    <row r="23" spans="1:19" ht="14.25" customHeight="1" thickBot="1">
      <c r="A23" s="1082" t="s">
        <v>1156</v>
      </c>
      <c r="B23" s="1090" t="s">
        <v>1208</v>
      </c>
      <c r="C23" s="1076">
        <v>24700</v>
      </c>
      <c r="D23" s="1076">
        <v>27290</v>
      </c>
      <c r="E23" s="1076">
        <v>26710</v>
      </c>
      <c r="F23" s="1097"/>
      <c r="L23" s="1076" t="s">
        <v>1286</v>
      </c>
      <c r="M23" s="1076" t="s">
        <v>1287</v>
      </c>
      <c r="N23" s="1076" t="s">
        <v>1288</v>
      </c>
      <c r="O23" s="1076" t="s">
        <v>1289</v>
      </c>
      <c r="P23" s="1076" t="s">
        <v>1290</v>
      </c>
      <c r="Q23" s="1076" t="s">
        <v>1291</v>
      </c>
      <c r="R23" s="1076" t="s">
        <v>1292</v>
      </c>
    </row>
    <row r="24" spans="1:19" ht="14.25" customHeight="1" thickBot="1">
      <c r="A24" s="1082" t="s">
        <v>1156</v>
      </c>
      <c r="B24" s="1090" t="s">
        <v>1218</v>
      </c>
      <c r="C24" s="1076">
        <v>23070</v>
      </c>
      <c r="D24" s="1076">
        <v>24130</v>
      </c>
      <c r="E24" s="1076">
        <v>23860</v>
      </c>
      <c r="F24" s="1097"/>
      <c r="L24" s="1076" t="s">
        <v>1293</v>
      </c>
      <c r="M24" s="1076" t="s">
        <v>1294</v>
      </c>
      <c r="N24" s="1076" t="s">
        <v>1295</v>
      </c>
      <c r="O24" s="1076" t="s">
        <v>1296</v>
      </c>
      <c r="P24" s="1076" t="s">
        <v>1297</v>
      </c>
      <c r="Q24" s="1076" t="s">
        <v>1298</v>
      </c>
      <c r="R24" s="1076" t="s">
        <v>1299</v>
      </c>
    </row>
    <row r="25" spans="1:19" ht="14.25" customHeight="1" thickBot="1">
      <c r="A25" s="1082" t="s">
        <v>1156</v>
      </c>
      <c r="B25" s="1090" t="s">
        <v>1228</v>
      </c>
      <c r="C25" s="1076">
        <v>27550</v>
      </c>
      <c r="D25" s="1076">
        <v>25850</v>
      </c>
      <c r="E25" s="1076">
        <v>25340</v>
      </c>
      <c r="F25" s="1097"/>
      <c r="L25" s="1076" t="s">
        <v>1300</v>
      </c>
      <c r="M25" s="1076" t="s">
        <v>1301</v>
      </c>
      <c r="N25" s="1076" t="s">
        <v>1302</v>
      </c>
      <c r="O25" s="1076" t="s">
        <v>1303</v>
      </c>
      <c r="P25" s="1076" t="s">
        <v>1304</v>
      </c>
      <c r="Q25" s="1076" t="s">
        <v>1305</v>
      </c>
      <c r="R25" s="1076" t="s">
        <v>1306</v>
      </c>
    </row>
    <row r="26" spans="1:19" ht="14.25" customHeight="1" thickBot="1">
      <c r="A26" s="1082" t="s">
        <v>1156</v>
      </c>
      <c r="B26" s="1090" t="s">
        <v>1238</v>
      </c>
      <c r="C26" s="1076"/>
      <c r="D26" s="1076">
        <v>23900</v>
      </c>
      <c r="E26" s="1076">
        <v>23590</v>
      </c>
      <c r="F26" s="1097"/>
      <c r="L26" s="1076" t="s">
        <v>1307</v>
      </c>
      <c r="M26" s="1076" t="s">
        <v>1308</v>
      </c>
      <c r="N26" s="1076" t="s">
        <v>1309</v>
      </c>
      <c r="O26" s="1076" t="s">
        <v>1310</v>
      </c>
      <c r="P26" s="1076" t="s">
        <v>1311</v>
      </c>
      <c r="Q26" s="1076" t="s">
        <v>1312</v>
      </c>
      <c r="R26" s="1076" t="s">
        <v>1313</v>
      </c>
    </row>
    <row r="27" spans="1:19" ht="14.25" customHeight="1" thickBot="1">
      <c r="A27" s="1082" t="s">
        <v>1156</v>
      </c>
      <c r="B27" s="1090" t="s">
        <v>1248</v>
      </c>
      <c r="C27" s="1076"/>
      <c r="D27" s="1076">
        <v>22850</v>
      </c>
      <c r="E27" s="1076">
        <v>21920</v>
      </c>
      <c r="F27" s="1097"/>
      <c r="L27" s="1076" t="s">
        <v>1314</v>
      </c>
      <c r="M27" s="1076" t="s">
        <v>1315</v>
      </c>
      <c r="N27" s="1076" t="s">
        <v>1316</v>
      </c>
      <c r="O27" s="1076" t="s">
        <v>1317</v>
      </c>
      <c r="P27" s="1076" t="s">
        <v>1318</v>
      </c>
      <c r="Q27" s="1076" t="s">
        <v>1319</v>
      </c>
      <c r="R27" s="1076" t="s">
        <v>1320</v>
      </c>
    </row>
    <row r="28" spans="1:19" ht="14.25" customHeight="1" thickBot="1">
      <c r="A28" s="1099" t="s">
        <v>1156</v>
      </c>
      <c r="B28" s="1091" t="s">
        <v>1258</v>
      </c>
      <c r="C28" s="1092"/>
      <c r="D28" s="1092">
        <v>26610</v>
      </c>
      <c r="E28" s="1092">
        <v>26370</v>
      </c>
      <c r="F28" s="1093"/>
      <c r="L28" s="1076" t="s">
        <v>1321</v>
      </c>
      <c r="M28" s="1076" t="s">
        <v>1322</v>
      </c>
      <c r="N28" s="1076" t="s">
        <v>1323</v>
      </c>
      <c r="O28" s="1076" t="s">
        <v>1324</v>
      </c>
      <c r="P28" s="1076" t="s">
        <v>1325</v>
      </c>
      <c r="Q28" s="1076" t="s">
        <v>1326</v>
      </c>
    </row>
    <row r="29" spans="1:19" ht="14.25" customHeight="1" thickBot="1">
      <c r="A29" s="1082" t="s">
        <v>1327</v>
      </c>
      <c r="B29" s="1083" t="s">
        <v>1328</v>
      </c>
      <c r="C29" s="1083">
        <v>22090</v>
      </c>
      <c r="D29" s="1083">
        <v>21860</v>
      </c>
      <c r="E29" s="1083">
        <v>19380</v>
      </c>
      <c r="F29" s="1084">
        <v>6610</v>
      </c>
      <c r="M29" s="1076" t="s">
        <v>1329</v>
      </c>
      <c r="N29" s="1076" t="s">
        <v>1330</v>
      </c>
      <c r="O29" s="1076" t="s">
        <v>1331</v>
      </c>
      <c r="P29" s="1076" t="s">
        <v>1332</v>
      </c>
      <c r="Q29" s="1076" t="s">
        <v>1333</v>
      </c>
    </row>
    <row r="30" spans="1:19" ht="14.25" customHeight="1" thickBot="1">
      <c r="A30" s="1082" t="s">
        <v>1327</v>
      </c>
      <c r="B30" s="1090" t="s">
        <v>1073</v>
      </c>
      <c r="C30" s="1076">
        <v>21380</v>
      </c>
      <c r="D30" s="1076">
        <v>19930</v>
      </c>
      <c r="E30" s="1076">
        <v>19860</v>
      </c>
      <c r="F30" s="1094">
        <v>6010</v>
      </c>
      <c r="H30" s="1098"/>
      <c r="M30" s="1076" t="s">
        <v>1334</v>
      </c>
      <c r="N30" s="1076" t="s">
        <v>1335</v>
      </c>
      <c r="O30" s="1076" t="s">
        <v>1336</v>
      </c>
      <c r="P30" s="1076" t="s">
        <v>2424</v>
      </c>
      <c r="Q30" s="1076" t="s">
        <v>1337</v>
      </c>
    </row>
    <row r="31" spans="1:19" ht="14.25" customHeight="1" thickBot="1">
      <c r="A31" s="1082" t="s">
        <v>1327</v>
      </c>
      <c r="B31" s="1090" t="s">
        <v>1087</v>
      </c>
      <c r="C31" s="1076">
        <v>21670</v>
      </c>
      <c r="D31" s="1076">
        <v>20660</v>
      </c>
      <c r="E31" s="1076">
        <v>20290</v>
      </c>
      <c r="F31" s="1094">
        <v>5840</v>
      </c>
      <c r="H31" s="1098"/>
      <c r="M31" s="1076" t="s">
        <v>1338</v>
      </c>
      <c r="N31" s="1076" t="s">
        <v>1339</v>
      </c>
      <c r="O31" s="1076" t="s">
        <v>1340</v>
      </c>
      <c r="P31" s="1076" t="s">
        <v>1341</v>
      </c>
      <c r="Q31" s="1076" t="s">
        <v>1342</v>
      </c>
    </row>
    <row r="32" spans="1:19" ht="14.25" customHeight="1" thickBot="1">
      <c r="A32" s="1082" t="s">
        <v>1327</v>
      </c>
      <c r="B32" s="1090" t="s">
        <v>1100</v>
      </c>
      <c r="C32" s="1076">
        <v>22280</v>
      </c>
      <c r="D32" s="1076">
        <v>21800</v>
      </c>
      <c r="E32" s="1076">
        <v>17650</v>
      </c>
      <c r="F32" s="1094">
        <v>4690</v>
      </c>
      <c r="H32" s="1098"/>
      <c r="M32" s="1076" t="s">
        <v>1343</v>
      </c>
      <c r="N32" s="1076" t="s">
        <v>1344</v>
      </c>
      <c r="O32" s="1076" t="s">
        <v>1345</v>
      </c>
      <c r="P32" s="1076" t="s">
        <v>1346</v>
      </c>
      <c r="Q32" s="1076" t="s">
        <v>1347</v>
      </c>
    </row>
    <row r="33" spans="1:17" ht="14.25" customHeight="1" thickBot="1">
      <c r="A33" s="1082" t="s">
        <v>1327</v>
      </c>
      <c r="B33" s="1090" t="s">
        <v>1114</v>
      </c>
      <c r="C33" s="1076">
        <v>22130</v>
      </c>
      <c r="D33" s="1076">
        <v>20460</v>
      </c>
      <c r="E33" s="1076">
        <v>18500</v>
      </c>
      <c r="F33" s="1094">
        <v>5340</v>
      </c>
      <c r="H33" s="1098"/>
      <c r="M33" s="1076" t="s">
        <v>1348</v>
      </c>
      <c r="N33" s="1076" t="s">
        <v>1349</v>
      </c>
      <c r="O33" s="1076" t="s">
        <v>1350</v>
      </c>
      <c r="P33" s="1076" t="s">
        <v>1351</v>
      </c>
      <c r="Q33" s="1076" t="s">
        <v>1352</v>
      </c>
    </row>
    <row r="34" spans="1:17" ht="14.25" customHeight="1" thickBot="1">
      <c r="A34" s="1082" t="s">
        <v>1327</v>
      </c>
      <c r="B34" s="1090" t="s">
        <v>1125</v>
      </c>
      <c r="C34" s="1076">
        <v>22070</v>
      </c>
      <c r="D34" s="1076">
        <v>20110</v>
      </c>
      <c r="E34" s="1076">
        <v>18830</v>
      </c>
      <c r="F34" s="1094">
        <v>5190</v>
      </c>
      <c r="H34" s="1098"/>
      <c r="M34" s="1076" t="s">
        <v>1353</v>
      </c>
      <c r="N34" s="1076" t="s">
        <v>1354</v>
      </c>
      <c r="O34" s="1076" t="s">
        <v>1355</v>
      </c>
      <c r="P34" s="1076" t="s">
        <v>1356</v>
      </c>
      <c r="Q34" s="1076" t="s">
        <v>1357</v>
      </c>
    </row>
    <row r="35" spans="1:17" ht="14.25" customHeight="1" thickBot="1">
      <c r="A35" s="1082" t="s">
        <v>1327</v>
      </c>
      <c r="B35" s="1090" t="s">
        <v>1136</v>
      </c>
      <c r="C35" s="1076">
        <v>22240</v>
      </c>
      <c r="D35" s="1076">
        <v>19550</v>
      </c>
      <c r="E35" s="1076">
        <v>19220</v>
      </c>
      <c r="F35" s="1094">
        <v>5800</v>
      </c>
      <c r="H35" s="1098"/>
      <c r="M35" s="1076" t="s">
        <v>1358</v>
      </c>
      <c r="N35" s="1076" t="s">
        <v>1359</v>
      </c>
      <c r="O35" s="1076" t="s">
        <v>1360</v>
      </c>
      <c r="P35" s="1076" t="s">
        <v>1361</v>
      </c>
      <c r="Q35" s="1076" t="s">
        <v>1362</v>
      </c>
    </row>
    <row r="36" spans="1:17" ht="14.25" customHeight="1" thickBot="1">
      <c r="A36" s="1082" t="s">
        <v>1327</v>
      </c>
      <c r="B36" s="1090" t="s">
        <v>1147</v>
      </c>
      <c r="C36" s="1076">
        <v>19750</v>
      </c>
      <c r="D36" s="1076">
        <v>19790</v>
      </c>
      <c r="E36" s="1076">
        <v>18510</v>
      </c>
      <c r="F36" s="1094">
        <v>6520</v>
      </c>
      <c r="H36" s="1098"/>
      <c r="N36" s="1076" t="s">
        <v>1363</v>
      </c>
      <c r="O36" s="1076" t="s">
        <v>1364</v>
      </c>
      <c r="P36" s="1076" t="s">
        <v>1365</v>
      </c>
      <c r="Q36" s="1076" t="s">
        <v>1366</v>
      </c>
    </row>
    <row r="37" spans="1:17" ht="14.25" customHeight="1" thickBot="1">
      <c r="A37" s="1082" t="s">
        <v>1327</v>
      </c>
      <c r="B37" s="1090" t="s">
        <v>1159</v>
      </c>
      <c r="C37" s="1076">
        <v>22380</v>
      </c>
      <c r="D37" s="1076">
        <v>18530</v>
      </c>
      <c r="E37" s="1076">
        <v>17930</v>
      </c>
      <c r="F37" s="1094">
        <v>6270</v>
      </c>
      <c r="H37" s="1100"/>
      <c r="N37" s="1076" t="s">
        <v>1367</v>
      </c>
      <c r="O37" s="1076" t="s">
        <v>1368</v>
      </c>
      <c r="P37" s="1076" t="s">
        <v>1369</v>
      </c>
      <c r="Q37" s="1076" t="s">
        <v>1370</v>
      </c>
    </row>
    <row r="38" spans="1:17" ht="14.25" customHeight="1" thickBot="1">
      <c r="A38" s="1082" t="s">
        <v>1327</v>
      </c>
      <c r="B38" s="1090" t="s">
        <v>1169</v>
      </c>
      <c r="C38" s="1076">
        <v>20200</v>
      </c>
      <c r="D38" s="1076">
        <v>20070</v>
      </c>
      <c r="E38" s="1076">
        <v>19950</v>
      </c>
      <c r="F38" s="1094"/>
      <c r="H38" s="1101"/>
      <c r="N38" s="1076" t="s">
        <v>1371</v>
      </c>
      <c r="O38" s="1076" t="s">
        <v>1372</v>
      </c>
      <c r="P38" s="1076" t="s">
        <v>1373</v>
      </c>
      <c r="Q38" s="1076" t="s">
        <v>1374</v>
      </c>
    </row>
    <row r="39" spans="1:17" ht="14.25" customHeight="1" thickBot="1">
      <c r="A39" s="1082" t="s">
        <v>1327</v>
      </c>
      <c r="B39" s="1090" t="s">
        <v>1179</v>
      </c>
      <c r="C39" s="1076">
        <v>19300</v>
      </c>
      <c r="D39" s="1076">
        <v>20360</v>
      </c>
      <c r="E39" s="1076">
        <v>20230</v>
      </c>
      <c r="F39" s="1094"/>
      <c r="H39" s="1101"/>
      <c r="N39" s="1076" t="s">
        <v>1375</v>
      </c>
      <c r="O39" s="1076" t="s">
        <v>1376</v>
      </c>
      <c r="P39" s="1076" t="s">
        <v>1377</v>
      </c>
      <c r="Q39" s="1076" t="s">
        <v>1378</v>
      </c>
    </row>
    <row r="40" spans="1:17" ht="14.25" customHeight="1" thickBot="1">
      <c r="A40" s="1082" t="s">
        <v>1327</v>
      </c>
      <c r="B40" s="1090" t="s">
        <v>1189</v>
      </c>
      <c r="C40" s="1076">
        <v>20210</v>
      </c>
      <c r="D40" s="1076">
        <v>19060</v>
      </c>
      <c r="E40" s="1076">
        <v>18890</v>
      </c>
      <c r="F40" s="1094"/>
      <c r="H40" s="1101"/>
      <c r="N40" s="1076" t="s">
        <v>1379</v>
      </c>
      <c r="O40" s="1076" t="s">
        <v>1380</v>
      </c>
      <c r="P40" s="1076" t="s">
        <v>1381</v>
      </c>
      <c r="Q40" s="1076" t="s">
        <v>1382</v>
      </c>
    </row>
    <row r="41" spans="1:17" ht="14.25" customHeight="1" thickBot="1">
      <c r="A41" s="1082" t="s">
        <v>1327</v>
      </c>
      <c r="B41" s="1090" t="s">
        <v>1199</v>
      </c>
      <c r="C41" s="1076">
        <v>20560</v>
      </c>
      <c r="D41" s="1076">
        <v>21040</v>
      </c>
      <c r="E41" s="1076">
        <v>20740</v>
      </c>
      <c r="F41" s="1094"/>
      <c r="H41" s="1101"/>
      <c r="N41" s="1090" t="s">
        <v>1383</v>
      </c>
      <c r="O41" s="1090" t="s">
        <v>1384</v>
      </c>
      <c r="Q41" s="1090" t="s">
        <v>1385</v>
      </c>
    </row>
    <row r="42" spans="1:17" ht="14.25" customHeight="1" thickBot="1">
      <c r="A42" s="1082" t="s">
        <v>1327</v>
      </c>
      <c r="B42" s="1090" t="s">
        <v>1209</v>
      </c>
      <c r="C42" s="1076">
        <v>19280</v>
      </c>
      <c r="D42" s="1076">
        <v>22940</v>
      </c>
      <c r="E42" s="1076">
        <v>22500</v>
      </c>
      <c r="F42" s="1094"/>
      <c r="H42" s="1101"/>
      <c r="N42" s="1076" t="s">
        <v>1386</v>
      </c>
      <c r="O42" s="1076" t="s">
        <v>1387</v>
      </c>
      <c r="Q42" s="1076" t="s">
        <v>1388</v>
      </c>
    </row>
    <row r="43" spans="1:17" ht="14.25" customHeight="1" thickBot="1">
      <c r="A43" s="1082" t="s">
        <v>1327</v>
      </c>
      <c r="B43" s="1090" t="s">
        <v>1219</v>
      </c>
      <c r="C43" s="1076">
        <v>21520</v>
      </c>
      <c r="D43" s="1076">
        <v>19230</v>
      </c>
      <c r="E43" s="1076">
        <v>18540</v>
      </c>
      <c r="F43" s="1094"/>
      <c r="H43" s="1101"/>
      <c r="N43" s="1076" t="s">
        <v>1389</v>
      </c>
      <c r="O43" s="1076" t="s">
        <v>1390</v>
      </c>
      <c r="Q43" s="1076" t="s">
        <v>1391</v>
      </c>
    </row>
    <row r="44" spans="1:17" ht="14.25" customHeight="1" thickBot="1">
      <c r="A44" s="1082" t="s">
        <v>1327</v>
      </c>
      <c r="B44" s="1090" t="s">
        <v>1229</v>
      </c>
      <c r="C44" s="1076">
        <v>23260</v>
      </c>
      <c r="D44" s="1076">
        <v>21180</v>
      </c>
      <c r="E44" s="1076">
        <v>20730</v>
      </c>
      <c r="F44" s="1094"/>
      <c r="H44" s="1101"/>
      <c r="N44" s="1076" t="s">
        <v>1392</v>
      </c>
      <c r="O44" s="1076" t="s">
        <v>1393</v>
      </c>
      <c r="Q44" s="1076" t="s">
        <v>1394</v>
      </c>
    </row>
    <row r="45" spans="1:17" ht="14.25" customHeight="1" thickBot="1">
      <c r="A45" s="1082" t="s">
        <v>1327</v>
      </c>
      <c r="B45" s="1090" t="s">
        <v>1239</v>
      </c>
      <c r="C45" s="1076">
        <v>19610</v>
      </c>
      <c r="D45" s="1076">
        <v>18090</v>
      </c>
      <c r="E45" s="1076">
        <v>17970</v>
      </c>
      <c r="F45" s="1094"/>
      <c r="H45" s="1098"/>
      <c r="N45" s="1076" t="s">
        <v>1395</v>
      </c>
      <c r="O45" s="1076" t="s">
        <v>1396</v>
      </c>
      <c r="Q45" s="1076" t="s">
        <v>1397</v>
      </c>
    </row>
    <row r="46" spans="1:17" ht="14.25" customHeight="1" thickBot="1">
      <c r="A46" s="1082" t="s">
        <v>1327</v>
      </c>
      <c r="B46" s="1090" t="s">
        <v>1249</v>
      </c>
      <c r="C46" s="1076">
        <v>21660</v>
      </c>
      <c r="D46" s="1076">
        <v>19190</v>
      </c>
      <c r="E46" s="1076">
        <v>19790</v>
      </c>
      <c r="F46" s="1094"/>
      <c r="H46" s="1101"/>
      <c r="N46" s="1076" t="s">
        <v>1398</v>
      </c>
      <c r="O46" s="1076" t="s">
        <v>1399</v>
      </c>
      <c r="Q46" s="1076" t="s">
        <v>1400</v>
      </c>
    </row>
    <row r="47" spans="1:17" ht="14.25" customHeight="1" thickBot="1">
      <c r="A47" s="1082" t="s">
        <v>1327</v>
      </c>
      <c r="B47" s="1090" t="s">
        <v>1259</v>
      </c>
      <c r="C47" s="1076">
        <v>18220</v>
      </c>
      <c r="D47" s="1076"/>
      <c r="E47" s="1076">
        <v>17220</v>
      </c>
      <c r="F47" s="1094"/>
      <c r="H47" s="1101"/>
      <c r="N47" s="1076" t="s">
        <v>1401</v>
      </c>
      <c r="O47" s="1076" t="s">
        <v>1402</v>
      </c>
    </row>
    <row r="48" spans="1:17" ht="14.25" customHeight="1" thickBot="1">
      <c r="A48" s="1082" t="s">
        <v>1327</v>
      </c>
      <c r="B48" s="1091" t="s">
        <v>1268</v>
      </c>
      <c r="C48" s="1092">
        <v>19430</v>
      </c>
      <c r="D48" s="1092"/>
      <c r="E48" s="1092">
        <v>17830</v>
      </c>
      <c r="F48" s="1102"/>
      <c r="H48" s="1098"/>
      <c r="N48" s="1076" t="s">
        <v>1403</v>
      </c>
      <c r="O48" s="1076" t="s">
        <v>1404</v>
      </c>
    </row>
    <row r="49" spans="1:15" ht="14.25" customHeight="1" thickBot="1">
      <c r="A49" s="1082" t="s">
        <v>925</v>
      </c>
      <c r="B49" s="1083" t="s">
        <v>1405</v>
      </c>
      <c r="C49" s="1083">
        <v>17090</v>
      </c>
      <c r="D49" s="1083">
        <v>16950</v>
      </c>
      <c r="E49" s="1083">
        <v>16310</v>
      </c>
      <c r="F49" s="1084">
        <v>4540</v>
      </c>
      <c r="H49" s="1101"/>
      <c r="N49" s="1076" t="s">
        <v>1406</v>
      </c>
      <c r="O49" s="1076" t="s">
        <v>1407</v>
      </c>
    </row>
    <row r="50" spans="1:15" ht="14.25" customHeight="1" thickBot="1">
      <c r="A50" s="1082" t="s">
        <v>925</v>
      </c>
      <c r="B50" s="1076" t="s">
        <v>1074</v>
      </c>
      <c r="C50" s="1076">
        <v>19040</v>
      </c>
      <c r="D50" s="1076">
        <v>16960</v>
      </c>
      <c r="E50" s="1076">
        <v>14800</v>
      </c>
      <c r="F50" s="1094">
        <v>3940</v>
      </c>
      <c r="H50" s="1101"/>
    </row>
    <row r="51" spans="1:15" ht="14.25" customHeight="1" thickBot="1">
      <c r="A51" s="1082" t="s">
        <v>925</v>
      </c>
      <c r="B51" s="1076" t="s">
        <v>1088</v>
      </c>
      <c r="C51" s="1076">
        <v>17040</v>
      </c>
      <c r="D51" s="1076">
        <v>16930</v>
      </c>
      <c r="E51" s="1076">
        <v>15030</v>
      </c>
      <c r="F51" s="1094">
        <v>4120</v>
      </c>
      <c r="H51" s="1101"/>
    </row>
    <row r="52" spans="1:15" ht="14.25" customHeight="1" thickBot="1">
      <c r="A52" s="1082" t="s">
        <v>925</v>
      </c>
      <c r="B52" s="1076" t="s">
        <v>1101</v>
      </c>
      <c r="C52" s="1076">
        <v>17110</v>
      </c>
      <c r="D52" s="1076">
        <v>17750</v>
      </c>
      <c r="E52" s="1076">
        <v>17310</v>
      </c>
      <c r="F52" s="1094">
        <v>3220</v>
      </c>
      <c r="H52" s="1101"/>
    </row>
    <row r="53" spans="1:15" ht="14.25" customHeight="1" thickBot="1">
      <c r="A53" s="1082" t="s">
        <v>925</v>
      </c>
      <c r="B53" s="1076" t="s">
        <v>1115</v>
      </c>
      <c r="C53" s="1076">
        <v>17810</v>
      </c>
      <c r="D53" s="1076">
        <v>17260</v>
      </c>
      <c r="E53" s="1076">
        <v>17090</v>
      </c>
      <c r="F53" s="1094">
        <v>3520</v>
      </c>
      <c r="H53" s="1101"/>
    </row>
    <row r="54" spans="1:15" ht="14.25" customHeight="1" thickBot="1">
      <c r="A54" s="1082" t="s">
        <v>925</v>
      </c>
      <c r="B54" s="1076" t="s">
        <v>1126</v>
      </c>
      <c r="C54" s="1076">
        <v>17410</v>
      </c>
      <c r="D54" s="1076">
        <v>16780</v>
      </c>
      <c r="E54" s="1076">
        <v>16370</v>
      </c>
      <c r="F54" s="1094">
        <v>3410</v>
      </c>
      <c r="H54" s="1101"/>
    </row>
    <row r="55" spans="1:15" ht="14.25" customHeight="1" thickBot="1">
      <c r="A55" s="1082" t="s">
        <v>925</v>
      </c>
      <c r="B55" s="1076" t="s">
        <v>1137</v>
      </c>
      <c r="C55" s="1076">
        <v>16930</v>
      </c>
      <c r="D55" s="1076">
        <v>14720</v>
      </c>
      <c r="E55" s="1076">
        <v>15000</v>
      </c>
      <c r="F55" s="1094">
        <v>3710</v>
      </c>
      <c r="H55" s="1101"/>
    </row>
    <row r="56" spans="1:15" ht="14.25" customHeight="1" thickBot="1">
      <c r="A56" s="1082" t="s">
        <v>925</v>
      </c>
      <c r="B56" s="1076" t="s">
        <v>1148</v>
      </c>
      <c r="C56" s="1076">
        <v>14930</v>
      </c>
      <c r="D56" s="1076">
        <v>15850</v>
      </c>
      <c r="E56" s="1076">
        <v>14320</v>
      </c>
      <c r="F56" s="1094">
        <v>3960</v>
      </c>
      <c r="H56" s="1101"/>
    </row>
    <row r="57" spans="1:15" ht="14.25" customHeight="1" thickBot="1">
      <c r="A57" s="1082" t="s">
        <v>925</v>
      </c>
      <c r="B57" s="1076" t="s">
        <v>1160</v>
      </c>
      <c r="C57" s="1076">
        <v>16160</v>
      </c>
      <c r="D57" s="1076">
        <v>16190</v>
      </c>
      <c r="E57" s="1076">
        <v>15650</v>
      </c>
      <c r="F57" s="1094">
        <v>4200</v>
      </c>
      <c r="H57" s="1101"/>
    </row>
    <row r="58" spans="1:15" ht="14.25" customHeight="1" thickBot="1">
      <c r="A58" s="1082" t="s">
        <v>925</v>
      </c>
      <c r="B58" s="1076" t="s">
        <v>1170</v>
      </c>
      <c r="C58" s="1076">
        <v>16360</v>
      </c>
      <c r="D58" s="1076">
        <v>14050</v>
      </c>
      <c r="E58" s="1076">
        <v>16070</v>
      </c>
      <c r="F58" s="1094">
        <v>3990</v>
      </c>
      <c r="H58" s="1101"/>
    </row>
    <row r="59" spans="1:15" ht="14.25" customHeight="1" thickBot="1">
      <c r="A59" s="1082" t="s">
        <v>925</v>
      </c>
      <c r="B59" s="1076" t="s">
        <v>1180</v>
      </c>
      <c r="C59" s="1076">
        <v>14160</v>
      </c>
      <c r="D59" s="1076">
        <v>16620</v>
      </c>
      <c r="E59" s="1076">
        <v>13940</v>
      </c>
      <c r="F59" s="1094">
        <v>4260</v>
      </c>
      <c r="H59" s="1101"/>
    </row>
    <row r="60" spans="1:15" ht="14.25" customHeight="1" thickBot="1">
      <c r="A60" s="1082" t="s">
        <v>925</v>
      </c>
      <c r="B60" s="1076" t="s">
        <v>1190</v>
      </c>
      <c r="C60" s="1076">
        <v>16750</v>
      </c>
      <c r="D60" s="1076">
        <v>13910</v>
      </c>
      <c r="E60" s="1076">
        <v>16550</v>
      </c>
      <c r="F60" s="1094">
        <v>4550</v>
      </c>
      <c r="H60" s="1101"/>
    </row>
    <row r="61" spans="1:15" ht="14.25" customHeight="1" thickBot="1">
      <c r="A61" s="1082" t="s">
        <v>925</v>
      </c>
      <c r="B61" s="1076" t="s">
        <v>1200</v>
      </c>
      <c r="C61" s="1076">
        <v>14000</v>
      </c>
      <c r="D61" s="1076">
        <v>14550</v>
      </c>
      <c r="E61" s="1076">
        <v>13860</v>
      </c>
      <c r="F61" s="1103"/>
      <c r="H61" s="1101"/>
    </row>
    <row r="62" spans="1:15" ht="14.25" customHeight="1" thickBot="1">
      <c r="A62" s="1082" t="s">
        <v>925</v>
      </c>
      <c r="B62" s="1076" t="s">
        <v>1210</v>
      </c>
      <c r="C62" s="1076">
        <v>14660</v>
      </c>
      <c r="D62" s="1076">
        <v>17450</v>
      </c>
      <c r="E62" s="1076">
        <v>14470</v>
      </c>
      <c r="F62" s="1103"/>
      <c r="H62" s="1101"/>
    </row>
    <row r="63" spans="1:15" ht="14.25" customHeight="1" thickBot="1">
      <c r="A63" s="1082" t="s">
        <v>925</v>
      </c>
      <c r="B63" s="1076" t="s">
        <v>1220</v>
      </c>
      <c r="C63" s="1076">
        <v>17610</v>
      </c>
      <c r="D63" s="1076">
        <v>16500</v>
      </c>
      <c r="E63" s="1076">
        <v>17330</v>
      </c>
      <c r="F63" s="1103"/>
      <c r="H63" s="1101"/>
    </row>
    <row r="64" spans="1:15" ht="14.25" customHeight="1" thickBot="1">
      <c r="A64" s="1082" t="s">
        <v>925</v>
      </c>
      <c r="B64" s="1076" t="s">
        <v>1230</v>
      </c>
      <c r="C64" s="1076">
        <v>16590</v>
      </c>
      <c r="D64" s="1076">
        <v>15130</v>
      </c>
      <c r="E64" s="1076">
        <v>16420</v>
      </c>
      <c r="F64" s="1103"/>
      <c r="H64" s="1101"/>
    </row>
    <row r="65" spans="1:8" s="1070" customFormat="1" ht="14.25" customHeight="1" thickBot="1">
      <c r="A65" s="1082" t="s">
        <v>925</v>
      </c>
      <c r="B65" s="1076" t="s">
        <v>1240</v>
      </c>
      <c r="C65" s="1076">
        <v>15220</v>
      </c>
      <c r="D65" s="1076">
        <v>14660</v>
      </c>
      <c r="E65" s="1076">
        <v>15060</v>
      </c>
      <c r="F65" s="1094"/>
      <c r="H65" s="1101"/>
    </row>
    <row r="66" spans="1:8" s="1070" customFormat="1" ht="14.25" customHeight="1" thickBot="1">
      <c r="A66" s="1082" t="s">
        <v>925</v>
      </c>
      <c r="B66" s="1076" t="s">
        <v>1250</v>
      </c>
      <c r="C66" s="1076">
        <v>14720</v>
      </c>
      <c r="D66" s="1076">
        <v>15970</v>
      </c>
      <c r="E66" s="1076">
        <v>14610</v>
      </c>
      <c r="F66" s="1094"/>
      <c r="H66" s="1101"/>
    </row>
    <row r="67" spans="1:8" s="1070" customFormat="1" ht="14.25" customHeight="1" thickBot="1">
      <c r="A67" s="1082" t="s">
        <v>925</v>
      </c>
      <c r="B67" s="1076" t="s">
        <v>1260</v>
      </c>
      <c r="C67" s="1076">
        <v>16080</v>
      </c>
      <c r="D67" s="1076">
        <v>14840</v>
      </c>
      <c r="E67" s="1076">
        <v>15630</v>
      </c>
      <c r="F67" s="1094"/>
      <c r="H67" s="1101"/>
    </row>
    <row r="68" spans="1:8" s="1070" customFormat="1" ht="14.25" customHeight="1" thickBot="1">
      <c r="A68" s="1082" t="s">
        <v>925</v>
      </c>
      <c r="B68" s="1076" t="s">
        <v>1269</v>
      </c>
      <c r="C68" s="1076">
        <v>14940</v>
      </c>
      <c r="D68" s="1076">
        <v>18000</v>
      </c>
      <c r="E68" s="1076">
        <v>14040</v>
      </c>
      <c r="F68" s="1094"/>
      <c r="H68" s="1101"/>
    </row>
    <row r="69" spans="1:8" s="1070" customFormat="1" ht="14.25" customHeight="1" thickBot="1">
      <c r="A69" s="1082" t="s">
        <v>925</v>
      </c>
      <c r="B69" s="1076" t="s">
        <v>1278</v>
      </c>
      <c r="C69" s="1076">
        <v>18810</v>
      </c>
      <c r="D69" s="1076">
        <v>15100</v>
      </c>
      <c r="E69" s="1076">
        <v>14710</v>
      </c>
      <c r="F69" s="1094"/>
      <c r="H69" s="1101"/>
    </row>
    <row r="70" spans="1:8" s="1070" customFormat="1" ht="14.25" customHeight="1" thickBot="1">
      <c r="A70" s="1082" t="s">
        <v>925</v>
      </c>
      <c r="B70" s="1076" t="s">
        <v>1286</v>
      </c>
      <c r="C70" s="1076">
        <v>18270</v>
      </c>
      <c r="D70" s="1076"/>
      <c r="E70" s="1076"/>
      <c r="F70" s="1094"/>
      <c r="H70" s="1101"/>
    </row>
    <row r="71" spans="1:8" s="1070" customFormat="1" ht="14.25" customHeight="1" thickBot="1">
      <c r="A71" s="1082" t="s">
        <v>925</v>
      </c>
      <c r="B71" s="1076" t="s">
        <v>1293</v>
      </c>
      <c r="C71" s="1076">
        <v>15230</v>
      </c>
      <c r="D71" s="1076"/>
      <c r="E71" s="1076"/>
      <c r="F71" s="1094"/>
      <c r="H71" s="1101"/>
    </row>
    <row r="72" spans="1:8" s="1070" customFormat="1" ht="14.25" customHeight="1" thickBot="1">
      <c r="A72" s="1082" t="s">
        <v>925</v>
      </c>
      <c r="B72" s="1076" t="s">
        <v>1300</v>
      </c>
      <c r="C72" s="1076"/>
      <c r="D72" s="1076"/>
      <c r="E72" s="1076"/>
      <c r="F72" s="1094">
        <v>4120</v>
      </c>
      <c r="H72" s="1101"/>
    </row>
    <row r="73" spans="1:8" s="1070" customFormat="1" ht="14.25" customHeight="1" thickBot="1">
      <c r="A73" s="1082" t="s">
        <v>925</v>
      </c>
      <c r="B73" s="1076" t="s">
        <v>1307</v>
      </c>
      <c r="C73" s="1076"/>
      <c r="D73" s="1076"/>
      <c r="E73" s="1076"/>
      <c r="F73" s="1094">
        <v>3930</v>
      </c>
      <c r="H73" s="1101"/>
    </row>
    <row r="74" spans="1:8" s="1070" customFormat="1" ht="14.25" customHeight="1" thickBot="1">
      <c r="A74" s="1082" t="s">
        <v>925</v>
      </c>
      <c r="B74" s="1076" t="s">
        <v>1314</v>
      </c>
      <c r="C74" s="1076"/>
      <c r="D74" s="1076"/>
      <c r="E74" s="1076"/>
      <c r="F74" s="1094">
        <v>4060</v>
      </c>
      <c r="H74" s="1101"/>
    </row>
    <row r="75" spans="1:8" s="1070" customFormat="1" ht="14.25" customHeight="1" thickBot="1">
      <c r="A75" s="1082" t="s">
        <v>925</v>
      </c>
      <c r="B75" s="1092" t="s">
        <v>1321</v>
      </c>
      <c r="C75" s="1092"/>
      <c r="D75" s="1092"/>
      <c r="E75" s="1092"/>
      <c r="F75" s="1102">
        <v>3750</v>
      </c>
      <c r="H75" s="1101"/>
    </row>
    <row r="76" spans="1:8" s="1070" customFormat="1" ht="14.25" customHeight="1" thickBot="1">
      <c r="A76" s="1082" t="s">
        <v>1408</v>
      </c>
      <c r="B76" s="1083" t="s">
        <v>1409</v>
      </c>
      <c r="C76" s="1083">
        <v>14690</v>
      </c>
      <c r="D76" s="1083">
        <v>14640</v>
      </c>
      <c r="E76" s="1083">
        <v>14590</v>
      </c>
      <c r="F76" s="1084">
        <v>3060</v>
      </c>
      <c r="H76" s="1101"/>
    </row>
    <row r="77" spans="1:8" s="1070" customFormat="1" ht="14.25" customHeight="1" thickBot="1">
      <c r="A77" s="1082" t="s">
        <v>1408</v>
      </c>
      <c r="B77" s="1076" t="s">
        <v>1075</v>
      </c>
      <c r="C77" s="1076">
        <v>12550</v>
      </c>
      <c r="D77" s="1076">
        <v>12480</v>
      </c>
      <c r="E77" s="1076">
        <v>12450</v>
      </c>
      <c r="F77" s="1094">
        <v>2590</v>
      </c>
      <c r="H77" s="1101"/>
    </row>
    <row r="78" spans="1:8" s="1070" customFormat="1" ht="14.25" customHeight="1" thickBot="1">
      <c r="A78" s="1082" t="s">
        <v>1408</v>
      </c>
      <c r="B78" s="1076" t="s">
        <v>1089</v>
      </c>
      <c r="C78" s="1076">
        <v>14360</v>
      </c>
      <c r="D78" s="1076">
        <v>14320</v>
      </c>
      <c r="E78" s="1076">
        <v>12510</v>
      </c>
      <c r="F78" s="1094">
        <v>2700</v>
      </c>
      <c r="H78" s="1101"/>
    </row>
    <row r="79" spans="1:8" s="1070" customFormat="1" ht="14.25" customHeight="1" thickBot="1">
      <c r="A79" s="1082" t="s">
        <v>1408</v>
      </c>
      <c r="B79" s="1076" t="s">
        <v>1102</v>
      </c>
      <c r="C79" s="1076">
        <v>12590</v>
      </c>
      <c r="D79" s="1076">
        <v>12540</v>
      </c>
      <c r="E79" s="1076">
        <v>12350</v>
      </c>
      <c r="F79" s="1094">
        <v>2740</v>
      </c>
      <c r="H79" s="1101"/>
    </row>
    <row r="80" spans="1:8" s="1070" customFormat="1" ht="14.25" customHeight="1" thickBot="1">
      <c r="A80" s="1082" t="s">
        <v>1408</v>
      </c>
      <c r="B80" s="1076" t="s">
        <v>1116</v>
      </c>
      <c r="C80" s="1076">
        <v>12450</v>
      </c>
      <c r="D80" s="1076">
        <v>12370</v>
      </c>
      <c r="E80" s="1076">
        <v>10790</v>
      </c>
      <c r="F80" s="1094">
        <v>2290</v>
      </c>
      <c r="H80" s="1101"/>
    </row>
    <row r="81" spans="1:8" s="1070" customFormat="1" ht="14.25" customHeight="1" thickBot="1">
      <c r="A81" s="1082" t="s">
        <v>1408</v>
      </c>
      <c r="B81" s="1076" t="s">
        <v>1127</v>
      </c>
      <c r="C81" s="1076">
        <v>14210</v>
      </c>
      <c r="D81" s="1076">
        <v>14150</v>
      </c>
      <c r="E81" s="1076">
        <v>12730</v>
      </c>
      <c r="F81" s="1094">
        <v>2240</v>
      </c>
      <c r="H81" s="1101"/>
    </row>
    <row r="82" spans="1:8" s="1070" customFormat="1" ht="14.25" customHeight="1" thickBot="1">
      <c r="A82" s="1082" t="s">
        <v>1408</v>
      </c>
      <c r="B82" s="1076" t="s">
        <v>1138</v>
      </c>
      <c r="C82" s="1076">
        <v>10860</v>
      </c>
      <c r="D82" s="1076">
        <v>10820</v>
      </c>
      <c r="E82" s="1076">
        <v>14720</v>
      </c>
      <c r="F82" s="1094">
        <v>2490</v>
      </c>
      <c r="H82" s="1101"/>
    </row>
    <row r="83" spans="1:8" s="1070" customFormat="1" ht="14.25" customHeight="1" thickBot="1">
      <c r="A83" s="1082" t="s">
        <v>1408</v>
      </c>
      <c r="B83" s="1076" t="s">
        <v>1149</v>
      </c>
      <c r="C83" s="1076">
        <v>12810</v>
      </c>
      <c r="D83" s="1076">
        <v>12760</v>
      </c>
      <c r="E83" s="1076">
        <v>14830</v>
      </c>
      <c r="F83" s="1094">
        <v>2450</v>
      </c>
      <c r="H83" s="1101"/>
    </row>
    <row r="84" spans="1:8" s="1070" customFormat="1" ht="14.25" customHeight="1" thickBot="1">
      <c r="A84" s="1082" t="s">
        <v>1408</v>
      </c>
      <c r="B84" s="1076" t="s">
        <v>1161</v>
      </c>
      <c r="C84" s="1076">
        <v>14950</v>
      </c>
      <c r="D84" s="1076">
        <v>14810</v>
      </c>
      <c r="E84" s="1076">
        <v>12590</v>
      </c>
      <c r="F84" s="1094">
        <v>2540</v>
      </c>
      <c r="H84" s="1101"/>
    </row>
    <row r="85" spans="1:8" s="1070" customFormat="1" ht="14.25" customHeight="1" thickBot="1">
      <c r="A85" s="1082" t="s">
        <v>1408</v>
      </c>
      <c r="B85" s="1076" t="s">
        <v>1171</v>
      </c>
      <c r="C85" s="1076">
        <v>14960</v>
      </c>
      <c r="D85" s="1076">
        <v>14890</v>
      </c>
      <c r="E85" s="1076">
        <v>12840</v>
      </c>
      <c r="F85" s="1094">
        <v>2840</v>
      </c>
      <c r="H85" s="1101"/>
    </row>
    <row r="86" spans="1:8" s="1070" customFormat="1" ht="14.25" customHeight="1" thickBot="1">
      <c r="A86" s="1082" t="s">
        <v>1408</v>
      </c>
      <c r="B86" s="1076" t="s">
        <v>1181</v>
      </c>
      <c r="C86" s="1076">
        <v>12730</v>
      </c>
      <c r="D86" s="1076">
        <v>12660</v>
      </c>
      <c r="E86" s="1076">
        <v>13310</v>
      </c>
      <c r="F86" s="1094">
        <v>3140</v>
      </c>
      <c r="H86" s="1101"/>
    </row>
    <row r="87" spans="1:8" s="1070" customFormat="1" ht="14.25" customHeight="1" thickBot="1">
      <c r="A87" s="1082" t="s">
        <v>1408</v>
      </c>
      <c r="B87" s="1076" t="s">
        <v>1191</v>
      </c>
      <c r="C87" s="1076">
        <v>12940</v>
      </c>
      <c r="D87" s="1076">
        <v>12890</v>
      </c>
      <c r="E87" s="1076">
        <v>11580</v>
      </c>
      <c r="F87" s="1103"/>
      <c r="H87" s="1101"/>
    </row>
    <row r="88" spans="1:8" s="1070" customFormat="1" ht="14.25" customHeight="1" thickBot="1">
      <c r="A88" s="1082" t="s">
        <v>1408</v>
      </c>
      <c r="B88" s="1076" t="s">
        <v>1201</v>
      </c>
      <c r="C88" s="1076">
        <v>13430</v>
      </c>
      <c r="D88" s="1076">
        <v>13360</v>
      </c>
      <c r="E88" s="1076">
        <v>12790</v>
      </c>
      <c r="F88" s="1103"/>
      <c r="H88" s="1101"/>
    </row>
    <row r="89" spans="1:8" s="1070" customFormat="1" ht="14.25" customHeight="1" thickBot="1">
      <c r="A89" s="1082" t="s">
        <v>1408</v>
      </c>
      <c r="B89" s="1076" t="s">
        <v>1211</v>
      </c>
      <c r="C89" s="1076">
        <v>11680</v>
      </c>
      <c r="D89" s="1076">
        <v>11630</v>
      </c>
      <c r="E89" s="1076">
        <v>11320</v>
      </c>
      <c r="F89" s="1103"/>
      <c r="H89" s="1101"/>
    </row>
    <row r="90" spans="1:8" s="1070" customFormat="1" ht="14.25" customHeight="1" thickBot="1">
      <c r="A90" s="1082" t="s">
        <v>1408</v>
      </c>
      <c r="B90" s="1076" t="s">
        <v>1221</v>
      </c>
      <c r="C90" s="1076">
        <v>12890</v>
      </c>
      <c r="D90" s="1076">
        <v>12820</v>
      </c>
      <c r="E90" s="1076">
        <v>12710</v>
      </c>
      <c r="F90" s="1103"/>
      <c r="H90" s="1101"/>
    </row>
    <row r="91" spans="1:8" s="1070" customFormat="1" ht="14.25" customHeight="1" thickBot="1">
      <c r="A91" s="1082" t="s">
        <v>1408</v>
      </c>
      <c r="B91" s="1076" t="s">
        <v>1231</v>
      </c>
      <c r="C91" s="1076">
        <v>11410</v>
      </c>
      <c r="D91" s="1076">
        <v>11360</v>
      </c>
      <c r="E91" s="1076">
        <v>12670</v>
      </c>
      <c r="F91" s="1103"/>
      <c r="H91" s="1101"/>
    </row>
    <row r="92" spans="1:8" s="1070" customFormat="1" ht="14.25" customHeight="1" thickBot="1">
      <c r="A92" s="1082" t="s">
        <v>1408</v>
      </c>
      <c r="B92" s="1076" t="s">
        <v>1241</v>
      </c>
      <c r="C92" s="1076">
        <v>12770</v>
      </c>
      <c r="D92" s="1076">
        <v>12740</v>
      </c>
      <c r="E92" s="1076">
        <v>11970</v>
      </c>
      <c r="F92" s="1103"/>
      <c r="H92" s="1101"/>
    </row>
    <row r="93" spans="1:8" s="1070" customFormat="1" ht="14.25" customHeight="1" thickBot="1">
      <c r="A93" s="1082" t="s">
        <v>1408</v>
      </c>
      <c r="B93" s="1076" t="s">
        <v>1251</v>
      </c>
      <c r="C93" s="1076">
        <v>12740</v>
      </c>
      <c r="D93" s="1076">
        <v>12700</v>
      </c>
      <c r="E93" s="1076">
        <v>12540</v>
      </c>
      <c r="F93" s="1103"/>
      <c r="H93" s="1101"/>
    </row>
    <row r="94" spans="1:8" s="1070" customFormat="1" ht="14.25" customHeight="1" thickBot="1">
      <c r="A94" s="1082" t="s">
        <v>1408</v>
      </c>
      <c r="B94" s="1076" t="s">
        <v>1261</v>
      </c>
      <c r="C94" s="1076">
        <v>12020</v>
      </c>
      <c r="D94" s="1076">
        <v>11990</v>
      </c>
      <c r="E94" s="1076">
        <v>13110</v>
      </c>
      <c r="F94" s="1103"/>
      <c r="H94" s="1101"/>
    </row>
    <row r="95" spans="1:8" s="1070" customFormat="1" ht="14.25" customHeight="1" thickBot="1">
      <c r="A95" s="1082" t="s">
        <v>1408</v>
      </c>
      <c r="B95" s="1076" t="s">
        <v>1270</v>
      </c>
      <c r="C95" s="1076">
        <v>12620</v>
      </c>
      <c r="D95" s="1076">
        <v>12580</v>
      </c>
      <c r="E95" s="1076">
        <v>13160</v>
      </c>
      <c r="F95" s="1094"/>
      <c r="H95" s="1101"/>
    </row>
    <row r="96" spans="1:8" s="1070" customFormat="1" ht="14.25" customHeight="1" thickBot="1">
      <c r="A96" s="1082" t="s">
        <v>1408</v>
      </c>
      <c r="B96" s="1076" t="s">
        <v>1279</v>
      </c>
      <c r="C96" s="1076">
        <v>13200</v>
      </c>
      <c r="D96" s="1076">
        <v>13150</v>
      </c>
      <c r="E96" s="1076">
        <v>12900</v>
      </c>
      <c r="F96" s="1094"/>
      <c r="H96" s="1101"/>
    </row>
    <row r="97" spans="1:8" s="1070" customFormat="1" ht="14.25" customHeight="1" thickBot="1">
      <c r="A97" s="1082" t="s">
        <v>1408</v>
      </c>
      <c r="B97" s="1076" t="s">
        <v>1287</v>
      </c>
      <c r="C97" s="1076">
        <v>13270</v>
      </c>
      <c r="D97" s="1076">
        <v>13210</v>
      </c>
      <c r="E97" s="1076">
        <v>11080</v>
      </c>
      <c r="F97" s="1094"/>
      <c r="H97" s="1101"/>
    </row>
    <row r="98" spans="1:8" s="1070" customFormat="1" ht="14.25" customHeight="1" thickBot="1">
      <c r="A98" s="1082" t="s">
        <v>1408</v>
      </c>
      <c r="B98" s="1076" t="s">
        <v>1294</v>
      </c>
      <c r="C98" s="1076">
        <v>13010</v>
      </c>
      <c r="D98" s="1076">
        <v>12930</v>
      </c>
      <c r="E98" s="1076">
        <v>12840</v>
      </c>
      <c r="F98" s="1094"/>
      <c r="H98" s="1101"/>
    </row>
    <row r="99" spans="1:8" s="1070" customFormat="1" ht="14.25" customHeight="1" thickBot="1">
      <c r="A99" s="1082" t="s">
        <v>1408</v>
      </c>
      <c r="B99" s="1076" t="s">
        <v>1301</v>
      </c>
      <c r="C99" s="1076">
        <v>11190</v>
      </c>
      <c r="D99" s="1076">
        <v>11130</v>
      </c>
      <c r="E99" s="1076"/>
      <c r="F99" s="1094"/>
      <c r="H99" s="1101"/>
    </row>
    <row r="100" spans="1:8" s="1070" customFormat="1" ht="14.25" customHeight="1" thickBot="1">
      <c r="A100" s="1082" t="s">
        <v>1408</v>
      </c>
      <c r="B100" s="1076" t="s">
        <v>1308</v>
      </c>
      <c r="C100" s="1076">
        <v>14280</v>
      </c>
      <c r="D100" s="1076">
        <v>14180</v>
      </c>
      <c r="E100" s="1076"/>
      <c r="F100" s="1094"/>
      <c r="H100" s="1101"/>
    </row>
    <row r="101" spans="1:8" s="1070" customFormat="1" ht="14.25" customHeight="1" thickBot="1">
      <c r="A101" s="1082" t="s">
        <v>1408</v>
      </c>
      <c r="B101" s="1076" t="s">
        <v>1315</v>
      </c>
      <c r="C101" s="1076">
        <v>12960</v>
      </c>
      <c r="D101" s="1076">
        <v>12890</v>
      </c>
      <c r="E101" s="1076"/>
      <c r="F101" s="1094"/>
      <c r="H101" s="1101"/>
    </row>
    <row r="102" spans="1:8" s="1070" customFormat="1" ht="14.25" customHeight="1" thickBot="1">
      <c r="A102" s="1082" t="s">
        <v>1408</v>
      </c>
      <c r="B102" s="1076" t="s">
        <v>1322</v>
      </c>
      <c r="C102" s="1076"/>
      <c r="D102" s="1076"/>
      <c r="E102" s="1076"/>
      <c r="F102" s="1094">
        <v>3100</v>
      </c>
      <c r="H102" s="1101"/>
    </row>
    <row r="103" spans="1:8" s="1070" customFormat="1" ht="14.25" customHeight="1" thickBot="1">
      <c r="A103" s="1082" t="s">
        <v>1408</v>
      </c>
      <c r="B103" s="1076" t="s">
        <v>1329</v>
      </c>
      <c r="C103" s="1076"/>
      <c r="D103" s="1076"/>
      <c r="E103" s="1076"/>
      <c r="F103" s="1094">
        <v>2320</v>
      </c>
      <c r="H103" s="1101"/>
    </row>
    <row r="104" spans="1:8" s="1070" customFormat="1" ht="14.25" customHeight="1" thickBot="1">
      <c r="A104" s="1082" t="s">
        <v>1408</v>
      </c>
      <c r="B104" s="1076" t="s">
        <v>1334</v>
      </c>
      <c r="C104" s="1076"/>
      <c r="D104" s="1076"/>
      <c r="E104" s="1076"/>
      <c r="F104" s="1094">
        <v>2320</v>
      </c>
      <c r="H104" s="1101"/>
    </row>
    <row r="105" spans="1:8" s="1070" customFormat="1" ht="14.25" customHeight="1" thickBot="1">
      <c r="A105" s="1082" t="s">
        <v>1408</v>
      </c>
      <c r="B105" s="1076" t="s">
        <v>1338</v>
      </c>
      <c r="C105" s="1076"/>
      <c r="D105" s="1076"/>
      <c r="E105" s="1076"/>
      <c r="F105" s="1094">
        <v>2320</v>
      </c>
      <c r="H105" s="1101"/>
    </row>
    <row r="106" spans="1:8" s="1070" customFormat="1" ht="14.25" customHeight="1" thickBot="1">
      <c r="A106" s="1082" t="s">
        <v>1408</v>
      </c>
      <c r="B106" s="1076" t="s">
        <v>1343</v>
      </c>
      <c r="C106" s="1076"/>
      <c r="D106" s="1076"/>
      <c r="E106" s="1076"/>
      <c r="F106" s="1094">
        <v>2320</v>
      </c>
      <c r="H106" s="1101"/>
    </row>
    <row r="107" spans="1:8" s="1070" customFormat="1" ht="14.25" customHeight="1" thickBot="1">
      <c r="A107" s="1082" t="s">
        <v>1408</v>
      </c>
      <c r="B107" s="1076" t="s">
        <v>1348</v>
      </c>
      <c r="C107" s="1076"/>
      <c r="D107" s="1076"/>
      <c r="E107" s="1076"/>
      <c r="F107" s="1094">
        <v>2280</v>
      </c>
      <c r="H107" s="1101"/>
    </row>
    <row r="108" spans="1:8" s="1070" customFormat="1" ht="14.25" customHeight="1" thickBot="1">
      <c r="A108" s="1082" t="s">
        <v>1408</v>
      </c>
      <c r="B108" s="1076" t="s">
        <v>1353</v>
      </c>
      <c r="C108" s="1076"/>
      <c r="D108" s="1076"/>
      <c r="E108" s="1076"/>
      <c r="F108" s="1094">
        <v>2280</v>
      </c>
      <c r="H108" s="1101"/>
    </row>
    <row r="109" spans="1:8" s="1070" customFormat="1" ht="14.25" customHeight="1" thickBot="1">
      <c r="A109" s="1082" t="s">
        <v>1408</v>
      </c>
      <c r="B109" s="1092" t="s">
        <v>1358</v>
      </c>
      <c r="C109" s="1092"/>
      <c r="D109" s="1092"/>
      <c r="E109" s="1092"/>
      <c r="F109" s="1102">
        <v>2280</v>
      </c>
      <c r="H109" s="1101"/>
    </row>
    <row r="110" spans="1:8" s="1070" customFormat="1" ht="14.25" customHeight="1" thickBot="1">
      <c r="A110" s="1082" t="s">
        <v>1410</v>
      </c>
      <c r="B110" s="1083" t="s">
        <v>1411</v>
      </c>
      <c r="C110" s="1083">
        <v>10520</v>
      </c>
      <c r="D110" s="1083">
        <v>10490</v>
      </c>
      <c r="E110" s="1083">
        <v>10760</v>
      </c>
      <c r="F110" s="1084">
        <v>2160</v>
      </c>
      <c r="H110" s="1101"/>
    </row>
    <row r="111" spans="1:8" s="1070" customFormat="1" ht="14.25" customHeight="1" thickBot="1">
      <c r="A111" s="1082" t="s">
        <v>1410</v>
      </c>
      <c r="B111" s="1076" t="s">
        <v>1076</v>
      </c>
      <c r="C111" s="1076">
        <v>10090</v>
      </c>
      <c r="D111" s="1076">
        <v>10060</v>
      </c>
      <c r="E111" s="1076">
        <v>10300</v>
      </c>
      <c r="F111" s="1094">
        <v>2010</v>
      </c>
      <c r="H111" s="1101"/>
    </row>
    <row r="112" spans="1:8" s="1070" customFormat="1" ht="14.25" customHeight="1" thickBot="1">
      <c r="A112" s="1082" t="s">
        <v>1410</v>
      </c>
      <c r="B112" s="1076" t="s">
        <v>1090</v>
      </c>
      <c r="C112" s="1076">
        <v>9910</v>
      </c>
      <c r="D112" s="1076">
        <v>9850</v>
      </c>
      <c r="E112" s="1076">
        <v>9960</v>
      </c>
      <c r="F112" s="1094">
        <v>2090</v>
      </c>
      <c r="H112" s="1101"/>
    </row>
    <row r="113" spans="1:8" s="1070" customFormat="1" ht="14.25" customHeight="1" thickBot="1">
      <c r="A113" s="1082" t="s">
        <v>1410</v>
      </c>
      <c r="B113" s="1076" t="s">
        <v>1103</v>
      </c>
      <c r="C113" s="1076">
        <v>11430</v>
      </c>
      <c r="D113" s="1076">
        <v>11400</v>
      </c>
      <c r="E113" s="1076">
        <v>11710</v>
      </c>
      <c r="F113" s="1094">
        <v>2050</v>
      </c>
      <c r="H113" s="1101"/>
    </row>
    <row r="114" spans="1:8" s="1070" customFormat="1" ht="14.25" customHeight="1" thickBot="1">
      <c r="A114" s="1082" t="s">
        <v>1410</v>
      </c>
      <c r="B114" s="1076" t="s">
        <v>1117</v>
      </c>
      <c r="C114" s="1076">
        <v>11390</v>
      </c>
      <c r="D114" s="1076">
        <v>11350</v>
      </c>
      <c r="E114" s="1076">
        <v>11640</v>
      </c>
      <c r="F114" s="1094">
        <v>1620</v>
      </c>
      <c r="H114" s="1101"/>
    </row>
    <row r="115" spans="1:8" s="1070" customFormat="1" ht="14.25" customHeight="1" thickBot="1">
      <c r="A115" s="1082" t="s">
        <v>1410</v>
      </c>
      <c r="B115" s="1076" t="s">
        <v>1128</v>
      </c>
      <c r="C115" s="1076">
        <v>9930</v>
      </c>
      <c r="D115" s="1076">
        <v>9900</v>
      </c>
      <c r="E115" s="1076">
        <v>10160</v>
      </c>
      <c r="F115" s="1094">
        <v>1580</v>
      </c>
      <c r="H115" s="1101"/>
    </row>
    <row r="116" spans="1:8" s="1070" customFormat="1" ht="14.25" customHeight="1" thickBot="1">
      <c r="A116" s="1082" t="s">
        <v>1410</v>
      </c>
      <c r="B116" s="1076" t="s">
        <v>1139</v>
      </c>
      <c r="C116" s="1076">
        <v>9150</v>
      </c>
      <c r="D116" s="1076">
        <v>9120</v>
      </c>
      <c r="E116" s="1076">
        <v>9380</v>
      </c>
      <c r="F116" s="1094">
        <v>1750</v>
      </c>
      <c r="H116" s="1101"/>
    </row>
    <row r="117" spans="1:8" s="1070" customFormat="1" ht="14.25" customHeight="1" thickBot="1">
      <c r="A117" s="1082" t="s">
        <v>1410</v>
      </c>
      <c r="B117" s="1076" t="s">
        <v>1150</v>
      </c>
      <c r="C117" s="1076">
        <v>10680</v>
      </c>
      <c r="D117" s="1076">
        <v>10650</v>
      </c>
      <c r="E117" s="1076">
        <v>10970</v>
      </c>
      <c r="F117" s="1094">
        <v>1730</v>
      </c>
      <c r="H117" s="1101"/>
    </row>
    <row r="118" spans="1:8" s="1070" customFormat="1" ht="14.25" customHeight="1" thickBot="1">
      <c r="A118" s="1082" t="s">
        <v>1410</v>
      </c>
      <c r="B118" s="1076" t="s">
        <v>1162</v>
      </c>
      <c r="C118" s="1076">
        <v>10080</v>
      </c>
      <c r="D118" s="1076">
        <v>10050</v>
      </c>
      <c r="E118" s="1076">
        <v>10350</v>
      </c>
      <c r="F118" s="1094">
        <v>1920</v>
      </c>
      <c r="H118" s="1101"/>
    </row>
    <row r="119" spans="1:8" s="1070" customFormat="1" ht="14.25" customHeight="1" thickBot="1">
      <c r="A119" s="1082" t="s">
        <v>1410</v>
      </c>
      <c r="B119" s="1076" t="s">
        <v>1172</v>
      </c>
      <c r="C119" s="1076">
        <v>9450</v>
      </c>
      <c r="D119" s="1076">
        <v>9410</v>
      </c>
      <c r="E119" s="1076">
        <v>9680</v>
      </c>
      <c r="F119" s="1094">
        <v>1880</v>
      </c>
      <c r="H119" s="1101"/>
    </row>
    <row r="120" spans="1:8" s="1070" customFormat="1" ht="14.25" customHeight="1" thickBot="1">
      <c r="A120" s="1082" t="s">
        <v>1410</v>
      </c>
      <c r="B120" s="1076" t="s">
        <v>1182</v>
      </c>
      <c r="C120" s="1076">
        <v>8730</v>
      </c>
      <c r="D120" s="1076">
        <v>8700</v>
      </c>
      <c r="E120" s="1076">
        <v>8950</v>
      </c>
      <c r="F120" s="1094">
        <v>1830</v>
      </c>
      <c r="H120" s="1101"/>
    </row>
    <row r="121" spans="1:8" s="1070" customFormat="1" ht="14.25" customHeight="1" thickBot="1">
      <c r="A121" s="1082" t="s">
        <v>1410</v>
      </c>
      <c r="B121" s="1076" t="s">
        <v>1192</v>
      </c>
      <c r="C121" s="1076">
        <v>10070</v>
      </c>
      <c r="D121" s="1076">
        <v>10040</v>
      </c>
      <c r="E121" s="1076">
        <v>10270</v>
      </c>
      <c r="F121" s="1094">
        <v>1960</v>
      </c>
      <c r="H121" s="1101"/>
    </row>
    <row r="122" spans="1:8" s="1070" customFormat="1" ht="14.25" customHeight="1" thickBot="1">
      <c r="A122" s="1082" t="s">
        <v>1410</v>
      </c>
      <c r="B122" s="1076" t="s">
        <v>1202</v>
      </c>
      <c r="C122" s="1076">
        <v>10500</v>
      </c>
      <c r="D122" s="1076">
        <v>10470</v>
      </c>
      <c r="E122" s="1076">
        <v>10780</v>
      </c>
      <c r="F122" s="1094">
        <v>2180</v>
      </c>
      <c r="H122" s="1101"/>
    </row>
    <row r="123" spans="1:8" s="1070" customFormat="1" ht="14.25" customHeight="1" thickBot="1">
      <c r="A123" s="1082" t="s">
        <v>1410</v>
      </c>
      <c r="B123" s="1076" t="s">
        <v>1212</v>
      </c>
      <c r="C123" s="1076">
        <v>10390</v>
      </c>
      <c r="D123" s="1076">
        <v>10360</v>
      </c>
      <c r="E123" s="1076">
        <v>10660</v>
      </c>
      <c r="F123" s="1094">
        <v>2040</v>
      </c>
      <c r="H123" s="1101"/>
    </row>
    <row r="124" spans="1:8" s="1070" customFormat="1" ht="14.25" customHeight="1" thickBot="1">
      <c r="A124" s="1082" t="s">
        <v>1410</v>
      </c>
      <c r="B124" s="1076" t="s">
        <v>1222</v>
      </c>
      <c r="C124" s="1076">
        <v>10390</v>
      </c>
      <c r="D124" s="1076">
        <v>10360</v>
      </c>
      <c r="E124" s="1076">
        <v>10680</v>
      </c>
      <c r="F124" s="1103"/>
      <c r="H124" s="1101"/>
    </row>
    <row r="125" spans="1:8" s="1070" customFormat="1" ht="14.25" customHeight="1" thickBot="1">
      <c r="A125" s="1082" t="s">
        <v>1410</v>
      </c>
      <c r="B125" s="1076" t="s">
        <v>1232</v>
      </c>
      <c r="C125" s="1076">
        <v>10440</v>
      </c>
      <c r="D125" s="1076">
        <v>10410</v>
      </c>
      <c r="E125" s="1076">
        <v>10710</v>
      </c>
      <c r="F125" s="1103"/>
      <c r="H125" s="1101"/>
    </row>
    <row r="126" spans="1:8" s="1070" customFormat="1" ht="14.25" customHeight="1" thickBot="1">
      <c r="A126" s="1082" t="s">
        <v>1410</v>
      </c>
      <c r="B126" s="1076" t="s">
        <v>1242</v>
      </c>
      <c r="C126" s="1076">
        <v>10780</v>
      </c>
      <c r="D126" s="1076">
        <v>10750</v>
      </c>
      <c r="E126" s="1076">
        <v>11080</v>
      </c>
      <c r="F126" s="1103"/>
      <c r="H126" s="1101"/>
    </row>
    <row r="127" spans="1:8" s="1070" customFormat="1" ht="14.25" customHeight="1" thickBot="1">
      <c r="A127" s="1082" t="s">
        <v>1410</v>
      </c>
      <c r="B127" s="1076" t="s">
        <v>1252</v>
      </c>
      <c r="C127" s="1076">
        <v>10100</v>
      </c>
      <c r="D127" s="1076">
        <v>10070</v>
      </c>
      <c r="E127" s="1076">
        <v>10350</v>
      </c>
      <c r="F127" s="1103"/>
      <c r="H127" s="1101"/>
    </row>
    <row r="128" spans="1:8" s="1070" customFormat="1" ht="14.25" customHeight="1" thickBot="1">
      <c r="A128" s="1082" t="s">
        <v>1410</v>
      </c>
      <c r="B128" s="1076" t="s">
        <v>1262</v>
      </c>
      <c r="C128" s="1076">
        <v>9200</v>
      </c>
      <c r="D128" s="1076">
        <v>9160</v>
      </c>
      <c r="E128" s="1076">
        <v>9660</v>
      </c>
      <c r="F128" s="1103"/>
      <c r="H128" s="1101"/>
    </row>
    <row r="129" spans="1:8" s="1070" customFormat="1" ht="14.25" customHeight="1" thickBot="1">
      <c r="A129" s="1082" t="s">
        <v>1410</v>
      </c>
      <c r="B129" s="1076" t="s">
        <v>1271</v>
      </c>
      <c r="C129" s="1076">
        <v>10340</v>
      </c>
      <c r="D129" s="1076">
        <v>10310</v>
      </c>
      <c r="E129" s="1076">
        <v>10580</v>
      </c>
      <c r="F129" s="1103"/>
      <c r="H129" s="1101"/>
    </row>
    <row r="130" spans="1:8" s="1070" customFormat="1" ht="14.25" customHeight="1" thickBot="1">
      <c r="A130" s="1082" t="s">
        <v>1410</v>
      </c>
      <c r="B130" s="1076" t="s">
        <v>1280</v>
      </c>
      <c r="C130" s="1076">
        <v>9680</v>
      </c>
      <c r="D130" s="1076">
        <v>9660</v>
      </c>
      <c r="E130" s="1076">
        <v>9950</v>
      </c>
      <c r="F130" s="1103"/>
      <c r="H130" s="1101"/>
    </row>
    <row r="131" spans="1:8" s="1070" customFormat="1" ht="14.25" customHeight="1" thickBot="1">
      <c r="A131" s="1082" t="s">
        <v>1410</v>
      </c>
      <c r="B131" s="1076" t="s">
        <v>1288</v>
      </c>
      <c r="C131" s="1076">
        <v>9540</v>
      </c>
      <c r="D131" s="1076">
        <v>9510</v>
      </c>
      <c r="E131" s="1076">
        <v>9790</v>
      </c>
      <c r="F131" s="1103"/>
      <c r="H131" s="1101"/>
    </row>
    <row r="132" spans="1:8" s="1070" customFormat="1" ht="14.25" customHeight="1" thickBot="1">
      <c r="A132" s="1082" t="s">
        <v>1410</v>
      </c>
      <c r="B132" s="1076" t="s">
        <v>1295</v>
      </c>
      <c r="C132" s="1076">
        <v>9320</v>
      </c>
      <c r="D132" s="1076">
        <v>9290</v>
      </c>
      <c r="E132" s="1076">
        <v>9570</v>
      </c>
      <c r="F132" s="1103"/>
      <c r="H132" s="1101"/>
    </row>
    <row r="133" spans="1:8" s="1070" customFormat="1" ht="14.25" customHeight="1" thickBot="1">
      <c r="A133" s="1082" t="s">
        <v>1410</v>
      </c>
      <c r="B133" s="1076" t="s">
        <v>1302</v>
      </c>
      <c r="C133" s="1076">
        <v>10310</v>
      </c>
      <c r="D133" s="1076">
        <v>10280</v>
      </c>
      <c r="E133" s="1076">
        <v>10530</v>
      </c>
      <c r="F133" s="1103"/>
      <c r="H133" s="1101"/>
    </row>
    <row r="134" spans="1:8" s="1070" customFormat="1" ht="14.25" customHeight="1" thickBot="1">
      <c r="A134" s="1082" t="s">
        <v>1410</v>
      </c>
      <c r="B134" s="1076" t="s">
        <v>1309</v>
      </c>
      <c r="C134" s="1076">
        <v>10370</v>
      </c>
      <c r="D134" s="1076">
        <v>10310</v>
      </c>
      <c r="E134" s="1076">
        <v>10240</v>
      </c>
      <c r="F134" s="1094">
        <v>2060</v>
      </c>
      <c r="H134" s="1101"/>
    </row>
    <row r="135" spans="1:8" s="1070" customFormat="1" ht="14.25" customHeight="1" thickBot="1">
      <c r="A135" s="1082" t="s">
        <v>1410</v>
      </c>
      <c r="B135" s="1076" t="s">
        <v>1316</v>
      </c>
      <c r="C135" s="1076">
        <v>9300</v>
      </c>
      <c r="D135" s="1076">
        <v>9270</v>
      </c>
      <c r="E135" s="1076">
        <v>9350</v>
      </c>
      <c r="F135" s="1103"/>
      <c r="H135" s="1101"/>
    </row>
    <row r="136" spans="1:8" s="1070" customFormat="1" ht="14.25" customHeight="1" thickBot="1">
      <c r="A136" s="1082" t="s">
        <v>1410</v>
      </c>
      <c r="B136" s="1076" t="s">
        <v>1323</v>
      </c>
      <c r="C136" s="1076">
        <v>10160</v>
      </c>
      <c r="D136" s="1076">
        <v>10110</v>
      </c>
      <c r="E136" s="1076">
        <v>10080</v>
      </c>
      <c r="F136" s="1103"/>
      <c r="H136" s="1101"/>
    </row>
    <row r="137" spans="1:8" s="1070" customFormat="1" ht="14.25" customHeight="1" thickBot="1">
      <c r="A137" s="1082" t="s">
        <v>1410</v>
      </c>
      <c r="B137" s="1076" t="s">
        <v>1330</v>
      </c>
      <c r="C137" s="1076">
        <v>9200</v>
      </c>
      <c r="D137" s="1076">
        <v>9170</v>
      </c>
      <c r="E137" s="1076">
        <v>9450</v>
      </c>
      <c r="F137" s="1103"/>
      <c r="H137" s="1101"/>
    </row>
    <row r="138" spans="1:8" s="1070" customFormat="1" ht="14.25" customHeight="1" thickBot="1">
      <c r="A138" s="1082" t="s">
        <v>1410</v>
      </c>
      <c r="B138" s="1076" t="s">
        <v>1335</v>
      </c>
      <c r="C138" s="1076">
        <v>9690</v>
      </c>
      <c r="D138" s="1076">
        <v>9660</v>
      </c>
      <c r="E138" s="1076">
        <v>9840</v>
      </c>
      <c r="F138" s="1103"/>
      <c r="H138" s="1101"/>
    </row>
    <row r="139" spans="1:8" s="1070" customFormat="1" ht="14.25" customHeight="1" thickBot="1">
      <c r="A139" s="1082" t="s">
        <v>1410</v>
      </c>
      <c r="B139" s="1076" t="s">
        <v>1339</v>
      </c>
      <c r="C139" s="1076">
        <v>10290</v>
      </c>
      <c r="D139" s="1076">
        <v>10260</v>
      </c>
      <c r="E139" s="1076">
        <v>10550</v>
      </c>
      <c r="F139" s="1094">
        <v>1700</v>
      </c>
      <c r="H139" s="1101"/>
    </row>
    <row r="140" spans="1:8" s="1070" customFormat="1" ht="14.25" customHeight="1" thickBot="1">
      <c r="A140" s="1082" t="s">
        <v>1410</v>
      </c>
      <c r="B140" s="1076" t="s">
        <v>1344</v>
      </c>
      <c r="C140" s="1076">
        <v>9740</v>
      </c>
      <c r="D140" s="1076">
        <v>9710</v>
      </c>
      <c r="E140" s="1076">
        <v>10000</v>
      </c>
      <c r="F140" s="1094">
        <v>2000</v>
      </c>
      <c r="H140" s="1101"/>
    </row>
    <row r="141" spans="1:8" s="1070" customFormat="1" ht="14.25" customHeight="1" thickBot="1">
      <c r="A141" s="1082" t="s">
        <v>1410</v>
      </c>
      <c r="B141" s="1076" t="s">
        <v>1349</v>
      </c>
      <c r="C141" s="1076">
        <v>9810</v>
      </c>
      <c r="D141" s="1076">
        <v>9770</v>
      </c>
      <c r="E141" s="1076">
        <v>10060</v>
      </c>
      <c r="F141" s="1103"/>
      <c r="H141" s="1101"/>
    </row>
    <row r="142" spans="1:8" s="1070" customFormat="1" ht="14.25" customHeight="1" thickBot="1">
      <c r="A142" s="1082" t="s">
        <v>1410</v>
      </c>
      <c r="B142" s="1076" t="s">
        <v>1354</v>
      </c>
      <c r="C142" s="1076">
        <v>9300</v>
      </c>
      <c r="D142" s="1076">
        <v>9270</v>
      </c>
      <c r="E142" s="1076">
        <v>9530</v>
      </c>
      <c r="F142" s="1103"/>
      <c r="H142" s="1101"/>
    </row>
    <row r="143" spans="1:8" s="1070" customFormat="1" ht="14.25" customHeight="1" thickBot="1">
      <c r="A143" s="1082" t="s">
        <v>1410</v>
      </c>
      <c r="B143" s="1076" t="s">
        <v>1359</v>
      </c>
      <c r="C143" s="1076">
        <v>10080</v>
      </c>
      <c r="D143" s="1076">
        <v>10050</v>
      </c>
      <c r="E143" s="1076">
        <v>10340</v>
      </c>
      <c r="F143" s="1103"/>
      <c r="H143" s="1101"/>
    </row>
    <row r="144" spans="1:8" s="1070" customFormat="1" ht="14.25" customHeight="1" thickBot="1">
      <c r="A144" s="1082" t="s">
        <v>1410</v>
      </c>
      <c r="B144" s="1076" t="s">
        <v>1363</v>
      </c>
      <c r="C144" s="1076">
        <v>9820</v>
      </c>
      <c r="D144" s="1076">
        <v>9750</v>
      </c>
      <c r="E144" s="1076">
        <v>9900</v>
      </c>
      <c r="F144" s="1103"/>
      <c r="H144" s="1101"/>
    </row>
    <row r="145" spans="1:8" s="1070" customFormat="1" ht="14.25" customHeight="1" thickBot="1">
      <c r="A145" s="1082" t="s">
        <v>1410</v>
      </c>
      <c r="B145" s="1076" t="s">
        <v>1367</v>
      </c>
      <c r="C145" s="1076"/>
      <c r="D145" s="1076"/>
      <c r="E145" s="1076"/>
      <c r="F145" s="1094">
        <v>1740</v>
      </c>
      <c r="H145" s="1101"/>
    </row>
    <row r="146" spans="1:8" s="1070" customFormat="1" ht="14.25" customHeight="1" thickBot="1">
      <c r="A146" s="1082" t="s">
        <v>1410</v>
      </c>
      <c r="B146" s="1076" t="s">
        <v>1371</v>
      </c>
      <c r="C146" s="1076"/>
      <c r="D146" s="1076"/>
      <c r="E146" s="1076"/>
      <c r="F146" s="1094">
        <v>1740</v>
      </c>
      <c r="H146" s="1101"/>
    </row>
    <row r="147" spans="1:8" s="1070" customFormat="1" ht="14.25" customHeight="1" thickBot="1">
      <c r="A147" s="1082" t="s">
        <v>1410</v>
      </c>
      <c r="B147" s="1076" t="s">
        <v>1375</v>
      </c>
      <c r="C147" s="1076"/>
      <c r="D147" s="1076"/>
      <c r="E147" s="1076"/>
      <c r="F147" s="1094">
        <v>1740</v>
      </c>
      <c r="H147" s="1101"/>
    </row>
    <row r="148" spans="1:8" s="1070" customFormat="1" ht="14.25" customHeight="1" thickBot="1">
      <c r="A148" s="1082" t="s">
        <v>1410</v>
      </c>
      <c r="B148" s="1076" t="s">
        <v>1379</v>
      </c>
      <c r="C148" s="1076"/>
      <c r="D148" s="1076"/>
      <c r="E148" s="1076"/>
      <c r="F148" s="1094">
        <v>1740</v>
      </c>
      <c r="H148" s="1101"/>
    </row>
    <row r="149" spans="1:8" s="1070" customFormat="1" ht="14.25" customHeight="1" thickBot="1">
      <c r="A149" s="1082" t="s">
        <v>1410</v>
      </c>
      <c r="B149" s="1076" t="s">
        <v>1383</v>
      </c>
      <c r="C149" s="1076"/>
      <c r="D149" s="1076"/>
      <c r="E149" s="1076"/>
      <c r="F149" s="1094">
        <v>1740</v>
      </c>
      <c r="H149" s="1101"/>
    </row>
    <row r="150" spans="1:8" s="1070" customFormat="1" ht="14.25" customHeight="1" thickBot="1">
      <c r="A150" s="1082" t="s">
        <v>1410</v>
      </c>
      <c r="B150" s="1076" t="s">
        <v>1386</v>
      </c>
      <c r="C150" s="1076"/>
      <c r="D150" s="1076"/>
      <c r="E150" s="1076"/>
      <c r="F150" s="1094">
        <v>1610</v>
      </c>
      <c r="H150" s="1101"/>
    </row>
    <row r="151" spans="1:8" s="1070" customFormat="1" ht="14.25" customHeight="1" thickBot="1">
      <c r="A151" s="1082" t="s">
        <v>1410</v>
      </c>
      <c r="B151" s="1076" t="s">
        <v>1389</v>
      </c>
      <c r="C151" s="1076"/>
      <c r="D151" s="1076"/>
      <c r="E151" s="1076"/>
      <c r="F151" s="1094">
        <v>1610</v>
      </c>
      <c r="H151" s="1101"/>
    </row>
    <row r="152" spans="1:8" s="1070" customFormat="1" ht="14.25" customHeight="1" thickBot="1">
      <c r="A152" s="1082" t="s">
        <v>1410</v>
      </c>
      <c r="B152" s="1076" t="s">
        <v>1392</v>
      </c>
      <c r="C152" s="1076"/>
      <c r="D152" s="1076"/>
      <c r="E152" s="1076"/>
      <c r="F152" s="1094">
        <v>1610</v>
      </c>
      <c r="H152" s="1101"/>
    </row>
    <row r="153" spans="1:8" s="1070" customFormat="1" ht="14.25" customHeight="1" thickBot="1">
      <c r="A153" s="1082" t="s">
        <v>1410</v>
      </c>
      <c r="B153" s="1076" t="s">
        <v>1395</v>
      </c>
      <c r="C153" s="1076"/>
      <c r="D153" s="1076"/>
      <c r="E153" s="1076"/>
      <c r="F153" s="1094">
        <v>1610</v>
      </c>
      <c r="H153" s="1101"/>
    </row>
    <row r="154" spans="1:8" s="1070" customFormat="1" ht="14.25" customHeight="1" thickBot="1">
      <c r="A154" s="1082" t="s">
        <v>1410</v>
      </c>
      <c r="B154" s="1076" t="s">
        <v>1398</v>
      </c>
      <c r="C154" s="1076"/>
      <c r="D154" s="1076"/>
      <c r="E154" s="1076"/>
      <c r="F154" s="1094">
        <v>1610</v>
      </c>
      <c r="H154" s="1101"/>
    </row>
    <row r="155" spans="1:8" s="1070" customFormat="1" ht="14.25" customHeight="1" thickBot="1">
      <c r="A155" s="1082" t="s">
        <v>1410</v>
      </c>
      <c r="B155" s="1076" t="s">
        <v>1401</v>
      </c>
      <c r="C155" s="1076"/>
      <c r="D155" s="1076"/>
      <c r="E155" s="1076"/>
      <c r="F155" s="1094">
        <v>1800</v>
      </c>
      <c r="H155" s="1101"/>
    </row>
    <row r="156" spans="1:8" s="1070" customFormat="1" ht="14.25" customHeight="1" thickBot="1">
      <c r="A156" s="1082" t="s">
        <v>1410</v>
      </c>
      <c r="B156" s="1076" t="s">
        <v>1403</v>
      </c>
      <c r="C156" s="1076"/>
      <c r="D156" s="1076"/>
      <c r="E156" s="1076"/>
      <c r="F156" s="1094">
        <v>1910</v>
      </c>
      <c r="H156" s="1101"/>
    </row>
    <row r="157" spans="1:8" s="1070" customFormat="1" ht="14.25" customHeight="1" thickBot="1">
      <c r="A157" s="1082" t="s">
        <v>1410</v>
      </c>
      <c r="B157" s="1092" t="s">
        <v>1406</v>
      </c>
      <c r="C157" s="1092"/>
      <c r="D157" s="1092"/>
      <c r="E157" s="1092"/>
      <c r="F157" s="1102">
        <v>1500</v>
      </c>
      <c r="H157" s="1101"/>
    </row>
    <row r="158" spans="1:8" s="1070" customFormat="1" ht="14.25" customHeight="1" thickBot="1">
      <c r="A158" s="1082" t="s">
        <v>1412</v>
      </c>
      <c r="B158" s="1083" t="s">
        <v>1413</v>
      </c>
      <c r="C158" s="1083">
        <v>8170</v>
      </c>
      <c r="D158" s="1083">
        <v>8140</v>
      </c>
      <c r="E158" s="1083">
        <v>8590</v>
      </c>
      <c r="F158" s="1084">
        <v>1450</v>
      </c>
      <c r="H158" s="1101"/>
    </row>
    <row r="159" spans="1:8" s="1070" customFormat="1" ht="14.25" customHeight="1" thickBot="1">
      <c r="A159" s="1082" t="s">
        <v>1412</v>
      </c>
      <c r="B159" s="1076" t="s">
        <v>1077</v>
      </c>
      <c r="C159" s="1076">
        <v>7410</v>
      </c>
      <c r="D159" s="1076">
        <v>7370</v>
      </c>
      <c r="E159" s="1076">
        <v>8030</v>
      </c>
      <c r="F159" s="1094">
        <v>1510</v>
      </c>
      <c r="H159" s="1101"/>
    </row>
    <row r="160" spans="1:8" s="1070" customFormat="1" ht="14.25" customHeight="1" thickBot="1">
      <c r="A160" s="1082" t="s">
        <v>1412</v>
      </c>
      <c r="B160" s="1076" t="s">
        <v>1091</v>
      </c>
      <c r="C160" s="1076">
        <v>7240</v>
      </c>
      <c r="D160" s="1076">
        <v>7210</v>
      </c>
      <c r="E160" s="1076">
        <v>7860</v>
      </c>
      <c r="F160" s="1094">
        <v>1370</v>
      </c>
      <c r="H160" s="1101"/>
    </row>
    <row r="161" spans="1:8" s="1070" customFormat="1" ht="14.25" customHeight="1" thickBot="1">
      <c r="A161" s="1082" t="s">
        <v>1412</v>
      </c>
      <c r="B161" s="1076" t="s">
        <v>1104</v>
      </c>
      <c r="C161" s="1076">
        <v>7720</v>
      </c>
      <c r="D161" s="1076">
        <v>7690</v>
      </c>
      <c r="E161" s="1076">
        <v>8200</v>
      </c>
      <c r="F161" s="1094">
        <v>1190</v>
      </c>
      <c r="H161" s="1101"/>
    </row>
    <row r="162" spans="1:8" s="1070" customFormat="1" ht="14.25" customHeight="1" thickBot="1">
      <c r="A162" s="1082" t="s">
        <v>1412</v>
      </c>
      <c r="B162" s="1076" t="s">
        <v>1118</v>
      </c>
      <c r="C162" s="1076">
        <v>6900</v>
      </c>
      <c r="D162" s="1076">
        <v>6870</v>
      </c>
      <c r="E162" s="1076">
        <v>7500</v>
      </c>
      <c r="F162" s="1094">
        <v>1390</v>
      </c>
      <c r="H162" s="1101"/>
    </row>
    <row r="163" spans="1:8" s="1070" customFormat="1" ht="14.25" customHeight="1" thickBot="1">
      <c r="A163" s="1082" t="s">
        <v>1412</v>
      </c>
      <c r="B163" s="1076" t="s">
        <v>1129</v>
      </c>
      <c r="C163" s="1076">
        <v>7120</v>
      </c>
      <c r="D163" s="1076">
        <v>7090</v>
      </c>
      <c r="E163" s="1076">
        <v>7690</v>
      </c>
      <c r="F163" s="1094">
        <v>1230</v>
      </c>
      <c r="H163" s="1101"/>
    </row>
    <row r="164" spans="1:8" s="1070" customFormat="1" ht="14.25" customHeight="1" thickBot="1">
      <c r="A164" s="1082" t="s">
        <v>1412</v>
      </c>
      <c r="B164" s="1076" t="s">
        <v>1140</v>
      </c>
      <c r="C164" s="1076">
        <v>6560</v>
      </c>
      <c r="D164" s="1076">
        <v>6530</v>
      </c>
      <c r="E164" s="1076">
        <v>7110</v>
      </c>
      <c r="F164" s="1094">
        <v>1340</v>
      </c>
      <c r="H164" s="1101"/>
    </row>
    <row r="165" spans="1:8" s="1070" customFormat="1" ht="14.25" customHeight="1" thickBot="1">
      <c r="A165" s="1082" t="s">
        <v>1412</v>
      </c>
      <c r="B165" s="1076" t="s">
        <v>1151</v>
      </c>
      <c r="C165" s="1076">
        <v>7450</v>
      </c>
      <c r="D165" s="1076">
        <v>7430</v>
      </c>
      <c r="E165" s="1076">
        <v>8110</v>
      </c>
      <c r="F165" s="1094">
        <v>1290</v>
      </c>
      <c r="H165" s="1101"/>
    </row>
    <row r="166" spans="1:8" s="1070" customFormat="1" ht="14.25" customHeight="1" thickBot="1">
      <c r="A166" s="1082" t="s">
        <v>1412</v>
      </c>
      <c r="B166" s="1076" t="s">
        <v>1163</v>
      </c>
      <c r="C166" s="1076">
        <v>7490</v>
      </c>
      <c r="D166" s="1076">
        <v>7460</v>
      </c>
      <c r="E166" s="1076">
        <v>8150</v>
      </c>
      <c r="F166" s="1094">
        <v>1350</v>
      </c>
      <c r="H166" s="1101"/>
    </row>
    <row r="167" spans="1:8" s="1070" customFormat="1" ht="14.25" customHeight="1" thickBot="1">
      <c r="A167" s="1082" t="s">
        <v>1412</v>
      </c>
      <c r="B167" s="1076" t="s">
        <v>1173</v>
      </c>
      <c r="C167" s="1076">
        <v>7540</v>
      </c>
      <c r="D167" s="1076">
        <v>7510</v>
      </c>
      <c r="E167" s="1076">
        <v>8030</v>
      </c>
      <c r="F167" s="1103"/>
      <c r="H167" s="1101"/>
    </row>
    <row r="168" spans="1:8" s="1070" customFormat="1" ht="14.25" customHeight="1" thickBot="1">
      <c r="A168" s="1082" t="s">
        <v>1412</v>
      </c>
      <c r="B168" s="1076" t="s">
        <v>1183</v>
      </c>
      <c r="C168" s="1076">
        <v>7210</v>
      </c>
      <c r="D168" s="1076">
        <v>7180</v>
      </c>
      <c r="E168" s="1076">
        <v>7830</v>
      </c>
      <c r="F168" s="1103"/>
      <c r="H168" s="1101"/>
    </row>
    <row r="169" spans="1:8" s="1070" customFormat="1" ht="14.25" customHeight="1" thickBot="1">
      <c r="A169" s="1082" t="s">
        <v>1412</v>
      </c>
      <c r="B169" s="1076" t="s">
        <v>1193</v>
      </c>
      <c r="C169" s="1076">
        <v>7040</v>
      </c>
      <c r="D169" s="1076">
        <v>7020</v>
      </c>
      <c r="E169" s="1076">
        <v>7670</v>
      </c>
      <c r="F169" s="1103"/>
      <c r="H169" s="1101"/>
    </row>
    <row r="170" spans="1:8" s="1070" customFormat="1" ht="14.25" customHeight="1" thickBot="1">
      <c r="A170" s="1082" t="s">
        <v>1412</v>
      </c>
      <c r="B170" s="1076" t="s">
        <v>1203</v>
      </c>
      <c r="C170" s="1076">
        <v>8040</v>
      </c>
      <c r="D170" s="1076">
        <v>7190</v>
      </c>
      <c r="E170" s="1076">
        <v>7850</v>
      </c>
      <c r="F170" s="1103"/>
      <c r="H170" s="1101"/>
    </row>
    <row r="171" spans="1:8" s="1070" customFormat="1" ht="14.25" customHeight="1" thickBot="1">
      <c r="A171" s="1082" t="s">
        <v>1412</v>
      </c>
      <c r="B171" s="1076" t="s">
        <v>1213</v>
      </c>
      <c r="C171" s="1076">
        <v>7860</v>
      </c>
      <c r="D171" s="1076">
        <v>7720</v>
      </c>
      <c r="E171" s="1076">
        <v>8150</v>
      </c>
      <c r="F171" s="1094">
        <v>1110</v>
      </c>
      <c r="H171" s="1101"/>
    </row>
    <row r="172" spans="1:8" s="1070" customFormat="1" ht="14.25" customHeight="1" thickBot="1">
      <c r="A172" s="1082" t="s">
        <v>1412</v>
      </c>
      <c r="B172" s="1076" t="s">
        <v>1223</v>
      </c>
      <c r="C172" s="1076">
        <v>7210</v>
      </c>
      <c r="D172" s="1076">
        <v>7170</v>
      </c>
      <c r="E172" s="1076">
        <v>7320</v>
      </c>
      <c r="F172" s="1103"/>
      <c r="H172" s="1101"/>
    </row>
    <row r="173" spans="1:8" s="1070" customFormat="1" ht="14.25" customHeight="1" thickBot="1">
      <c r="A173" s="1082" t="s">
        <v>1412</v>
      </c>
      <c r="B173" s="1076" t="s">
        <v>1233</v>
      </c>
      <c r="C173" s="1076">
        <v>6860</v>
      </c>
      <c r="D173" s="1076">
        <v>6810</v>
      </c>
      <c r="E173" s="1076">
        <v>7440</v>
      </c>
      <c r="F173" s="1103"/>
      <c r="H173" s="1101"/>
    </row>
    <row r="174" spans="1:8" s="1070" customFormat="1" ht="14.25" customHeight="1" thickBot="1">
      <c r="A174" s="1082" t="s">
        <v>1412</v>
      </c>
      <c r="B174" s="1076" t="s">
        <v>1243</v>
      </c>
      <c r="C174" s="1076">
        <v>7120</v>
      </c>
      <c r="D174" s="1076">
        <v>7090</v>
      </c>
      <c r="E174" s="1076">
        <v>7500</v>
      </c>
      <c r="F174" s="1094">
        <v>1490</v>
      </c>
      <c r="H174" s="1101"/>
    </row>
    <row r="175" spans="1:8" s="1070" customFormat="1" ht="14.25" customHeight="1" thickBot="1">
      <c r="A175" s="1082" t="s">
        <v>1412</v>
      </c>
      <c r="B175" s="1076" t="s">
        <v>1253</v>
      </c>
      <c r="C175" s="1076">
        <v>7850</v>
      </c>
      <c r="D175" s="1076">
        <v>7820</v>
      </c>
      <c r="E175" s="1076">
        <v>8120</v>
      </c>
      <c r="F175" s="1094">
        <v>1530</v>
      </c>
      <c r="H175" s="1101"/>
    </row>
    <row r="176" spans="1:8" s="1070" customFormat="1" ht="14.25" customHeight="1" thickBot="1">
      <c r="A176" s="1082" t="s">
        <v>1412</v>
      </c>
      <c r="B176" s="1076" t="s">
        <v>1263</v>
      </c>
      <c r="C176" s="1076">
        <v>7620</v>
      </c>
      <c r="D176" s="1076">
        <v>7570</v>
      </c>
      <c r="E176" s="1076">
        <v>7990</v>
      </c>
      <c r="F176" s="1094">
        <v>1480</v>
      </c>
      <c r="H176" s="1101"/>
    </row>
    <row r="177" spans="1:8" s="1070" customFormat="1" ht="14.25" customHeight="1" thickBot="1">
      <c r="A177" s="1082" t="s">
        <v>1412</v>
      </c>
      <c r="B177" s="1076" t="s">
        <v>1272</v>
      </c>
      <c r="C177" s="1076">
        <v>8590</v>
      </c>
      <c r="D177" s="1076">
        <v>8570</v>
      </c>
      <c r="E177" s="1076">
        <v>8740</v>
      </c>
      <c r="F177" s="1094">
        <v>1540</v>
      </c>
      <c r="H177" s="1101"/>
    </row>
    <row r="178" spans="1:8" s="1070" customFormat="1" ht="14.25" customHeight="1" thickBot="1">
      <c r="A178" s="1082" t="s">
        <v>1412</v>
      </c>
      <c r="B178" s="1076" t="s">
        <v>1281</v>
      </c>
      <c r="C178" s="1076">
        <v>7510</v>
      </c>
      <c r="D178" s="1076">
        <v>7470</v>
      </c>
      <c r="E178" s="1076">
        <v>8090</v>
      </c>
      <c r="F178" s="1094">
        <v>1320</v>
      </c>
      <c r="H178" s="1101"/>
    </row>
    <row r="179" spans="1:8" s="1070" customFormat="1" ht="14.25" customHeight="1" thickBot="1">
      <c r="A179" s="1082" t="s">
        <v>1412</v>
      </c>
      <c r="B179" s="1076" t="s">
        <v>1289</v>
      </c>
      <c r="C179" s="1076">
        <v>6380</v>
      </c>
      <c r="D179" s="1076">
        <v>6340</v>
      </c>
      <c r="E179" s="1076">
        <v>6810</v>
      </c>
      <c r="F179" s="1103"/>
      <c r="H179" s="1101"/>
    </row>
    <row r="180" spans="1:8" s="1070" customFormat="1" ht="14.25" customHeight="1" thickBot="1">
      <c r="A180" s="1082" t="s">
        <v>1412</v>
      </c>
      <c r="B180" s="1076" t="s">
        <v>1296</v>
      </c>
      <c r="C180" s="1076">
        <v>7830</v>
      </c>
      <c r="D180" s="1076">
        <v>7800</v>
      </c>
      <c r="E180" s="1076">
        <v>7780</v>
      </c>
      <c r="F180" s="1094">
        <v>1440</v>
      </c>
      <c r="H180" s="1101"/>
    </row>
    <row r="181" spans="1:8" s="1070" customFormat="1" ht="14.25" customHeight="1" thickBot="1">
      <c r="A181" s="1082" t="s">
        <v>1412</v>
      </c>
      <c r="B181" s="1076" t="s">
        <v>1303</v>
      </c>
      <c r="C181" s="1076">
        <v>7110</v>
      </c>
      <c r="D181" s="1076">
        <v>7080</v>
      </c>
      <c r="E181" s="1076">
        <v>7730</v>
      </c>
      <c r="F181" s="1094">
        <v>1350</v>
      </c>
      <c r="H181" s="1101"/>
    </row>
    <row r="182" spans="1:8" s="1070" customFormat="1" ht="14.25" customHeight="1" thickBot="1">
      <c r="A182" s="1082" t="s">
        <v>1412</v>
      </c>
      <c r="B182" s="1076" t="s">
        <v>1310</v>
      </c>
      <c r="C182" s="1076">
        <v>7310</v>
      </c>
      <c r="D182" s="1076">
        <v>7280</v>
      </c>
      <c r="E182" s="1076">
        <v>7950</v>
      </c>
      <c r="F182" s="1094">
        <v>1220</v>
      </c>
      <c r="H182" s="1101"/>
    </row>
    <row r="183" spans="1:8" s="1070" customFormat="1" ht="14.25" customHeight="1" thickBot="1">
      <c r="A183" s="1082" t="s">
        <v>1412</v>
      </c>
      <c r="B183" s="1076" t="s">
        <v>1317</v>
      </c>
      <c r="C183" s="1076">
        <v>7470</v>
      </c>
      <c r="D183" s="1076">
        <v>7440</v>
      </c>
      <c r="E183" s="1076">
        <v>7880</v>
      </c>
      <c r="F183" s="1103"/>
      <c r="H183" s="1101"/>
    </row>
    <row r="184" spans="1:8" s="1070" customFormat="1" ht="14.25" customHeight="1" thickBot="1">
      <c r="A184" s="1082" t="s">
        <v>1412</v>
      </c>
      <c r="B184" s="1076" t="s">
        <v>1324</v>
      </c>
      <c r="C184" s="1076">
        <v>6960</v>
      </c>
      <c r="D184" s="1076">
        <v>6930</v>
      </c>
      <c r="E184" s="1076">
        <v>7570</v>
      </c>
      <c r="F184" s="1103"/>
      <c r="H184" s="1101"/>
    </row>
    <row r="185" spans="1:8" s="1070" customFormat="1" ht="14.25" customHeight="1" thickBot="1">
      <c r="A185" s="1082" t="s">
        <v>1412</v>
      </c>
      <c r="B185" s="1076" t="s">
        <v>1331</v>
      </c>
      <c r="C185" s="1076">
        <v>7260</v>
      </c>
      <c r="D185" s="1076">
        <v>7230</v>
      </c>
      <c r="E185" s="1076">
        <v>7710</v>
      </c>
      <c r="F185" s="1094">
        <v>1360</v>
      </c>
      <c r="H185" s="1101"/>
    </row>
    <row r="186" spans="1:8" s="1070" customFormat="1" ht="14.25" customHeight="1" thickBot="1">
      <c r="A186" s="1082" t="s">
        <v>1412</v>
      </c>
      <c r="B186" s="1076" t="s">
        <v>1336</v>
      </c>
      <c r="C186" s="1076"/>
      <c r="D186" s="1076"/>
      <c r="E186" s="1076"/>
      <c r="F186" s="1094">
        <v>1560</v>
      </c>
      <c r="H186" s="1101"/>
    </row>
    <row r="187" spans="1:8" s="1070" customFormat="1" ht="14.25" customHeight="1" thickBot="1">
      <c r="A187" s="1082" t="s">
        <v>1412</v>
      </c>
      <c r="B187" s="1076" t="s">
        <v>1340</v>
      </c>
      <c r="C187" s="1076"/>
      <c r="D187" s="1076"/>
      <c r="E187" s="1076"/>
      <c r="F187" s="1094">
        <v>1560</v>
      </c>
      <c r="H187" s="1101"/>
    </row>
    <row r="188" spans="1:8" s="1070" customFormat="1" ht="14.25" customHeight="1" thickBot="1">
      <c r="A188" s="1082" t="s">
        <v>1412</v>
      </c>
      <c r="B188" s="1076" t="s">
        <v>1345</v>
      </c>
      <c r="C188" s="1076"/>
      <c r="D188" s="1076"/>
      <c r="E188" s="1076"/>
      <c r="F188" s="1094">
        <v>1560</v>
      </c>
      <c r="H188" s="1101"/>
    </row>
    <row r="189" spans="1:8" s="1070" customFormat="1" ht="14.25" customHeight="1" thickBot="1">
      <c r="A189" s="1082" t="s">
        <v>1412</v>
      </c>
      <c r="B189" s="1076" t="s">
        <v>1350</v>
      </c>
      <c r="C189" s="1076"/>
      <c r="D189" s="1076"/>
      <c r="E189" s="1076"/>
      <c r="F189" s="1094">
        <v>1320</v>
      </c>
      <c r="H189" s="1101"/>
    </row>
    <row r="190" spans="1:8" s="1070" customFormat="1" ht="14.25" customHeight="1" thickBot="1">
      <c r="A190" s="1082" t="s">
        <v>1412</v>
      </c>
      <c r="B190" s="1076" t="s">
        <v>1355</v>
      </c>
      <c r="C190" s="1076"/>
      <c r="D190" s="1076"/>
      <c r="E190" s="1076"/>
      <c r="F190" s="1094">
        <v>1320</v>
      </c>
      <c r="H190" s="1101"/>
    </row>
    <row r="191" spans="1:8" s="1070" customFormat="1" ht="14.25" customHeight="1" thickBot="1">
      <c r="A191" s="1082" t="s">
        <v>1412</v>
      </c>
      <c r="B191" s="1076" t="s">
        <v>1360</v>
      </c>
      <c r="C191" s="1076"/>
      <c r="D191" s="1076"/>
      <c r="E191" s="1076"/>
      <c r="F191" s="1094">
        <v>1320</v>
      </c>
      <c r="H191" s="1101"/>
    </row>
    <row r="192" spans="1:8" s="1070" customFormat="1" ht="14.25" customHeight="1" thickBot="1">
      <c r="A192" s="1082" t="s">
        <v>1412</v>
      </c>
      <c r="B192" s="1076" t="s">
        <v>1364</v>
      </c>
      <c r="C192" s="1076"/>
      <c r="D192" s="1076"/>
      <c r="E192" s="1076"/>
      <c r="F192" s="1094">
        <v>1100</v>
      </c>
      <c r="H192" s="1101"/>
    </row>
    <row r="193" spans="1:8" s="1070" customFormat="1" ht="14.25" customHeight="1" thickBot="1">
      <c r="A193" s="1082" t="s">
        <v>1412</v>
      </c>
      <c r="B193" s="1076" t="s">
        <v>1368</v>
      </c>
      <c r="C193" s="1076"/>
      <c r="D193" s="1076"/>
      <c r="E193" s="1076"/>
      <c r="F193" s="1094">
        <v>1100</v>
      </c>
      <c r="H193" s="1101"/>
    </row>
    <row r="194" spans="1:8" s="1070" customFormat="1" ht="14.25" customHeight="1" thickBot="1">
      <c r="A194" s="1082" t="s">
        <v>1412</v>
      </c>
      <c r="B194" s="1076" t="s">
        <v>1372</v>
      </c>
      <c r="C194" s="1076"/>
      <c r="D194" s="1076"/>
      <c r="E194" s="1076"/>
      <c r="F194" s="1094">
        <v>1080</v>
      </c>
      <c r="H194" s="1101"/>
    </row>
    <row r="195" spans="1:8" s="1070" customFormat="1" ht="14.25" customHeight="1" thickBot="1">
      <c r="A195" s="1082" t="s">
        <v>1412</v>
      </c>
      <c r="B195" s="1076" t="s">
        <v>1376</v>
      </c>
      <c r="C195" s="1076"/>
      <c r="D195" s="1076"/>
      <c r="E195" s="1076"/>
      <c r="F195" s="1094">
        <v>1270</v>
      </c>
      <c r="H195" s="1101"/>
    </row>
    <row r="196" spans="1:8" s="1070" customFormat="1" ht="14.25" customHeight="1" thickBot="1">
      <c r="A196" s="1082" t="s">
        <v>1412</v>
      </c>
      <c r="B196" s="1076" t="s">
        <v>1380</v>
      </c>
      <c r="C196" s="1076"/>
      <c r="D196" s="1076"/>
      <c r="E196" s="1076"/>
      <c r="F196" s="1094">
        <v>1150</v>
      </c>
      <c r="H196" s="1101"/>
    </row>
    <row r="197" spans="1:8" s="1070" customFormat="1" ht="14.25" customHeight="1" thickBot="1">
      <c r="A197" s="1082" t="s">
        <v>1412</v>
      </c>
      <c r="B197" s="1076" t="s">
        <v>1384</v>
      </c>
      <c r="C197" s="1076"/>
      <c r="D197" s="1076"/>
      <c r="E197" s="1076"/>
      <c r="F197" s="1094">
        <v>1330</v>
      </c>
      <c r="H197" s="1101"/>
    </row>
    <row r="198" spans="1:8" s="1070" customFormat="1" ht="14.25" customHeight="1" thickBot="1">
      <c r="A198" s="1082" t="s">
        <v>1412</v>
      </c>
      <c r="B198" s="1076" t="s">
        <v>1387</v>
      </c>
      <c r="C198" s="1076"/>
      <c r="D198" s="1076"/>
      <c r="E198" s="1076"/>
      <c r="F198" s="1094">
        <v>1170</v>
      </c>
      <c r="H198" s="1101"/>
    </row>
    <row r="199" spans="1:8" s="1070" customFormat="1" ht="14.25" customHeight="1" thickBot="1">
      <c r="A199" s="1082" t="s">
        <v>1412</v>
      </c>
      <c r="B199" s="1076" t="s">
        <v>1390</v>
      </c>
      <c r="C199" s="1076"/>
      <c r="D199" s="1076"/>
      <c r="E199" s="1076"/>
      <c r="F199" s="1094">
        <v>1120</v>
      </c>
      <c r="H199" s="1101"/>
    </row>
    <row r="200" spans="1:8" s="1070" customFormat="1" ht="14.25" customHeight="1" thickBot="1">
      <c r="A200" s="1082" t="s">
        <v>1412</v>
      </c>
      <c r="B200" s="1076" t="s">
        <v>1393</v>
      </c>
      <c r="C200" s="1076"/>
      <c r="D200" s="1076"/>
      <c r="E200" s="1076"/>
      <c r="F200" s="1094">
        <v>1120</v>
      </c>
      <c r="H200" s="1101"/>
    </row>
    <row r="201" spans="1:8" s="1070" customFormat="1" ht="14.25" customHeight="1" thickBot="1">
      <c r="A201" s="1082" t="s">
        <v>1412</v>
      </c>
      <c r="B201" s="1076" t="s">
        <v>1396</v>
      </c>
      <c r="C201" s="1076"/>
      <c r="D201" s="1076"/>
      <c r="E201" s="1076"/>
      <c r="F201" s="1094">
        <v>1540</v>
      </c>
      <c r="H201" s="1101"/>
    </row>
    <row r="202" spans="1:8" s="1070" customFormat="1" ht="14.25" customHeight="1" thickBot="1">
      <c r="A202" s="1082" t="s">
        <v>1412</v>
      </c>
      <c r="B202" s="1076" t="s">
        <v>1399</v>
      </c>
      <c r="C202" s="1076"/>
      <c r="D202" s="1076"/>
      <c r="E202" s="1076"/>
      <c r="F202" s="1094">
        <v>1310</v>
      </c>
      <c r="H202" s="1101"/>
    </row>
    <row r="203" spans="1:8" s="1070" customFormat="1" ht="14.25" customHeight="1" thickBot="1">
      <c r="A203" s="1082" t="s">
        <v>1412</v>
      </c>
      <c r="B203" s="1076" t="s">
        <v>1402</v>
      </c>
      <c r="C203" s="1076"/>
      <c r="D203" s="1076"/>
      <c r="E203" s="1076"/>
      <c r="F203" s="1094">
        <v>1310</v>
      </c>
      <c r="H203" s="1101"/>
    </row>
    <row r="204" spans="1:8" s="1070" customFormat="1" ht="14.25" customHeight="1" thickBot="1">
      <c r="A204" s="1082" t="s">
        <v>1412</v>
      </c>
      <c r="B204" s="1076" t="s">
        <v>1404</v>
      </c>
      <c r="C204" s="1076"/>
      <c r="D204" s="1076"/>
      <c r="E204" s="1076"/>
      <c r="F204" s="1094">
        <v>1080</v>
      </c>
      <c r="H204" s="1101"/>
    </row>
    <row r="205" spans="1:8" s="1070" customFormat="1" ht="14.25" customHeight="1" thickBot="1">
      <c r="A205" s="1082" t="s">
        <v>1412</v>
      </c>
      <c r="B205" s="1076" t="s">
        <v>1407</v>
      </c>
      <c r="C205" s="1076"/>
      <c r="D205" s="1076"/>
      <c r="E205" s="1076"/>
      <c r="F205" s="1094">
        <v>1080</v>
      </c>
      <c r="H205" s="1101"/>
    </row>
    <row r="206" spans="1:8" s="1070" customFormat="1" ht="14.25" customHeight="1" thickBot="1">
      <c r="A206" s="1082" t="s">
        <v>1414</v>
      </c>
      <c r="B206" s="1083" t="s">
        <v>1415</v>
      </c>
      <c r="C206" s="1083">
        <v>5450</v>
      </c>
      <c r="D206" s="1083">
        <v>5430</v>
      </c>
      <c r="E206" s="1083">
        <v>5700</v>
      </c>
      <c r="F206" s="1084">
        <v>1020</v>
      </c>
      <c r="H206" s="1101"/>
    </row>
    <row r="207" spans="1:8" s="1070" customFormat="1" ht="14.25" customHeight="1" thickBot="1">
      <c r="A207" s="1082" t="s">
        <v>1414</v>
      </c>
      <c r="B207" s="1076" t="s">
        <v>1078</v>
      </c>
      <c r="C207" s="1076">
        <v>5860</v>
      </c>
      <c r="D207" s="1076">
        <v>5820</v>
      </c>
      <c r="E207" s="1076">
        <v>6050</v>
      </c>
      <c r="F207" s="1094">
        <v>1080</v>
      </c>
      <c r="H207" s="1101"/>
    </row>
    <row r="208" spans="1:8" s="1070" customFormat="1" ht="14.25" customHeight="1" thickBot="1">
      <c r="A208" s="1082" t="s">
        <v>1414</v>
      </c>
      <c r="B208" s="1076" t="s">
        <v>1092</v>
      </c>
      <c r="C208" s="1076">
        <v>4630</v>
      </c>
      <c r="D208" s="1076">
        <v>4600</v>
      </c>
      <c r="E208" s="1076">
        <v>4840</v>
      </c>
      <c r="F208" s="1094">
        <v>900</v>
      </c>
      <c r="H208" s="1101"/>
    </row>
    <row r="209" spans="1:8" s="1070" customFormat="1" ht="14.25" customHeight="1" thickBot="1">
      <c r="A209" s="1082" t="s">
        <v>1414</v>
      </c>
      <c r="B209" s="1076" t="s">
        <v>1105</v>
      </c>
      <c r="C209" s="1076">
        <v>5320</v>
      </c>
      <c r="D209" s="1076">
        <v>5270</v>
      </c>
      <c r="E209" s="1076">
        <v>5540</v>
      </c>
      <c r="F209" s="1094">
        <v>980</v>
      </c>
      <c r="H209" s="1101"/>
    </row>
    <row r="210" spans="1:8" s="1070" customFormat="1" ht="14.25" customHeight="1" thickBot="1">
      <c r="A210" s="1082" t="s">
        <v>1414</v>
      </c>
      <c r="B210" s="1076" t="s">
        <v>1119</v>
      </c>
      <c r="C210" s="1076">
        <v>5760</v>
      </c>
      <c r="D210" s="1076">
        <v>5710</v>
      </c>
      <c r="E210" s="1076">
        <v>6010</v>
      </c>
      <c r="F210" s="1094">
        <v>870</v>
      </c>
      <c r="H210" s="1101"/>
    </row>
    <row r="211" spans="1:8" s="1070" customFormat="1" ht="14.25" customHeight="1" thickBot="1">
      <c r="A211" s="1082" t="s">
        <v>1414</v>
      </c>
      <c r="B211" s="1076" t="s">
        <v>1130</v>
      </c>
      <c r="C211" s="1076">
        <v>4160</v>
      </c>
      <c r="D211" s="1076">
        <v>4100</v>
      </c>
      <c r="E211" s="1076">
        <v>4270</v>
      </c>
      <c r="F211" s="1094">
        <v>790</v>
      </c>
      <c r="H211" s="1101"/>
    </row>
    <row r="212" spans="1:8" s="1070" customFormat="1" ht="14.25" customHeight="1" thickBot="1">
      <c r="A212" s="1082" t="s">
        <v>1414</v>
      </c>
      <c r="B212" s="1076" t="s">
        <v>1141</v>
      </c>
      <c r="C212" s="1076">
        <v>4880</v>
      </c>
      <c r="D212" s="1076">
        <v>4850</v>
      </c>
      <c r="E212" s="1076">
        <v>5110</v>
      </c>
      <c r="F212" s="1094">
        <v>940</v>
      </c>
      <c r="H212" s="1101"/>
    </row>
    <row r="213" spans="1:8" s="1070" customFormat="1" ht="14.25" customHeight="1" thickBot="1">
      <c r="A213" s="1082" t="s">
        <v>1414</v>
      </c>
      <c r="B213" s="1076" t="s">
        <v>1152</v>
      </c>
      <c r="C213" s="1076">
        <v>4640</v>
      </c>
      <c r="D213" s="1076">
        <v>4590</v>
      </c>
      <c r="E213" s="1076">
        <v>4700</v>
      </c>
      <c r="F213" s="1094">
        <v>1030</v>
      </c>
      <c r="H213" s="1101"/>
    </row>
    <row r="214" spans="1:8" s="1070" customFormat="1" ht="14.25" customHeight="1" thickBot="1">
      <c r="A214" s="1082" t="s">
        <v>1414</v>
      </c>
      <c r="B214" s="1076" t="s">
        <v>1164</v>
      </c>
      <c r="C214" s="1076">
        <v>4540</v>
      </c>
      <c r="D214" s="1076">
        <v>4490</v>
      </c>
      <c r="E214" s="1076">
        <v>4610</v>
      </c>
      <c r="F214" s="1103"/>
      <c r="H214" s="1101"/>
    </row>
    <row r="215" spans="1:8" s="1070" customFormat="1" ht="14.25" customHeight="1" thickBot="1">
      <c r="A215" s="1082" t="s">
        <v>1414</v>
      </c>
      <c r="B215" s="1076" t="s">
        <v>1174</v>
      </c>
      <c r="C215" s="1076">
        <v>5280</v>
      </c>
      <c r="D215" s="1076">
        <v>5250</v>
      </c>
      <c r="E215" s="1076">
        <v>5520</v>
      </c>
      <c r="F215" s="1094">
        <v>1000</v>
      </c>
      <c r="H215" s="1101"/>
    </row>
    <row r="216" spans="1:8" s="1070" customFormat="1" ht="14.25" customHeight="1" thickBot="1">
      <c r="A216" s="1082" t="s">
        <v>1414</v>
      </c>
      <c r="B216" s="1076" t="s">
        <v>1184</v>
      </c>
      <c r="C216" s="1076">
        <v>5100</v>
      </c>
      <c r="D216" s="1076">
        <v>5050</v>
      </c>
      <c r="E216" s="1076">
        <v>5300</v>
      </c>
      <c r="F216" s="1094">
        <v>950</v>
      </c>
      <c r="H216" s="1101"/>
    </row>
    <row r="217" spans="1:8" s="1070" customFormat="1" ht="14.25" customHeight="1" thickBot="1">
      <c r="A217" s="1082" t="s">
        <v>1414</v>
      </c>
      <c r="B217" s="1076" t="s">
        <v>1194</v>
      </c>
      <c r="C217" s="1076">
        <v>5370</v>
      </c>
      <c r="D217" s="1076">
        <v>5320</v>
      </c>
      <c r="E217" s="1076">
        <v>5410</v>
      </c>
      <c r="F217" s="1094">
        <v>950</v>
      </c>
      <c r="H217" s="1101"/>
    </row>
    <row r="218" spans="1:8" s="1070" customFormat="1" ht="14.25" customHeight="1" thickBot="1">
      <c r="A218" s="1082" t="s">
        <v>1414</v>
      </c>
      <c r="B218" s="1076" t="s">
        <v>1204</v>
      </c>
      <c r="C218" s="1076">
        <v>5540</v>
      </c>
      <c r="D218" s="1076">
        <v>5480</v>
      </c>
      <c r="E218" s="1076">
        <v>5740</v>
      </c>
      <c r="F218" s="1094">
        <v>1020</v>
      </c>
      <c r="H218" s="1101"/>
    </row>
    <row r="219" spans="1:8" s="1070" customFormat="1" ht="14.25" customHeight="1" thickBot="1">
      <c r="A219" s="1082" t="s">
        <v>1414</v>
      </c>
      <c r="B219" s="1076" t="s">
        <v>1214</v>
      </c>
      <c r="C219" s="1076">
        <v>5140</v>
      </c>
      <c r="D219" s="1076">
        <v>5100</v>
      </c>
      <c r="E219" s="1076">
        <v>5350</v>
      </c>
      <c r="F219" s="1094">
        <v>1120</v>
      </c>
      <c r="H219" s="1101"/>
    </row>
    <row r="220" spans="1:8" s="1070" customFormat="1" ht="14.25" customHeight="1" thickBot="1">
      <c r="A220" s="1082" t="s">
        <v>1414</v>
      </c>
      <c r="B220" s="1076" t="s">
        <v>1224</v>
      </c>
      <c r="C220" s="1076">
        <v>5040</v>
      </c>
      <c r="D220" s="1076">
        <v>5000</v>
      </c>
      <c r="E220" s="1076">
        <v>5240</v>
      </c>
      <c r="F220" s="1094">
        <v>980</v>
      </c>
      <c r="H220" s="1101"/>
    </row>
    <row r="221" spans="1:8" s="1070" customFormat="1" ht="14.25" customHeight="1" thickBot="1">
      <c r="A221" s="1082" t="s">
        <v>1414</v>
      </c>
      <c r="B221" s="1076" t="s">
        <v>1234</v>
      </c>
      <c r="C221" s="1104"/>
      <c r="D221" s="1104"/>
      <c r="E221" s="1104"/>
      <c r="F221" s="1094">
        <v>1070</v>
      </c>
      <c r="H221" s="1101"/>
    </row>
    <row r="222" spans="1:8" s="1070" customFormat="1" ht="14.25" customHeight="1" thickBot="1">
      <c r="A222" s="1082" t="s">
        <v>1414</v>
      </c>
      <c r="B222" s="1076" t="s">
        <v>1244</v>
      </c>
      <c r="C222" s="1104"/>
      <c r="D222" s="1104"/>
      <c r="E222" s="1104"/>
      <c r="F222" s="1094">
        <v>870</v>
      </c>
      <c r="H222" s="1101"/>
    </row>
    <row r="223" spans="1:8" s="1070" customFormat="1" ht="14.25" customHeight="1" thickBot="1">
      <c r="A223" s="1082" t="s">
        <v>1414</v>
      </c>
      <c r="B223" s="1076" t="s">
        <v>1254</v>
      </c>
      <c r="C223" s="1104"/>
      <c r="D223" s="1104"/>
      <c r="E223" s="1104"/>
      <c r="F223" s="1094">
        <v>940</v>
      </c>
      <c r="H223" s="1101"/>
    </row>
    <row r="224" spans="1:8" s="1070" customFormat="1" ht="14.25" customHeight="1" thickBot="1">
      <c r="A224" s="1082" t="s">
        <v>1414</v>
      </c>
      <c r="B224" s="1076" t="s">
        <v>1264</v>
      </c>
      <c r="C224" s="1104"/>
      <c r="D224" s="1104"/>
      <c r="E224" s="1104"/>
      <c r="F224" s="1094">
        <v>990</v>
      </c>
      <c r="H224" s="1101"/>
    </row>
    <row r="225" spans="1:8" s="1070" customFormat="1" ht="14.25" customHeight="1" thickBot="1">
      <c r="A225" s="1082" t="s">
        <v>1414</v>
      </c>
      <c r="B225" s="1076" t="s">
        <v>1273</v>
      </c>
      <c r="C225" s="1076">
        <v>5730</v>
      </c>
      <c r="D225" s="1076">
        <v>5680</v>
      </c>
      <c r="E225" s="1076">
        <v>6020</v>
      </c>
      <c r="F225" s="1094">
        <v>1000</v>
      </c>
      <c r="H225" s="1101"/>
    </row>
    <row r="226" spans="1:8" s="1070" customFormat="1" ht="14.25" customHeight="1" thickBot="1">
      <c r="A226" s="1082" t="s">
        <v>1414</v>
      </c>
      <c r="B226" s="1076" t="s">
        <v>1282</v>
      </c>
      <c r="C226" s="1076">
        <v>4970</v>
      </c>
      <c r="D226" s="1076">
        <v>4940</v>
      </c>
      <c r="E226" s="1076">
        <v>5180</v>
      </c>
      <c r="F226" s="1094">
        <v>960</v>
      </c>
      <c r="H226" s="1101"/>
    </row>
    <row r="227" spans="1:8" s="1070" customFormat="1" ht="14.25" customHeight="1" thickBot="1">
      <c r="A227" s="1082" t="s">
        <v>1414</v>
      </c>
      <c r="B227" s="1076" t="s">
        <v>1290</v>
      </c>
      <c r="C227" s="1076">
        <v>5550</v>
      </c>
      <c r="D227" s="1076">
        <v>5500</v>
      </c>
      <c r="E227" s="1076">
        <v>5780</v>
      </c>
      <c r="F227" s="1094">
        <v>940</v>
      </c>
      <c r="H227" s="1101"/>
    </row>
    <row r="228" spans="1:8" s="1070" customFormat="1" ht="14.25" customHeight="1" thickBot="1">
      <c r="A228" s="1082" t="s">
        <v>1414</v>
      </c>
      <c r="B228" s="1076" t="s">
        <v>1297</v>
      </c>
      <c r="C228" s="1076">
        <v>5460</v>
      </c>
      <c r="D228" s="1076">
        <v>5420</v>
      </c>
      <c r="E228" s="1076">
        <v>5690</v>
      </c>
      <c r="F228" s="1094">
        <v>910</v>
      </c>
      <c r="H228" s="1101"/>
    </row>
    <row r="229" spans="1:8" s="1070" customFormat="1" ht="14.25" customHeight="1" thickBot="1">
      <c r="A229" s="1082" t="s">
        <v>1414</v>
      </c>
      <c r="B229" s="1076" t="s">
        <v>1304</v>
      </c>
      <c r="C229" s="1076">
        <v>5310</v>
      </c>
      <c r="D229" s="1076">
        <v>5270</v>
      </c>
      <c r="E229" s="1076">
        <v>5510</v>
      </c>
      <c r="F229" s="1103"/>
      <c r="H229" s="1101"/>
    </row>
    <row r="230" spans="1:8" s="1070" customFormat="1" ht="14.25" customHeight="1" thickBot="1">
      <c r="A230" s="1082" t="s">
        <v>1414</v>
      </c>
      <c r="B230" s="1076" t="s">
        <v>1311</v>
      </c>
      <c r="C230" s="1076">
        <v>4540</v>
      </c>
      <c r="D230" s="1076">
        <v>4500</v>
      </c>
      <c r="E230" s="1076">
        <v>4730</v>
      </c>
      <c r="F230" s="1103"/>
      <c r="H230" s="1101"/>
    </row>
    <row r="231" spans="1:8" s="1070" customFormat="1" ht="14.25" customHeight="1" thickBot="1">
      <c r="A231" s="1082" t="s">
        <v>1414</v>
      </c>
      <c r="B231" s="1076" t="s">
        <v>1318</v>
      </c>
      <c r="C231" s="1076">
        <v>4480</v>
      </c>
      <c r="D231" s="1076">
        <v>4410</v>
      </c>
      <c r="E231" s="1076">
        <v>4640</v>
      </c>
      <c r="F231" s="1103"/>
      <c r="H231" s="1101"/>
    </row>
    <row r="232" spans="1:8" s="1070" customFormat="1" ht="14.25" customHeight="1" thickBot="1">
      <c r="A232" s="1082" t="s">
        <v>1414</v>
      </c>
      <c r="B232" s="1076" t="s">
        <v>1325</v>
      </c>
      <c r="C232" s="1076">
        <v>5670</v>
      </c>
      <c r="D232" s="1076">
        <v>5600</v>
      </c>
      <c r="E232" s="1076">
        <v>5890</v>
      </c>
      <c r="F232" s="1094">
        <v>1150</v>
      </c>
      <c r="H232" s="1101"/>
    </row>
    <row r="233" spans="1:8" s="1070" customFormat="1" ht="14.25" customHeight="1" thickBot="1">
      <c r="A233" s="1082" t="s">
        <v>1414</v>
      </c>
      <c r="B233" s="1076" t="s">
        <v>1332</v>
      </c>
      <c r="C233" s="1076">
        <v>4590</v>
      </c>
      <c r="D233" s="1076">
        <v>4500</v>
      </c>
      <c r="E233" s="1076">
        <v>4600</v>
      </c>
      <c r="F233" s="1103"/>
      <c r="H233" s="1101"/>
    </row>
    <row r="234" spans="1:8" s="1070" customFormat="1" ht="14.25" customHeight="1" thickBot="1">
      <c r="A234" s="1082" t="s">
        <v>1414</v>
      </c>
      <c r="B234" s="1076" t="s">
        <v>2425</v>
      </c>
      <c r="C234" s="1076">
        <v>3990</v>
      </c>
      <c r="D234" s="1076">
        <v>3950</v>
      </c>
      <c r="E234" s="1076">
        <v>4180</v>
      </c>
      <c r="F234" s="1103"/>
      <c r="H234" s="1101"/>
    </row>
    <row r="235" spans="1:8" s="1070" customFormat="1" ht="14.25" customHeight="1" thickBot="1">
      <c r="A235" s="1082" t="s">
        <v>1414</v>
      </c>
      <c r="B235" s="1076" t="s">
        <v>1341</v>
      </c>
      <c r="C235" s="1076">
        <v>5590</v>
      </c>
      <c r="D235" s="1076">
        <v>5540</v>
      </c>
      <c r="E235" s="1076">
        <v>5810</v>
      </c>
      <c r="F235" s="1094">
        <v>970</v>
      </c>
      <c r="H235" s="1101"/>
    </row>
    <row r="236" spans="1:8" s="1070" customFormat="1" ht="14.25" customHeight="1" thickBot="1">
      <c r="A236" s="1082" t="s">
        <v>1414</v>
      </c>
      <c r="B236" s="1076" t="s">
        <v>1346</v>
      </c>
      <c r="C236" s="1076"/>
      <c r="D236" s="1076"/>
      <c r="E236" s="1076"/>
      <c r="F236" s="1094">
        <v>1020</v>
      </c>
      <c r="H236" s="1101"/>
    </row>
    <row r="237" spans="1:8" s="1070" customFormat="1" ht="14.25" customHeight="1" thickBot="1">
      <c r="A237" s="1082" t="s">
        <v>1414</v>
      </c>
      <c r="B237" s="1076" t="s">
        <v>1351</v>
      </c>
      <c r="C237" s="1076"/>
      <c r="D237" s="1076"/>
      <c r="E237" s="1076"/>
      <c r="F237" s="1094">
        <v>960</v>
      </c>
      <c r="H237" s="1101"/>
    </row>
    <row r="238" spans="1:8" s="1070" customFormat="1" ht="14.25" customHeight="1" thickBot="1">
      <c r="A238" s="1082" t="s">
        <v>1414</v>
      </c>
      <c r="B238" s="1076" t="s">
        <v>1356</v>
      </c>
      <c r="C238" s="1076"/>
      <c r="D238" s="1076"/>
      <c r="E238" s="1076"/>
      <c r="F238" s="1094">
        <v>960</v>
      </c>
      <c r="H238" s="1101"/>
    </row>
    <row r="239" spans="1:8" s="1070" customFormat="1" ht="14.25" customHeight="1" thickBot="1">
      <c r="A239" s="1082" t="s">
        <v>1414</v>
      </c>
      <c r="B239" s="1076" t="s">
        <v>1361</v>
      </c>
      <c r="C239" s="1076"/>
      <c r="D239" s="1076"/>
      <c r="E239" s="1076"/>
      <c r="F239" s="1094">
        <v>960</v>
      </c>
      <c r="H239" s="1101"/>
    </row>
    <row r="240" spans="1:8" s="1070" customFormat="1" ht="14.25" customHeight="1" thickBot="1">
      <c r="A240" s="1082" t="s">
        <v>1414</v>
      </c>
      <c r="B240" s="1076" t="s">
        <v>1365</v>
      </c>
      <c r="C240" s="1076"/>
      <c r="D240" s="1076"/>
      <c r="E240" s="1076"/>
      <c r="F240" s="1094">
        <v>990</v>
      </c>
      <c r="H240" s="1101"/>
    </row>
    <row r="241" spans="1:8" s="1070" customFormat="1" ht="14.25" customHeight="1" thickBot="1">
      <c r="A241" s="1082" t="s">
        <v>1414</v>
      </c>
      <c r="B241" s="1076" t="s">
        <v>1369</v>
      </c>
      <c r="C241" s="1076"/>
      <c r="D241" s="1076"/>
      <c r="E241" s="1076"/>
      <c r="F241" s="1094">
        <v>1000</v>
      </c>
      <c r="H241" s="1101"/>
    </row>
    <row r="242" spans="1:8" s="1070" customFormat="1" ht="14.25" customHeight="1" thickBot="1">
      <c r="A242" s="1082" t="s">
        <v>1414</v>
      </c>
      <c r="B242" s="1076" t="s">
        <v>1373</v>
      </c>
      <c r="C242" s="1076"/>
      <c r="D242" s="1076"/>
      <c r="E242" s="1076"/>
      <c r="F242" s="1094">
        <v>980</v>
      </c>
      <c r="H242" s="1101"/>
    </row>
    <row r="243" spans="1:8" s="1070" customFormat="1" ht="14.25" customHeight="1" thickBot="1">
      <c r="A243" s="1082" t="s">
        <v>1414</v>
      </c>
      <c r="B243" s="1076" t="s">
        <v>1377</v>
      </c>
      <c r="C243" s="1076"/>
      <c r="D243" s="1076"/>
      <c r="E243" s="1076"/>
      <c r="F243" s="1094">
        <v>970</v>
      </c>
      <c r="H243" s="1101"/>
    </row>
    <row r="244" spans="1:8" s="1070" customFormat="1" ht="14.25" customHeight="1" thickBot="1">
      <c r="A244" s="1082" t="s">
        <v>1414</v>
      </c>
      <c r="B244" s="1092" t="s">
        <v>1381</v>
      </c>
      <c r="C244" s="1092"/>
      <c r="D244" s="1092"/>
      <c r="E244" s="1092"/>
      <c r="F244" s="1102">
        <v>970</v>
      </c>
      <c r="H244" s="1101"/>
    </row>
    <row r="245" spans="1:8" s="1070" customFormat="1" ht="14.25" customHeight="1" thickBot="1">
      <c r="A245" s="1082" t="s">
        <v>1416</v>
      </c>
      <c r="B245" s="1083" t="s">
        <v>1417</v>
      </c>
      <c r="C245" s="1083">
        <v>4050</v>
      </c>
      <c r="D245" s="1083">
        <v>4020</v>
      </c>
      <c r="E245" s="1083">
        <v>4160</v>
      </c>
      <c r="F245" s="1084">
        <v>840</v>
      </c>
      <c r="H245" s="1101"/>
    </row>
    <row r="246" spans="1:8" s="1070" customFormat="1" ht="14.25" customHeight="1" thickBot="1">
      <c r="A246" s="1082" t="s">
        <v>1416</v>
      </c>
      <c r="B246" s="1076" t="s">
        <v>1079</v>
      </c>
      <c r="C246" s="1076">
        <v>4010</v>
      </c>
      <c r="D246" s="1076">
        <v>3960</v>
      </c>
      <c r="E246" s="1076">
        <v>4130</v>
      </c>
      <c r="F246" s="1094">
        <v>840</v>
      </c>
      <c r="H246" s="1101"/>
    </row>
    <row r="247" spans="1:8" s="1070" customFormat="1" ht="14.25" customHeight="1" thickBot="1">
      <c r="A247" s="1082" t="s">
        <v>1416</v>
      </c>
      <c r="B247" s="1076" t="s">
        <v>1418</v>
      </c>
      <c r="C247" s="1076">
        <v>3170</v>
      </c>
      <c r="D247" s="1076">
        <v>3140</v>
      </c>
      <c r="E247" s="1076">
        <v>3270</v>
      </c>
      <c r="F247" s="1094">
        <v>640</v>
      </c>
      <c r="H247" s="1101"/>
    </row>
    <row r="248" spans="1:8" s="1070" customFormat="1" ht="14.25" customHeight="1" thickBot="1">
      <c r="A248" s="1082" t="s">
        <v>1416</v>
      </c>
      <c r="B248" s="1076" t="s">
        <v>1419</v>
      </c>
      <c r="C248" s="1076">
        <v>3140</v>
      </c>
      <c r="D248" s="1076">
        <v>3120</v>
      </c>
      <c r="E248" s="1076">
        <v>3240</v>
      </c>
      <c r="F248" s="1094">
        <v>620</v>
      </c>
      <c r="H248" s="1101"/>
    </row>
    <row r="249" spans="1:8" s="1070" customFormat="1" ht="14.25" customHeight="1" thickBot="1">
      <c r="A249" s="1082" t="s">
        <v>1416</v>
      </c>
      <c r="B249" s="1076" t="s">
        <v>1120</v>
      </c>
      <c r="C249" s="1076">
        <v>3200</v>
      </c>
      <c r="D249" s="1076">
        <v>3100</v>
      </c>
      <c r="E249" s="1076">
        <v>3230</v>
      </c>
      <c r="F249" s="1094">
        <v>750</v>
      </c>
      <c r="H249" s="1101"/>
    </row>
    <row r="250" spans="1:8" s="1070" customFormat="1" ht="14.25" customHeight="1" thickBot="1">
      <c r="A250" s="1082" t="s">
        <v>1416</v>
      </c>
      <c r="B250" s="1076" t="s">
        <v>1131</v>
      </c>
      <c r="C250" s="1076">
        <v>4060</v>
      </c>
      <c r="D250" s="1076">
        <v>4000</v>
      </c>
      <c r="E250" s="1076">
        <v>4140</v>
      </c>
      <c r="F250" s="1094">
        <v>790</v>
      </c>
      <c r="H250" s="1101"/>
    </row>
    <row r="251" spans="1:8" s="1070" customFormat="1" ht="14.25" customHeight="1" thickBot="1">
      <c r="A251" s="1082" t="s">
        <v>1416</v>
      </c>
      <c r="B251" s="1076" t="s">
        <v>1142</v>
      </c>
      <c r="C251" s="1076">
        <v>3990</v>
      </c>
      <c r="D251" s="1076">
        <v>3970</v>
      </c>
      <c r="E251" s="1076">
        <v>4110</v>
      </c>
      <c r="F251" s="1094">
        <v>730</v>
      </c>
      <c r="H251" s="1101"/>
    </row>
    <row r="252" spans="1:8" s="1070" customFormat="1" ht="14.25" customHeight="1" thickBot="1">
      <c r="A252" s="1082" t="s">
        <v>1416</v>
      </c>
      <c r="B252" s="1076" t="s">
        <v>1153</v>
      </c>
      <c r="C252" s="1076">
        <v>3560</v>
      </c>
      <c r="D252" s="1076">
        <v>3530</v>
      </c>
      <c r="E252" s="1076">
        <v>3650</v>
      </c>
      <c r="F252" s="1094">
        <v>750</v>
      </c>
      <c r="H252" s="1101"/>
    </row>
    <row r="253" spans="1:8" s="1070" customFormat="1" ht="14.25" customHeight="1" thickBot="1">
      <c r="A253" s="1082" t="s">
        <v>1416</v>
      </c>
      <c r="B253" s="1076" t="s">
        <v>1165</v>
      </c>
      <c r="C253" s="1076">
        <v>3780</v>
      </c>
      <c r="D253" s="1076">
        <v>3750</v>
      </c>
      <c r="E253" s="1076">
        <v>3870</v>
      </c>
      <c r="F253" s="1094">
        <v>770</v>
      </c>
      <c r="H253" s="1101"/>
    </row>
    <row r="254" spans="1:8" s="1070" customFormat="1" ht="14.25" customHeight="1" thickBot="1">
      <c r="A254" s="1082" t="s">
        <v>1416</v>
      </c>
      <c r="B254" s="1076" t="s">
        <v>1175</v>
      </c>
      <c r="C254" s="1104"/>
      <c r="D254" s="1104"/>
      <c r="E254" s="1104"/>
      <c r="F254" s="1094">
        <v>740</v>
      </c>
      <c r="H254" s="1101"/>
    </row>
    <row r="255" spans="1:8" s="1070" customFormat="1" ht="14.25" customHeight="1" thickBot="1">
      <c r="A255" s="1082" t="s">
        <v>1416</v>
      </c>
      <c r="B255" s="1076" t="s">
        <v>1185</v>
      </c>
      <c r="C255" s="1104"/>
      <c r="D255" s="1104"/>
      <c r="E255" s="1104"/>
      <c r="F255" s="1094">
        <v>760</v>
      </c>
      <c r="H255" s="1101"/>
    </row>
    <row r="256" spans="1:8" s="1070" customFormat="1" ht="14.25" customHeight="1" thickBot="1">
      <c r="A256" s="1082" t="s">
        <v>1416</v>
      </c>
      <c r="B256" s="1076" t="s">
        <v>1195</v>
      </c>
      <c r="C256" s="1076">
        <v>3760</v>
      </c>
      <c r="D256" s="1076">
        <v>3730</v>
      </c>
      <c r="E256" s="1076">
        <v>3870</v>
      </c>
      <c r="F256" s="1094">
        <v>830</v>
      </c>
      <c r="H256" s="1101"/>
    </row>
    <row r="257" spans="1:8" s="1070" customFormat="1" ht="14.25" customHeight="1" thickBot="1">
      <c r="A257" s="1082" t="s">
        <v>1416</v>
      </c>
      <c r="B257" s="1076" t="s">
        <v>1205</v>
      </c>
      <c r="C257" s="1076">
        <v>3570</v>
      </c>
      <c r="D257" s="1076">
        <v>3540</v>
      </c>
      <c r="E257" s="1076">
        <v>3650</v>
      </c>
      <c r="F257" s="1094">
        <v>790</v>
      </c>
      <c r="H257" s="1101"/>
    </row>
    <row r="258" spans="1:8" s="1070" customFormat="1" ht="14.25" customHeight="1" thickBot="1">
      <c r="A258" s="1082" t="s">
        <v>1416</v>
      </c>
      <c r="B258" s="1076" t="s">
        <v>1215</v>
      </c>
      <c r="C258" s="1076">
        <v>3410</v>
      </c>
      <c r="D258" s="1076">
        <v>3380</v>
      </c>
      <c r="E258" s="1076">
        <v>3500</v>
      </c>
      <c r="F258" s="1094">
        <v>830</v>
      </c>
      <c r="H258" s="1101"/>
    </row>
    <row r="259" spans="1:8" s="1070" customFormat="1" ht="14.25" customHeight="1" thickBot="1">
      <c r="A259" s="1082" t="s">
        <v>1416</v>
      </c>
      <c r="B259" s="1076" t="s">
        <v>1225</v>
      </c>
      <c r="C259" s="1076">
        <v>3870</v>
      </c>
      <c r="D259" s="1076">
        <v>3840</v>
      </c>
      <c r="E259" s="1076">
        <v>3970</v>
      </c>
      <c r="F259" s="1094">
        <v>830</v>
      </c>
      <c r="H259" s="1101"/>
    </row>
    <row r="260" spans="1:8" s="1070" customFormat="1" ht="14.25" customHeight="1" thickBot="1">
      <c r="A260" s="1082" t="s">
        <v>1416</v>
      </c>
      <c r="B260" s="1076" t="s">
        <v>1235</v>
      </c>
      <c r="C260" s="1076">
        <v>3700</v>
      </c>
      <c r="D260" s="1076">
        <v>3660</v>
      </c>
      <c r="E260" s="1076">
        <v>3810</v>
      </c>
      <c r="F260" s="1094">
        <v>790</v>
      </c>
      <c r="H260" s="1101"/>
    </row>
    <row r="261" spans="1:8" s="1070" customFormat="1" ht="14.25" customHeight="1" thickBot="1">
      <c r="A261" s="1082" t="s">
        <v>1416</v>
      </c>
      <c r="B261" s="1076" t="s">
        <v>1245</v>
      </c>
      <c r="C261" s="1076">
        <v>3470</v>
      </c>
      <c r="D261" s="1076">
        <v>3430</v>
      </c>
      <c r="E261" s="1076">
        <v>3640</v>
      </c>
      <c r="F261" s="1094">
        <v>760</v>
      </c>
      <c r="H261" s="1101"/>
    </row>
    <row r="262" spans="1:8" s="1070" customFormat="1" ht="14.25" customHeight="1" thickBot="1">
      <c r="A262" s="1082" t="s">
        <v>1416</v>
      </c>
      <c r="B262" s="1076" t="s">
        <v>1255</v>
      </c>
      <c r="C262" s="1076">
        <v>3510</v>
      </c>
      <c r="D262" s="1076">
        <v>3470</v>
      </c>
      <c r="E262" s="1076">
        <v>3680</v>
      </c>
      <c r="F262" s="1103"/>
      <c r="H262" s="1101"/>
    </row>
    <row r="263" spans="1:8" s="1070" customFormat="1" ht="14.25" customHeight="1" thickBot="1">
      <c r="A263" s="1082" t="s">
        <v>1416</v>
      </c>
      <c r="B263" s="1076" t="s">
        <v>1265</v>
      </c>
      <c r="C263" s="1076">
        <v>3960</v>
      </c>
      <c r="D263" s="1076">
        <v>3930</v>
      </c>
      <c r="E263" s="1076">
        <v>4070</v>
      </c>
      <c r="F263" s="1094">
        <v>830</v>
      </c>
      <c r="H263" s="1101"/>
    </row>
    <row r="264" spans="1:8" s="1070" customFormat="1" ht="14.25" customHeight="1" thickBot="1">
      <c r="A264" s="1082" t="s">
        <v>1416</v>
      </c>
      <c r="B264" s="1076" t="s">
        <v>1274</v>
      </c>
      <c r="C264" s="1076">
        <v>4010</v>
      </c>
      <c r="D264" s="1076">
        <v>3980</v>
      </c>
      <c r="E264" s="1076">
        <v>4150</v>
      </c>
      <c r="F264" s="1094">
        <v>760</v>
      </c>
      <c r="H264" s="1101"/>
    </row>
    <row r="265" spans="1:8" s="1070" customFormat="1" ht="14.25" customHeight="1" thickBot="1">
      <c r="A265" s="1082" t="s">
        <v>1416</v>
      </c>
      <c r="B265" s="1076" t="s">
        <v>1283</v>
      </c>
      <c r="C265" s="1076">
        <v>3910</v>
      </c>
      <c r="D265" s="1076">
        <v>3890</v>
      </c>
      <c r="E265" s="1076">
        <v>4040</v>
      </c>
      <c r="F265" s="1094">
        <v>780</v>
      </c>
      <c r="H265" s="1101"/>
    </row>
    <row r="266" spans="1:8" s="1070" customFormat="1" ht="14.25" customHeight="1" thickBot="1">
      <c r="A266" s="1082" t="s">
        <v>1416</v>
      </c>
      <c r="B266" s="1076" t="s">
        <v>1291</v>
      </c>
      <c r="C266" s="1076">
        <v>3930</v>
      </c>
      <c r="D266" s="1076">
        <v>3900</v>
      </c>
      <c r="E266" s="1076">
        <v>4080</v>
      </c>
      <c r="F266" s="1094">
        <v>770</v>
      </c>
      <c r="H266" s="1101"/>
    </row>
    <row r="267" spans="1:8" s="1070" customFormat="1" ht="14.25" customHeight="1" thickBot="1">
      <c r="A267" s="1082" t="s">
        <v>1416</v>
      </c>
      <c r="B267" s="1076" t="s">
        <v>1298</v>
      </c>
      <c r="C267" s="1076">
        <v>3800</v>
      </c>
      <c r="D267" s="1076">
        <v>3780</v>
      </c>
      <c r="E267" s="1076">
        <v>3930</v>
      </c>
      <c r="F267" s="1103"/>
      <c r="H267" s="1101"/>
    </row>
    <row r="268" spans="1:8" s="1070" customFormat="1" ht="14.25" customHeight="1" thickBot="1">
      <c r="A268" s="1082" t="s">
        <v>1416</v>
      </c>
      <c r="B268" s="1076" t="s">
        <v>1305</v>
      </c>
      <c r="C268" s="1076">
        <v>3460</v>
      </c>
      <c r="D268" s="1076">
        <v>3430</v>
      </c>
      <c r="E268" s="1076">
        <v>3560</v>
      </c>
      <c r="F268" s="1094">
        <v>840</v>
      </c>
      <c r="H268" s="1101"/>
    </row>
    <row r="269" spans="1:8" s="1070" customFormat="1" ht="14.25" customHeight="1" thickBot="1">
      <c r="A269" s="1082" t="s">
        <v>1416</v>
      </c>
      <c r="B269" s="1076" t="s">
        <v>1312</v>
      </c>
      <c r="C269" s="1076">
        <v>3210</v>
      </c>
      <c r="D269" s="1076">
        <v>3190</v>
      </c>
      <c r="E269" s="1076">
        <v>3310</v>
      </c>
      <c r="F269" s="1094">
        <v>730</v>
      </c>
      <c r="H269" s="1101"/>
    </row>
    <row r="270" spans="1:8" s="1070" customFormat="1" ht="14.25" customHeight="1" thickBot="1">
      <c r="A270" s="1082" t="s">
        <v>1416</v>
      </c>
      <c r="B270" s="1076" t="s">
        <v>1319</v>
      </c>
      <c r="C270" s="1076">
        <v>3240</v>
      </c>
      <c r="D270" s="1076">
        <v>3210</v>
      </c>
      <c r="E270" s="1076">
        <v>3390</v>
      </c>
      <c r="F270" s="1094">
        <v>820</v>
      </c>
      <c r="H270" s="1101"/>
    </row>
    <row r="271" spans="1:8" s="1070" customFormat="1" ht="14.25" customHeight="1" thickBot="1">
      <c r="A271" s="1082" t="s">
        <v>1416</v>
      </c>
      <c r="B271" s="1076" t="s">
        <v>1326</v>
      </c>
      <c r="C271" s="1076">
        <v>3300</v>
      </c>
      <c r="D271" s="1076">
        <v>3270</v>
      </c>
      <c r="E271" s="1076">
        <v>3380</v>
      </c>
      <c r="F271" s="1094">
        <v>750</v>
      </c>
      <c r="H271" s="1101"/>
    </row>
    <row r="272" spans="1:8" s="1070" customFormat="1" ht="14.25" customHeight="1" thickBot="1">
      <c r="A272" s="1082" t="s">
        <v>1416</v>
      </c>
      <c r="B272" s="1076" t="s">
        <v>1333</v>
      </c>
      <c r="C272" s="1104"/>
      <c r="D272" s="1104"/>
      <c r="E272" s="1104"/>
      <c r="F272" s="1094">
        <v>740</v>
      </c>
      <c r="H272" s="1101"/>
    </row>
    <row r="273" spans="1:8" s="1070" customFormat="1" ht="14.25" customHeight="1" thickBot="1">
      <c r="A273" s="1082" t="s">
        <v>1416</v>
      </c>
      <c r="B273" s="1076" t="s">
        <v>1337</v>
      </c>
      <c r="C273" s="1076">
        <v>3130</v>
      </c>
      <c r="D273" s="1076">
        <v>3100</v>
      </c>
      <c r="E273" s="1076">
        <v>3230</v>
      </c>
      <c r="F273" s="1094">
        <v>700</v>
      </c>
      <c r="H273" s="1101"/>
    </row>
    <row r="274" spans="1:8" s="1070" customFormat="1" ht="14.25" customHeight="1" thickBot="1">
      <c r="A274" s="1082" t="s">
        <v>1416</v>
      </c>
      <c r="B274" s="1076" t="s">
        <v>1342</v>
      </c>
      <c r="C274" s="1076">
        <v>3460</v>
      </c>
      <c r="D274" s="1076">
        <v>3430</v>
      </c>
      <c r="E274" s="1076">
        <v>3560</v>
      </c>
      <c r="F274" s="1094">
        <v>690</v>
      </c>
      <c r="H274" s="1101"/>
    </row>
    <row r="275" spans="1:8" s="1070" customFormat="1" ht="14.25" customHeight="1" thickBot="1">
      <c r="A275" s="1082" t="s">
        <v>1416</v>
      </c>
      <c r="B275" s="1076" t="s">
        <v>1347</v>
      </c>
      <c r="C275" s="1076">
        <v>4040</v>
      </c>
      <c r="D275" s="1076">
        <v>4020</v>
      </c>
      <c r="E275" s="1076">
        <v>4160</v>
      </c>
      <c r="F275" s="1094">
        <v>820</v>
      </c>
      <c r="H275" s="1101"/>
    </row>
    <row r="276" spans="1:8" s="1070" customFormat="1" ht="14.25" customHeight="1" thickBot="1">
      <c r="A276" s="1082" t="s">
        <v>1416</v>
      </c>
      <c r="B276" s="1076" t="s">
        <v>1352</v>
      </c>
      <c r="C276" s="1076">
        <v>3270</v>
      </c>
      <c r="D276" s="1076">
        <v>3240</v>
      </c>
      <c r="E276" s="1076">
        <v>3350</v>
      </c>
      <c r="F276" s="1094">
        <v>680</v>
      </c>
      <c r="H276" s="1101"/>
    </row>
    <row r="277" spans="1:8" s="1070" customFormat="1" ht="14.25" customHeight="1" thickBot="1">
      <c r="A277" s="1082" t="s">
        <v>1416</v>
      </c>
      <c r="B277" s="1076" t="s">
        <v>1357</v>
      </c>
      <c r="C277" s="1076">
        <v>2930</v>
      </c>
      <c r="D277" s="1076">
        <v>2900</v>
      </c>
      <c r="E277" s="1076">
        <v>3000</v>
      </c>
      <c r="F277" s="1094">
        <v>640</v>
      </c>
      <c r="H277" s="1101"/>
    </row>
    <row r="278" spans="1:8" s="1070" customFormat="1" ht="14.25" customHeight="1" thickBot="1">
      <c r="A278" s="1082" t="s">
        <v>1416</v>
      </c>
      <c r="B278" s="1076" t="s">
        <v>1362</v>
      </c>
      <c r="C278" s="1076">
        <v>4080</v>
      </c>
      <c r="D278" s="1076">
        <v>4030</v>
      </c>
      <c r="E278" s="1076">
        <v>4140</v>
      </c>
      <c r="F278" s="1094">
        <v>850</v>
      </c>
      <c r="H278" s="1101"/>
    </row>
    <row r="279" spans="1:8" s="1070" customFormat="1" ht="14.25" customHeight="1" thickBot="1">
      <c r="A279" s="1082" t="s">
        <v>1416</v>
      </c>
      <c r="B279" s="1076" t="s">
        <v>1366</v>
      </c>
      <c r="C279" s="1076"/>
      <c r="D279" s="1076"/>
      <c r="E279" s="1076"/>
      <c r="F279" s="1094">
        <v>760</v>
      </c>
      <c r="H279" s="1101"/>
    </row>
    <row r="280" spans="1:8" s="1070" customFormat="1" ht="14.25" customHeight="1" thickBot="1">
      <c r="A280" s="1082" t="s">
        <v>1416</v>
      </c>
      <c r="B280" s="1076" t="s">
        <v>1370</v>
      </c>
      <c r="C280" s="1076"/>
      <c r="D280" s="1076"/>
      <c r="E280" s="1076"/>
      <c r="F280" s="1094">
        <v>760</v>
      </c>
      <c r="H280" s="1101"/>
    </row>
    <row r="281" spans="1:8" s="1070" customFormat="1" ht="14.25" customHeight="1" thickBot="1">
      <c r="A281" s="1082" t="s">
        <v>1416</v>
      </c>
      <c r="B281" s="1076" t="s">
        <v>1374</v>
      </c>
      <c r="C281" s="1076"/>
      <c r="D281" s="1076"/>
      <c r="E281" s="1076"/>
      <c r="F281" s="1094">
        <v>780</v>
      </c>
      <c r="H281" s="1101"/>
    </row>
    <row r="282" spans="1:8" s="1070" customFormat="1" ht="14.25" customHeight="1" thickBot="1">
      <c r="A282" s="1082" t="s">
        <v>1416</v>
      </c>
      <c r="B282" s="1076" t="s">
        <v>1378</v>
      </c>
      <c r="C282" s="1076"/>
      <c r="D282" s="1076"/>
      <c r="E282" s="1076"/>
      <c r="F282" s="1094">
        <v>730</v>
      </c>
      <c r="H282" s="1101"/>
    </row>
    <row r="283" spans="1:8" s="1070" customFormat="1" ht="14.25" customHeight="1" thickBot="1">
      <c r="A283" s="1082" t="s">
        <v>1416</v>
      </c>
      <c r="B283" s="1076" t="s">
        <v>1382</v>
      </c>
      <c r="C283" s="1076"/>
      <c r="D283" s="1076"/>
      <c r="E283" s="1076"/>
      <c r="F283" s="1094">
        <v>770</v>
      </c>
      <c r="H283" s="1101"/>
    </row>
    <row r="284" spans="1:8" s="1070" customFormat="1" ht="14.25" customHeight="1" thickBot="1">
      <c r="A284" s="1082" t="s">
        <v>1416</v>
      </c>
      <c r="B284" s="1076" t="s">
        <v>1385</v>
      </c>
      <c r="C284" s="1076"/>
      <c r="D284" s="1076"/>
      <c r="E284" s="1076"/>
      <c r="F284" s="1094">
        <v>640</v>
      </c>
      <c r="H284" s="1101"/>
    </row>
    <row r="285" spans="1:8" s="1070" customFormat="1" ht="14.25" customHeight="1" thickBot="1">
      <c r="A285" s="1082" t="s">
        <v>1416</v>
      </c>
      <c r="B285" s="1076" t="s">
        <v>1388</v>
      </c>
      <c r="C285" s="1076"/>
      <c r="D285" s="1076"/>
      <c r="E285" s="1076"/>
      <c r="F285" s="1094">
        <v>640</v>
      </c>
      <c r="H285" s="1101"/>
    </row>
    <row r="286" spans="1:8" s="1070" customFormat="1" ht="14.25" customHeight="1" thickBot="1">
      <c r="A286" s="1082" t="s">
        <v>1416</v>
      </c>
      <c r="B286" s="1076" t="s">
        <v>1391</v>
      </c>
      <c r="C286" s="1076"/>
      <c r="D286" s="1076"/>
      <c r="E286" s="1076"/>
      <c r="F286" s="1094">
        <v>850</v>
      </c>
      <c r="H286" s="1101"/>
    </row>
    <row r="287" spans="1:8" s="1070" customFormat="1" ht="14.25" customHeight="1" thickBot="1">
      <c r="A287" s="1082" t="s">
        <v>1416</v>
      </c>
      <c r="B287" s="1076" t="s">
        <v>1394</v>
      </c>
      <c r="C287" s="1076"/>
      <c r="D287" s="1076"/>
      <c r="E287" s="1076"/>
      <c r="F287" s="1094">
        <v>760</v>
      </c>
      <c r="H287" s="1101"/>
    </row>
    <row r="288" spans="1:8" s="1070" customFormat="1" ht="14.25" customHeight="1" thickBot="1">
      <c r="A288" s="1082" t="s">
        <v>1416</v>
      </c>
      <c r="B288" s="1076" t="s">
        <v>1397</v>
      </c>
      <c r="C288" s="1076"/>
      <c r="D288" s="1076"/>
      <c r="E288" s="1076"/>
      <c r="F288" s="1094">
        <v>830</v>
      </c>
      <c r="H288" s="1101"/>
    </row>
    <row r="289" spans="1:8" s="1070" customFormat="1" ht="14.25" customHeight="1" thickBot="1">
      <c r="A289" s="1082" t="s">
        <v>1416</v>
      </c>
      <c r="B289" s="1092" t="s">
        <v>1400</v>
      </c>
      <c r="C289" s="1092"/>
      <c r="D289" s="1092"/>
      <c r="E289" s="1092"/>
      <c r="F289" s="1102">
        <v>680</v>
      </c>
      <c r="H289" s="1101"/>
    </row>
    <row r="290" spans="1:8" s="1070" customFormat="1" ht="14.25" customHeight="1" thickBot="1">
      <c r="A290" s="1082" t="s">
        <v>1420</v>
      </c>
      <c r="B290" s="1083" t="s">
        <v>1421</v>
      </c>
      <c r="C290" s="1083">
        <v>2770</v>
      </c>
      <c r="D290" s="1083">
        <v>2740</v>
      </c>
      <c r="E290" s="1083">
        <v>2720</v>
      </c>
      <c r="F290" s="1105"/>
      <c r="H290" s="1101"/>
    </row>
    <row r="291" spans="1:8" s="1070" customFormat="1" ht="14.25" customHeight="1" thickBot="1">
      <c r="A291" s="1082" t="s">
        <v>1420</v>
      </c>
      <c r="B291" s="1076" t="s">
        <v>1080</v>
      </c>
      <c r="C291" s="1076">
        <v>2670</v>
      </c>
      <c r="D291" s="1076">
        <v>2640</v>
      </c>
      <c r="E291" s="1076">
        <v>2620</v>
      </c>
      <c r="F291" s="1103"/>
      <c r="H291" s="1101"/>
    </row>
    <row r="292" spans="1:8" s="1070" customFormat="1" ht="14.25" customHeight="1" thickBot="1">
      <c r="A292" s="1082" t="s">
        <v>1420</v>
      </c>
      <c r="B292" s="1076" t="s">
        <v>1422</v>
      </c>
      <c r="C292" s="1076">
        <v>2180</v>
      </c>
      <c r="D292" s="1076">
        <v>2140</v>
      </c>
      <c r="E292" s="1076">
        <v>2120</v>
      </c>
      <c r="F292" s="1094">
        <v>490</v>
      </c>
      <c r="H292" s="1101"/>
    </row>
    <row r="293" spans="1:8" s="1070" customFormat="1" ht="14.25" customHeight="1" thickBot="1">
      <c r="A293" s="1082" t="s">
        <v>1420</v>
      </c>
      <c r="B293" s="1076" t="s">
        <v>1423</v>
      </c>
      <c r="C293" s="1076"/>
      <c r="D293" s="1076"/>
      <c r="E293" s="1076"/>
      <c r="F293" s="1094">
        <v>470</v>
      </c>
      <c r="H293" s="1101"/>
    </row>
    <row r="294" spans="1:8" s="1070" customFormat="1" ht="14.25" customHeight="1" thickBot="1">
      <c r="A294" s="1082" t="s">
        <v>1420</v>
      </c>
      <c r="B294" s="1076" t="s">
        <v>1424</v>
      </c>
      <c r="C294" s="1076">
        <v>2730</v>
      </c>
      <c r="D294" s="1076">
        <v>2700</v>
      </c>
      <c r="E294" s="1076">
        <v>2680</v>
      </c>
      <c r="F294" s="1094">
        <v>490</v>
      </c>
      <c r="H294" s="1101"/>
    </row>
    <row r="295" spans="1:8" s="1070" customFormat="1" ht="14.25" customHeight="1" thickBot="1">
      <c r="A295" s="1082" t="s">
        <v>1420</v>
      </c>
      <c r="B295" s="1076" t="s">
        <v>1121</v>
      </c>
      <c r="C295" s="1076">
        <v>2380</v>
      </c>
      <c r="D295" s="1076">
        <v>2350</v>
      </c>
      <c r="E295" s="1076">
        <v>2330</v>
      </c>
      <c r="F295" s="1094">
        <v>530</v>
      </c>
      <c r="H295" s="1101"/>
    </row>
    <row r="296" spans="1:8" s="1070" customFormat="1" ht="14.25" customHeight="1" thickBot="1">
      <c r="A296" s="1082" t="s">
        <v>1420</v>
      </c>
      <c r="B296" s="1076" t="s">
        <v>1132</v>
      </c>
      <c r="C296" s="1076">
        <v>2650</v>
      </c>
      <c r="D296" s="1076">
        <v>2620</v>
      </c>
      <c r="E296" s="1076">
        <v>2590</v>
      </c>
      <c r="F296" s="1094">
        <v>590</v>
      </c>
      <c r="H296" s="1101"/>
    </row>
    <row r="297" spans="1:8" s="1070" customFormat="1" ht="14.25" customHeight="1" thickBot="1">
      <c r="A297" s="1082" t="s">
        <v>1420</v>
      </c>
      <c r="B297" s="1076" t="s">
        <v>1143</v>
      </c>
      <c r="C297" s="1076">
        <v>2700</v>
      </c>
      <c r="D297" s="1076">
        <v>2670</v>
      </c>
      <c r="E297" s="1076">
        <v>2650</v>
      </c>
      <c r="F297" s="1094">
        <v>630</v>
      </c>
      <c r="H297" s="1101"/>
    </row>
    <row r="298" spans="1:8" s="1070" customFormat="1" ht="14.25" customHeight="1" thickBot="1">
      <c r="A298" s="1082" t="s">
        <v>1420</v>
      </c>
      <c r="B298" s="1076" t="s">
        <v>1154</v>
      </c>
      <c r="C298" s="1076">
        <v>2650</v>
      </c>
      <c r="D298" s="1076">
        <v>2620</v>
      </c>
      <c r="E298" s="1076">
        <v>2590</v>
      </c>
      <c r="F298" s="1094">
        <v>640</v>
      </c>
      <c r="H298" s="1101"/>
    </row>
    <row r="299" spans="1:8" s="1070" customFormat="1" ht="14.25" customHeight="1" thickBot="1">
      <c r="A299" s="1082" t="s">
        <v>1420</v>
      </c>
      <c r="B299" s="1076" t="s">
        <v>1166</v>
      </c>
      <c r="C299" s="1076">
        <v>2500</v>
      </c>
      <c r="D299" s="1076">
        <v>2480</v>
      </c>
      <c r="E299" s="1076">
        <v>2460</v>
      </c>
      <c r="F299" s="1103"/>
      <c r="H299" s="1101"/>
    </row>
    <row r="300" spans="1:8" s="1070" customFormat="1" ht="14.25" customHeight="1" thickBot="1">
      <c r="A300" s="1082" t="s">
        <v>1420</v>
      </c>
      <c r="B300" s="1076" t="s">
        <v>1176</v>
      </c>
      <c r="C300" s="1076">
        <v>2760</v>
      </c>
      <c r="D300" s="1076">
        <v>2730</v>
      </c>
      <c r="E300" s="1076">
        <v>2700</v>
      </c>
      <c r="F300" s="1094">
        <v>630</v>
      </c>
      <c r="H300" s="1101"/>
    </row>
    <row r="301" spans="1:8" s="1070" customFormat="1" ht="14.25" customHeight="1" thickBot="1">
      <c r="A301" s="1082" t="s">
        <v>1420</v>
      </c>
      <c r="B301" s="1076" t="s">
        <v>1186</v>
      </c>
      <c r="C301" s="1076">
        <v>2510</v>
      </c>
      <c r="D301" s="1076">
        <v>2480</v>
      </c>
      <c r="E301" s="1076">
        <v>2460</v>
      </c>
      <c r="F301" s="1103"/>
      <c r="H301" s="1101"/>
    </row>
    <row r="302" spans="1:8" s="1070" customFormat="1" ht="14.25" customHeight="1" thickBot="1">
      <c r="A302" s="1082" t="s">
        <v>1420</v>
      </c>
      <c r="B302" s="1076" t="s">
        <v>1196</v>
      </c>
      <c r="C302" s="1076">
        <v>2480</v>
      </c>
      <c r="D302" s="1076">
        <v>2450</v>
      </c>
      <c r="E302" s="1076">
        <v>2420</v>
      </c>
      <c r="F302" s="1094">
        <v>600</v>
      </c>
      <c r="H302" s="1101"/>
    </row>
    <row r="303" spans="1:8" s="1070" customFormat="1" ht="14.25" customHeight="1" thickBot="1">
      <c r="A303" s="1082" t="s">
        <v>1420</v>
      </c>
      <c r="B303" s="1076" t="s">
        <v>1206</v>
      </c>
      <c r="C303" s="1076">
        <v>2270</v>
      </c>
      <c r="D303" s="1076">
        <v>2240</v>
      </c>
      <c r="E303" s="1076">
        <v>2210</v>
      </c>
      <c r="F303" s="1094">
        <v>540</v>
      </c>
      <c r="H303" s="1101"/>
    </row>
    <row r="304" spans="1:8" s="1070" customFormat="1" ht="14.25" customHeight="1" thickBot="1">
      <c r="A304" s="1082" t="s">
        <v>1420</v>
      </c>
      <c r="B304" s="1076" t="s">
        <v>1216</v>
      </c>
      <c r="C304" s="1076">
        <v>2310</v>
      </c>
      <c r="D304" s="1076">
        <v>2290</v>
      </c>
      <c r="E304" s="1076">
        <v>2270</v>
      </c>
      <c r="F304" s="1103"/>
      <c r="H304" s="1101"/>
    </row>
    <row r="305" spans="1:8" s="1070" customFormat="1" ht="14.25" customHeight="1" thickBot="1">
      <c r="A305" s="1082" t="s">
        <v>1420</v>
      </c>
      <c r="B305" s="1076" t="s">
        <v>1226</v>
      </c>
      <c r="C305" s="1076">
        <v>2490</v>
      </c>
      <c r="D305" s="1076">
        <v>2470</v>
      </c>
      <c r="E305" s="1076">
        <v>2440</v>
      </c>
      <c r="F305" s="1094">
        <v>560</v>
      </c>
      <c r="H305" s="1101"/>
    </row>
    <row r="306" spans="1:8" s="1070" customFormat="1" ht="14.25" customHeight="1" thickBot="1">
      <c r="A306" s="1082" t="s">
        <v>1420</v>
      </c>
      <c r="B306" s="1076" t="s">
        <v>1236</v>
      </c>
      <c r="C306" s="1076">
        <v>2420</v>
      </c>
      <c r="D306" s="1076">
        <v>2400</v>
      </c>
      <c r="E306" s="1076">
        <v>2380</v>
      </c>
      <c r="F306" s="1103"/>
      <c r="H306" s="1101"/>
    </row>
    <row r="307" spans="1:8" s="1070" customFormat="1" ht="14.25" customHeight="1" thickBot="1">
      <c r="A307" s="1082" t="s">
        <v>1420</v>
      </c>
      <c r="B307" s="1076" t="s">
        <v>1246</v>
      </c>
      <c r="C307" s="1076">
        <v>2770</v>
      </c>
      <c r="D307" s="1076">
        <v>2740</v>
      </c>
      <c r="E307" s="1076">
        <v>2710</v>
      </c>
      <c r="F307" s="1094">
        <v>650</v>
      </c>
      <c r="H307" s="1101"/>
    </row>
    <row r="308" spans="1:8" s="1070" customFormat="1" ht="14.25" customHeight="1" thickBot="1">
      <c r="A308" s="1082" t="s">
        <v>1420</v>
      </c>
      <c r="B308" s="1076" t="s">
        <v>1256</v>
      </c>
      <c r="C308" s="1076">
        <v>2610</v>
      </c>
      <c r="D308" s="1076">
        <v>2580</v>
      </c>
      <c r="E308" s="1076">
        <v>2550</v>
      </c>
      <c r="F308" s="1094">
        <v>580</v>
      </c>
      <c r="H308" s="1101"/>
    </row>
    <row r="309" spans="1:8" s="1070" customFormat="1" ht="14.25" customHeight="1" thickBot="1">
      <c r="A309" s="1082" t="s">
        <v>1420</v>
      </c>
      <c r="B309" s="1076" t="s">
        <v>1266</v>
      </c>
      <c r="C309" s="1076">
        <v>2690</v>
      </c>
      <c r="D309" s="1076">
        <v>2670</v>
      </c>
      <c r="E309" s="1076">
        <v>2650</v>
      </c>
      <c r="F309" s="1103"/>
      <c r="H309" s="1101"/>
    </row>
    <row r="310" spans="1:8" s="1070" customFormat="1" ht="14.25" customHeight="1" thickBot="1">
      <c r="A310" s="1082" t="s">
        <v>1420</v>
      </c>
      <c r="B310" s="1076" t="s">
        <v>1275</v>
      </c>
      <c r="C310" s="1076">
        <v>2360</v>
      </c>
      <c r="D310" s="1076">
        <v>2330</v>
      </c>
      <c r="E310" s="1076">
        <v>2310</v>
      </c>
      <c r="F310" s="1094">
        <v>560</v>
      </c>
      <c r="H310" s="1101"/>
    </row>
    <row r="311" spans="1:8" s="1070" customFormat="1" ht="14.25" customHeight="1" thickBot="1">
      <c r="A311" s="1082" t="s">
        <v>1420</v>
      </c>
      <c r="B311" s="1076" t="s">
        <v>1284</v>
      </c>
      <c r="C311" s="1076">
        <v>1970</v>
      </c>
      <c r="D311" s="1076">
        <v>1950</v>
      </c>
      <c r="E311" s="1076">
        <v>1920</v>
      </c>
      <c r="F311" s="1094">
        <v>470</v>
      </c>
      <c r="H311" s="1101"/>
    </row>
    <row r="312" spans="1:8" s="1070" customFormat="1" ht="14.25" customHeight="1" thickBot="1">
      <c r="A312" s="1082" t="s">
        <v>1420</v>
      </c>
      <c r="B312" s="1076" t="s">
        <v>1292</v>
      </c>
      <c r="C312" s="1076">
        <v>2230</v>
      </c>
      <c r="D312" s="1076">
        <v>2200</v>
      </c>
      <c r="E312" s="1076">
        <v>2170</v>
      </c>
      <c r="F312" s="1094">
        <v>460</v>
      </c>
      <c r="H312" s="1101"/>
    </row>
    <row r="313" spans="1:8" s="1070" customFormat="1" ht="14.25" customHeight="1" thickBot="1">
      <c r="A313" s="1082" t="s">
        <v>1420</v>
      </c>
      <c r="B313" s="1076" t="s">
        <v>1299</v>
      </c>
      <c r="C313" s="1076">
        <v>2770</v>
      </c>
      <c r="D313" s="1076">
        <v>2740</v>
      </c>
      <c r="E313" s="1076">
        <v>2710</v>
      </c>
      <c r="F313" s="1094">
        <v>610</v>
      </c>
      <c r="H313" s="1101"/>
    </row>
    <row r="314" spans="1:8" s="1070" customFormat="1" ht="14.25" customHeight="1" thickBot="1">
      <c r="A314" s="1082" t="s">
        <v>1420</v>
      </c>
      <c r="B314" s="1076" t="s">
        <v>1306</v>
      </c>
      <c r="C314" s="1076"/>
      <c r="D314" s="1076"/>
      <c r="E314" s="1076"/>
      <c r="F314" s="1094">
        <v>490</v>
      </c>
      <c r="H314" s="1101"/>
    </row>
    <row r="315" spans="1:8" s="1070" customFormat="1" ht="14.25" customHeight="1" thickBot="1">
      <c r="A315" s="1082" t="s">
        <v>1420</v>
      </c>
      <c r="B315" s="1076" t="s">
        <v>1313</v>
      </c>
      <c r="C315" s="1076"/>
      <c r="D315" s="1076"/>
      <c r="E315" s="1076"/>
      <c r="F315" s="1094">
        <v>520</v>
      </c>
      <c r="H315" s="1101"/>
    </row>
    <row r="316" spans="1:8" s="1070" customFormat="1" ht="14.25" customHeight="1" thickBot="1">
      <c r="A316" s="1082" t="s">
        <v>1420</v>
      </c>
      <c r="B316" s="1092" t="s">
        <v>1320</v>
      </c>
      <c r="C316" s="1092"/>
      <c r="D316" s="1092"/>
      <c r="E316" s="1092"/>
      <c r="F316" s="1102">
        <v>460</v>
      </c>
      <c r="H316" s="1101"/>
    </row>
    <row r="317" spans="1:8" s="1070" customFormat="1" ht="14.25" customHeight="1" thickBot="1">
      <c r="A317" s="1082" t="s">
        <v>917</v>
      </c>
      <c r="B317" s="1083" t="s">
        <v>1425</v>
      </c>
      <c r="C317" s="1083">
        <v>1200</v>
      </c>
      <c r="D317" s="1083">
        <v>1180</v>
      </c>
      <c r="E317" s="1083">
        <v>1160</v>
      </c>
      <c r="F317" s="1084">
        <v>370</v>
      </c>
      <c r="H317" s="1067"/>
    </row>
    <row r="318" spans="1:8" s="1070" customFormat="1" ht="14.25" customHeight="1" thickBot="1">
      <c r="A318" s="1082" t="s">
        <v>917</v>
      </c>
      <c r="B318" s="1076" t="s">
        <v>1426</v>
      </c>
      <c r="C318" s="1076">
        <v>1090</v>
      </c>
      <c r="D318" s="1076">
        <v>1060</v>
      </c>
      <c r="E318" s="1076">
        <v>1040</v>
      </c>
      <c r="F318" s="1103"/>
      <c r="H318" s="1067"/>
    </row>
    <row r="319" spans="1:8" s="1070" customFormat="1" ht="14.25" customHeight="1" thickBot="1">
      <c r="A319" s="1082" t="s">
        <v>917</v>
      </c>
      <c r="B319" s="1076" t="s">
        <v>1427</v>
      </c>
      <c r="C319" s="1076">
        <v>1520</v>
      </c>
      <c r="D319" s="1076">
        <v>1470</v>
      </c>
      <c r="E319" s="1076">
        <v>1440</v>
      </c>
      <c r="F319" s="1094">
        <v>370</v>
      </c>
      <c r="H319" s="1067"/>
    </row>
    <row r="320" spans="1:8" s="1070" customFormat="1" ht="14.25" customHeight="1" thickBot="1">
      <c r="A320" s="1082" t="s">
        <v>917</v>
      </c>
      <c r="B320" s="1076" t="s">
        <v>1108</v>
      </c>
      <c r="C320" s="1076">
        <v>1360</v>
      </c>
      <c r="D320" s="1076">
        <v>1300</v>
      </c>
      <c r="E320" s="1076">
        <v>1270</v>
      </c>
      <c r="F320" s="1103"/>
      <c r="H320" s="1067"/>
    </row>
    <row r="321" spans="1:8" s="1070" customFormat="1" ht="14.25" customHeight="1" thickBot="1">
      <c r="A321" s="1082" t="s">
        <v>917</v>
      </c>
      <c r="B321" s="1076" t="s">
        <v>1122</v>
      </c>
      <c r="C321" s="1076">
        <v>1750</v>
      </c>
      <c r="D321" s="1076">
        <v>1690</v>
      </c>
      <c r="E321" s="1076">
        <v>1660</v>
      </c>
      <c r="F321" s="1103"/>
      <c r="H321" s="1067"/>
    </row>
    <row r="322" spans="1:8" s="1070" customFormat="1" ht="14.25" customHeight="1" thickBot="1">
      <c r="A322" s="1082" t="s">
        <v>917</v>
      </c>
      <c r="B322" s="1076" t="s">
        <v>1133</v>
      </c>
      <c r="C322" s="1076">
        <v>1650</v>
      </c>
      <c r="D322" s="1076">
        <v>1610</v>
      </c>
      <c r="E322" s="1076">
        <v>1580</v>
      </c>
      <c r="F322" s="1094">
        <v>500</v>
      </c>
      <c r="H322" s="1067"/>
    </row>
    <row r="323" spans="1:8" s="1070" customFormat="1" ht="14.25" customHeight="1" thickBot="1">
      <c r="A323" s="1082" t="s">
        <v>917</v>
      </c>
      <c r="B323" s="1076" t="s">
        <v>1144</v>
      </c>
      <c r="C323" s="1076">
        <v>1780</v>
      </c>
      <c r="D323" s="1076">
        <v>1740</v>
      </c>
      <c r="E323" s="1076">
        <v>1720</v>
      </c>
      <c r="F323" s="1103"/>
      <c r="H323" s="1067"/>
    </row>
    <row r="324" spans="1:8" s="1070" customFormat="1" ht="14.25" customHeight="1" thickBot="1">
      <c r="A324" s="1082" t="s">
        <v>917</v>
      </c>
      <c r="B324" s="1076" t="s">
        <v>1155</v>
      </c>
      <c r="C324" s="1076">
        <v>1650</v>
      </c>
      <c r="D324" s="1076">
        <v>1610</v>
      </c>
      <c r="E324" s="1076">
        <v>1580</v>
      </c>
      <c r="F324" s="1103"/>
      <c r="H324" s="1067"/>
    </row>
    <row r="325" spans="1:8" s="1070" customFormat="1" ht="14.25" customHeight="1" thickBot="1">
      <c r="A325" s="1082" t="s">
        <v>917</v>
      </c>
      <c r="B325" s="1076" t="s">
        <v>1167</v>
      </c>
      <c r="C325" s="1076">
        <v>1330</v>
      </c>
      <c r="D325" s="1076">
        <v>1270</v>
      </c>
      <c r="E325" s="1076">
        <v>1240</v>
      </c>
      <c r="F325" s="1094">
        <v>430</v>
      </c>
      <c r="H325" s="1067"/>
    </row>
    <row r="326" spans="1:8" s="1070" customFormat="1" ht="14.25" customHeight="1" thickBot="1">
      <c r="A326" s="1082" t="s">
        <v>917</v>
      </c>
      <c r="B326" s="1076" t="s">
        <v>1177</v>
      </c>
      <c r="C326" s="1076">
        <v>1470</v>
      </c>
      <c r="D326" s="1076">
        <v>1430</v>
      </c>
      <c r="E326" s="1076">
        <v>1400</v>
      </c>
      <c r="F326" s="1103"/>
      <c r="H326" s="1067"/>
    </row>
    <row r="327" spans="1:8" s="1070" customFormat="1" ht="14.25" customHeight="1" thickBot="1">
      <c r="A327" s="1082" t="s">
        <v>917</v>
      </c>
      <c r="B327" s="1076" t="s">
        <v>1187</v>
      </c>
      <c r="C327" s="1076">
        <v>1420</v>
      </c>
      <c r="D327" s="1076">
        <v>1380</v>
      </c>
      <c r="E327" s="1076">
        <v>1360</v>
      </c>
      <c r="F327" s="1094">
        <v>420</v>
      </c>
      <c r="H327" s="1067"/>
    </row>
    <row r="328" spans="1:8" s="1070" customFormat="1" ht="14.25" customHeight="1" thickBot="1">
      <c r="A328" s="1082" t="s">
        <v>917</v>
      </c>
      <c r="B328" s="1076" t="s">
        <v>1197</v>
      </c>
      <c r="C328" s="1076">
        <v>1400</v>
      </c>
      <c r="D328" s="1076">
        <v>1360</v>
      </c>
      <c r="E328" s="1076">
        <v>1330</v>
      </c>
      <c r="F328" s="1094">
        <v>460</v>
      </c>
      <c r="H328" s="1067"/>
    </row>
    <row r="329" spans="1:8" s="1070" customFormat="1" ht="14.25" customHeight="1" thickBot="1">
      <c r="A329" s="1082" t="s">
        <v>917</v>
      </c>
      <c r="B329" s="1076" t="s">
        <v>1207</v>
      </c>
      <c r="C329" s="1076">
        <v>1640</v>
      </c>
      <c r="D329" s="1076">
        <v>1610</v>
      </c>
      <c r="E329" s="1076">
        <v>1580</v>
      </c>
      <c r="F329" s="1094">
        <v>410</v>
      </c>
      <c r="H329" s="1067"/>
    </row>
    <row r="330" spans="1:8" s="1070" customFormat="1" ht="14.25" customHeight="1" thickBot="1">
      <c r="A330" s="1082" t="s">
        <v>917</v>
      </c>
      <c r="B330" s="1076" t="s">
        <v>1217</v>
      </c>
      <c r="C330" s="1076">
        <v>1260</v>
      </c>
      <c r="D330" s="1076">
        <v>1220</v>
      </c>
      <c r="E330" s="1076">
        <v>1200</v>
      </c>
      <c r="F330" s="1103"/>
      <c r="H330" s="1067"/>
    </row>
    <row r="331" spans="1:8" s="1070" customFormat="1" ht="14.25" customHeight="1" thickBot="1">
      <c r="A331" s="1082" t="s">
        <v>917</v>
      </c>
      <c r="B331" s="1076" t="s">
        <v>1227</v>
      </c>
      <c r="C331" s="1076">
        <v>1620</v>
      </c>
      <c r="D331" s="1076">
        <v>1560</v>
      </c>
      <c r="E331" s="1076">
        <v>1530</v>
      </c>
      <c r="F331" s="1094">
        <v>490</v>
      </c>
      <c r="H331" s="1067"/>
    </row>
    <row r="332" spans="1:8" s="1070" customFormat="1" ht="14.25" customHeight="1" thickBot="1">
      <c r="A332" s="1082" t="s">
        <v>917</v>
      </c>
      <c r="B332" s="1076" t="s">
        <v>1237</v>
      </c>
      <c r="C332" s="1076">
        <v>1520</v>
      </c>
      <c r="D332" s="1076">
        <v>1470</v>
      </c>
      <c r="E332" s="1076">
        <v>1440</v>
      </c>
      <c r="F332" s="1094">
        <v>440</v>
      </c>
      <c r="H332" s="1067"/>
    </row>
    <row r="333" spans="1:8" s="1070" customFormat="1" ht="14.25" customHeight="1" thickBot="1">
      <c r="A333" s="1082" t="s">
        <v>917</v>
      </c>
      <c r="B333" s="1076" t="s">
        <v>1247</v>
      </c>
      <c r="C333" s="1076">
        <v>1370</v>
      </c>
      <c r="D333" s="1076">
        <v>1320</v>
      </c>
      <c r="E333" s="1076">
        <v>1300</v>
      </c>
      <c r="F333" s="1094">
        <v>460</v>
      </c>
      <c r="H333" s="1067"/>
    </row>
    <row r="334" spans="1:8" s="1070" customFormat="1" ht="14.25" customHeight="1" thickBot="1">
      <c r="A334" s="1082" t="s">
        <v>917</v>
      </c>
      <c r="B334" s="1076" t="s">
        <v>1257</v>
      </c>
      <c r="C334" s="1076">
        <v>1410</v>
      </c>
      <c r="D334" s="1076">
        <v>1340</v>
      </c>
      <c r="E334" s="1076">
        <v>1310</v>
      </c>
      <c r="F334" s="1094">
        <v>410</v>
      </c>
      <c r="H334" s="1067"/>
    </row>
    <row r="335" spans="1:8" s="1070" customFormat="1" ht="14.25" customHeight="1" thickBot="1">
      <c r="A335" s="1082" t="s">
        <v>917</v>
      </c>
      <c r="B335" s="1076" t="s">
        <v>1267</v>
      </c>
      <c r="C335" s="1076">
        <v>1260</v>
      </c>
      <c r="D335" s="1076">
        <v>1220</v>
      </c>
      <c r="E335" s="1076">
        <v>1200</v>
      </c>
      <c r="F335" s="1103"/>
      <c r="H335" s="1067"/>
    </row>
    <row r="336" spans="1:8" s="1070" customFormat="1" ht="14.25" customHeight="1" thickBot="1">
      <c r="A336" s="1082" t="s">
        <v>917</v>
      </c>
      <c r="B336" s="1076" t="s">
        <v>1276</v>
      </c>
      <c r="C336" s="1076">
        <v>1160</v>
      </c>
      <c r="D336" s="1076">
        <v>1140</v>
      </c>
      <c r="E336" s="1076">
        <v>1120</v>
      </c>
      <c r="F336" s="1094">
        <v>430</v>
      </c>
      <c r="H336" s="1067"/>
    </row>
    <row r="337" spans="1:8" s="1070" customFormat="1" ht="14.25" customHeight="1" thickBot="1">
      <c r="A337" s="1082" t="s">
        <v>917</v>
      </c>
      <c r="B337" s="1092" t="s">
        <v>1285</v>
      </c>
      <c r="C337" s="1092"/>
      <c r="D337" s="1092"/>
      <c r="E337" s="1092"/>
      <c r="F337" s="1102">
        <v>380</v>
      </c>
      <c r="H337" s="1067"/>
    </row>
    <row r="338" spans="1:8" s="1070" customFormat="1" ht="14.25" customHeight="1" thickBot="1">
      <c r="A338" s="1082" t="s">
        <v>918</v>
      </c>
      <c r="B338" s="1083" t="s">
        <v>1428</v>
      </c>
      <c r="C338" s="1083">
        <v>880</v>
      </c>
      <c r="D338" s="1083">
        <v>850</v>
      </c>
      <c r="E338" s="1083">
        <v>830</v>
      </c>
      <c r="F338" s="1105"/>
      <c r="H338" s="1067"/>
    </row>
    <row r="339" spans="1:8" s="1070" customFormat="1" ht="14.25" customHeight="1" thickBot="1">
      <c r="A339" s="1082" t="s">
        <v>918</v>
      </c>
      <c r="B339" s="1076" t="s">
        <v>1429</v>
      </c>
      <c r="C339" s="1076">
        <v>830</v>
      </c>
      <c r="D339" s="1076">
        <v>800</v>
      </c>
      <c r="E339" s="1076">
        <v>780</v>
      </c>
      <c r="F339" s="1103"/>
      <c r="H339" s="1067"/>
    </row>
    <row r="340" spans="1:8" s="1070" customFormat="1" ht="14.25" customHeight="1" thickBot="1">
      <c r="A340" s="1082" t="s">
        <v>918</v>
      </c>
      <c r="B340" s="1076" t="s">
        <v>1430</v>
      </c>
      <c r="C340" s="1076">
        <v>980</v>
      </c>
      <c r="D340" s="1076">
        <v>950</v>
      </c>
      <c r="E340" s="1076">
        <v>920</v>
      </c>
      <c r="F340" s="1103"/>
      <c r="H340" s="1067"/>
    </row>
    <row r="341" spans="1:8" s="1070" customFormat="1" ht="14.25" customHeight="1" thickBot="1">
      <c r="A341" s="1082" t="s">
        <v>918</v>
      </c>
      <c r="B341" s="1076" t="s">
        <v>1431</v>
      </c>
      <c r="C341" s="1076">
        <v>760</v>
      </c>
      <c r="D341" s="1076">
        <v>720</v>
      </c>
      <c r="E341" s="1076">
        <v>690</v>
      </c>
      <c r="F341" s="1094">
        <v>350</v>
      </c>
      <c r="H341" s="1067"/>
    </row>
    <row r="342" spans="1:8" s="1070" customFormat="1" ht="14.25" customHeight="1" thickBot="1">
      <c r="A342" s="1082" t="s">
        <v>918</v>
      </c>
      <c r="B342" s="1076" t="s">
        <v>1123</v>
      </c>
      <c r="C342" s="1076">
        <v>910</v>
      </c>
      <c r="D342" s="1076">
        <v>870</v>
      </c>
      <c r="E342" s="1076">
        <v>850</v>
      </c>
      <c r="F342" s="1094">
        <v>370</v>
      </c>
      <c r="H342" s="1067"/>
    </row>
    <row r="343" spans="1:8" s="1070" customFormat="1" ht="14.25" customHeight="1" thickBot="1">
      <c r="A343" s="1082" t="s">
        <v>918</v>
      </c>
      <c r="B343" s="1076" t="s">
        <v>1134</v>
      </c>
      <c r="C343" s="1076">
        <v>800</v>
      </c>
      <c r="D343" s="1076">
        <v>760</v>
      </c>
      <c r="E343" s="1076">
        <v>730</v>
      </c>
      <c r="F343" s="1094">
        <v>340</v>
      </c>
      <c r="H343" s="1067"/>
    </row>
    <row r="344" spans="1:8" s="1070" customFormat="1" ht="14.25" customHeight="1" thickBot="1">
      <c r="A344" s="1082" t="s">
        <v>918</v>
      </c>
      <c r="B344" s="1092" t="s">
        <v>1145</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882</v>
      </c>
      <c r="B1" s="1011"/>
      <c r="C1" s="1011"/>
      <c r="D1" s="1011"/>
      <c r="E1" s="1011"/>
      <c r="F1" s="1011"/>
      <c r="G1" s="1011"/>
      <c r="H1" s="1011"/>
      <c r="I1" s="1011"/>
      <c r="J1" s="1011"/>
      <c r="K1" s="1011"/>
      <c r="L1" s="1011"/>
      <c r="M1" s="1011"/>
      <c r="N1" s="1011"/>
    </row>
    <row r="2" spans="1:14">
      <c r="A2" s="1013" t="s">
        <v>883</v>
      </c>
      <c r="B2" s="1014" t="s">
        <v>884</v>
      </c>
      <c r="C2" s="1014" t="s">
        <v>885</v>
      </c>
      <c r="D2" s="1014" t="s">
        <v>886</v>
      </c>
      <c r="E2" s="1014" t="s">
        <v>887</v>
      </c>
      <c r="F2" s="1014" t="s">
        <v>888</v>
      </c>
      <c r="G2" s="1014" t="s">
        <v>889</v>
      </c>
      <c r="H2" s="1015" t="s">
        <v>890</v>
      </c>
      <c r="I2" s="1015" t="s">
        <v>891</v>
      </c>
      <c r="J2" s="1016" t="s">
        <v>892</v>
      </c>
      <c r="K2" s="1016" t="s">
        <v>893</v>
      </c>
      <c r="L2" s="1016" t="s">
        <v>894</v>
      </c>
      <c r="M2" s="1016" t="s">
        <v>895</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904</v>
      </c>
      <c r="B103" s="1011"/>
      <c r="C103" s="1011"/>
      <c r="D103" s="1011"/>
      <c r="E103" s="1011"/>
      <c r="F103" s="1011"/>
      <c r="G103" s="1011"/>
      <c r="H103" s="1011"/>
      <c r="I103" s="1011"/>
      <c r="J103" s="1011"/>
      <c r="K103" s="1011"/>
      <c r="L103" s="1011"/>
      <c r="M103" s="1011"/>
      <c r="N103" s="1011"/>
    </row>
    <row r="104" spans="1:14" ht="14.25">
      <c r="A104" s="1013" t="s">
        <v>883</v>
      </c>
      <c r="B104" s="1014" t="s">
        <v>884</v>
      </c>
      <c r="C104" s="1014" t="s">
        <v>885</v>
      </c>
      <c r="D104" s="1014" t="s">
        <v>886</v>
      </c>
      <c r="E104" s="1014" t="s">
        <v>887</v>
      </c>
      <c r="F104" s="1014" t="s">
        <v>888</v>
      </c>
      <c r="G104" s="1014" t="s">
        <v>889</v>
      </c>
      <c r="H104" s="1015" t="s">
        <v>890</v>
      </c>
      <c r="I104" s="1015" t="s">
        <v>891</v>
      </c>
      <c r="J104" s="1016" t="s">
        <v>892</v>
      </c>
      <c r="K104" s="1016" t="s">
        <v>893</v>
      </c>
      <c r="L104" s="1016" t="s">
        <v>894</v>
      </c>
      <c r="M104" s="1016" t="s">
        <v>895</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905</v>
      </c>
      <c r="B205" s="1011"/>
      <c r="C205" s="1011"/>
      <c r="D205" s="1011"/>
      <c r="E205" s="1011"/>
      <c r="F205" s="1011"/>
      <c r="G205" s="1011"/>
      <c r="H205" s="1011"/>
      <c r="I205" s="1011"/>
      <c r="J205" s="1011"/>
      <c r="K205" s="1011"/>
      <c r="L205" s="1011"/>
      <c r="M205" s="1011"/>
    </row>
    <row r="206" spans="1:13">
      <c r="A206" s="1013" t="s">
        <v>906</v>
      </c>
      <c r="B206" s="1014" t="s">
        <v>907</v>
      </c>
      <c r="C206" s="1014" t="s">
        <v>908</v>
      </c>
      <c r="D206" s="1014" t="s">
        <v>909</v>
      </c>
      <c r="E206" s="1014" t="s">
        <v>910</v>
      </c>
      <c r="F206" s="1014" t="s">
        <v>911</v>
      </c>
      <c r="G206" s="1014" t="s">
        <v>912</v>
      </c>
      <c r="H206" s="1015" t="s">
        <v>913</v>
      </c>
      <c r="I206" s="1015" t="s">
        <v>914</v>
      </c>
      <c r="J206" s="1016" t="s">
        <v>915</v>
      </c>
      <c r="K206" s="1016" t="s">
        <v>916</v>
      </c>
      <c r="L206" s="1016" t="s">
        <v>917</v>
      </c>
      <c r="M206" s="1016" t="s">
        <v>918</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919</v>
      </c>
      <c r="B307" s="1011"/>
      <c r="C307" s="1011"/>
      <c r="D307" s="1011"/>
      <c r="E307" s="1011"/>
      <c r="F307" s="1011"/>
      <c r="G307" s="1011"/>
      <c r="H307" s="1011"/>
      <c r="I307" s="1011"/>
      <c r="J307" s="1011"/>
      <c r="K307" s="1011"/>
      <c r="L307" s="1011"/>
      <c r="M307" s="1011"/>
    </row>
    <row r="308" spans="1:13">
      <c r="A308" s="1013" t="s">
        <v>906</v>
      </c>
      <c r="B308" s="1014" t="s">
        <v>907</v>
      </c>
      <c r="C308" s="1014" t="s">
        <v>908</v>
      </c>
      <c r="D308" s="1014" t="s">
        <v>909</v>
      </c>
      <c r="E308" s="1014" t="s">
        <v>910</v>
      </c>
      <c r="F308" s="1014" t="s">
        <v>911</v>
      </c>
      <c r="G308" s="1014" t="s">
        <v>912</v>
      </c>
      <c r="H308" s="1015" t="s">
        <v>913</v>
      </c>
      <c r="I308" s="1015" t="s">
        <v>914</v>
      </c>
      <c r="J308" s="1016" t="s">
        <v>915</v>
      </c>
      <c r="K308" s="1016" t="s">
        <v>916</v>
      </c>
      <c r="L308" s="1016" t="s">
        <v>917</v>
      </c>
      <c r="M308" s="1016" t="s">
        <v>918</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0" t="s">
        <v>2080</v>
      </c>
      <c r="B1" s="348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2951</v>
      </c>
      <c r="B1" s="3133"/>
      <c r="C1" s="3133"/>
      <c r="D1" s="3133"/>
      <c r="E1" s="3133"/>
      <c r="F1" s="3133"/>
    </row>
    <row r="2" spans="1:6" ht="14.25">
      <c r="A2" s="3134" t="s">
        <v>2945</v>
      </c>
      <c r="B2" s="3135" t="e">
        <f ca="1">SUMIF(B7:B14,"&lt;&gt;#ref!",B7:B14)</f>
        <v>#DIV/0!</v>
      </c>
      <c r="C2" s="3134" t="s">
        <v>2946</v>
      </c>
      <c r="D2" s="3133"/>
      <c r="E2" s="3133"/>
      <c r="F2" s="3133"/>
    </row>
    <row r="3" spans="1:6" ht="14.25">
      <c r="A3" s="3134" t="s">
        <v>2948</v>
      </c>
      <c r="B3" s="3135" t="e">
        <f ca="1">ROUND(B2*10000/E3,0)</f>
        <v>#DIV/0!</v>
      </c>
      <c r="C3" s="3134" t="s">
        <v>2079</v>
      </c>
      <c r="D3" s="3134" t="s">
        <v>2947</v>
      </c>
      <c r="E3" s="3135" t="e">
        <f ca="1">SUM(E7:E14)</f>
        <v>#REF!</v>
      </c>
      <c r="F3" s="3133"/>
    </row>
    <row r="4" spans="1:6" ht="14.25">
      <c r="A4" s="3134" t="s">
        <v>2955</v>
      </c>
      <c r="B4" s="3135" t="e">
        <f ca="1">ROUND(B2*10000/E4,0)</f>
        <v>#DIV/0!</v>
      </c>
      <c r="C4" s="3134" t="s">
        <v>2079</v>
      </c>
      <c r="D4" s="3134" t="s">
        <v>2956</v>
      </c>
      <c r="E4" s="3135" t="e">
        <f ca="1">SUM(F7:F14)</f>
        <v>#REF!</v>
      </c>
      <c r="F4" s="3133"/>
    </row>
    <row r="5" spans="1:6" ht="14.25">
      <c r="A5" s="3136"/>
      <c r="B5" s="1881"/>
      <c r="C5" s="1881"/>
      <c r="D5" s="1881"/>
      <c r="E5" s="1881"/>
      <c r="F5" s="3133"/>
    </row>
    <row r="6" spans="1:6" ht="28.5">
      <c r="A6" s="3137" t="s">
        <v>2952</v>
      </c>
      <c r="B6" s="3134" t="s">
        <v>2949</v>
      </c>
      <c r="C6" s="3135"/>
      <c r="D6" s="1881"/>
      <c r="E6" s="3134" t="s">
        <v>2950</v>
      </c>
      <c r="F6" s="3134" t="s">
        <v>2954</v>
      </c>
    </row>
    <row r="7" spans="1:6" ht="14.25">
      <c r="A7" s="258" t="s">
        <v>2953</v>
      </c>
      <c r="B7" s="3138" t="e">
        <f ca="1">SUMIF(INDIRECT("'"&amp;A7&amp;"'"&amp;"!A:A"),"总价",INDIRECT("'"&amp;A7&amp;"'"&amp;"!B:B"))</f>
        <v>#DIV/0!</v>
      </c>
      <c r="C7" s="3134" t="s">
        <v>2946</v>
      </c>
      <c r="D7" s="1881"/>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2946</v>
      </c>
      <c r="D8" s="1881"/>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2946</v>
      </c>
      <c r="D9" s="1881"/>
      <c r="E9" s="3139" t="e">
        <f t="shared" ca="1" si="1"/>
        <v>#REF!</v>
      </c>
      <c r="F9" s="3139" t="e">
        <f t="shared" ca="1" si="2"/>
        <v>#REF!</v>
      </c>
    </row>
    <row r="10" spans="1:6" ht="14.25">
      <c r="A10" s="258"/>
      <c r="B10" s="3138" t="e">
        <f t="shared" ca="1" si="0"/>
        <v>#REF!</v>
      </c>
      <c r="C10" s="3134" t="s">
        <v>2946</v>
      </c>
      <c r="D10" s="1881"/>
      <c r="E10" s="3139" t="e">
        <f t="shared" ca="1" si="1"/>
        <v>#REF!</v>
      </c>
      <c r="F10" s="3139" t="e">
        <f t="shared" ca="1" si="2"/>
        <v>#REF!</v>
      </c>
    </row>
    <row r="11" spans="1:6" ht="14.25">
      <c r="A11" s="258"/>
      <c r="B11" s="3138" t="e">
        <f t="shared" ca="1" si="0"/>
        <v>#REF!</v>
      </c>
      <c r="C11" s="3134" t="s">
        <v>2946</v>
      </c>
      <c r="D11" s="1881"/>
      <c r="E11" s="3139" t="e">
        <f t="shared" ca="1" si="1"/>
        <v>#REF!</v>
      </c>
      <c r="F11" s="3139" t="e">
        <f t="shared" ca="1" si="2"/>
        <v>#REF!</v>
      </c>
    </row>
    <row r="12" spans="1:6" ht="14.25">
      <c r="A12" s="258"/>
      <c r="B12" s="3138" t="e">
        <f t="shared" ca="1" si="0"/>
        <v>#REF!</v>
      </c>
      <c r="C12" s="3134" t="s">
        <v>2946</v>
      </c>
      <c r="D12" s="1881"/>
      <c r="E12" s="3139" t="e">
        <f t="shared" ca="1" si="1"/>
        <v>#REF!</v>
      </c>
      <c r="F12" s="3139" t="e">
        <f t="shared" ca="1" si="2"/>
        <v>#REF!</v>
      </c>
    </row>
    <row r="13" spans="1:6" ht="14.25">
      <c r="A13" s="258"/>
      <c r="B13" s="3138" t="e">
        <f t="shared" ca="1" si="0"/>
        <v>#REF!</v>
      </c>
      <c r="C13" s="3134" t="s">
        <v>2946</v>
      </c>
      <c r="D13" s="1881"/>
      <c r="E13" s="3139" t="e">
        <f t="shared" ca="1" si="1"/>
        <v>#REF!</v>
      </c>
      <c r="F13" s="3139" t="e">
        <f t="shared" ca="1" si="2"/>
        <v>#REF!</v>
      </c>
    </row>
    <row r="14" spans="1:6" ht="14.25">
      <c r="A14" s="3132"/>
      <c r="B14" s="3138" t="e">
        <f t="shared" ca="1" si="0"/>
        <v>#REF!</v>
      </c>
      <c r="C14" s="3134" t="s">
        <v>2946</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3" t="s">
        <v>629</v>
      </c>
      <c r="B1" s="739"/>
      <c r="C1" s="774"/>
      <c r="D1" s="2050"/>
      <c r="E1" s="2411" t="s">
        <v>2376</v>
      </c>
      <c r="F1" s="2412">
        <f ca="1">J54</f>
        <v>0</v>
      </c>
      <c r="G1" s="775">
        <f>MATCH(C1,'数据-取费表'!A6:A16,0)+5</f>
        <v>11</v>
      </c>
      <c r="H1" s="1351"/>
      <c r="I1" s="2051"/>
      <c r="J1" s="2051"/>
      <c r="K1" s="2052"/>
      <c r="L1" s="2051"/>
      <c r="M1" s="2051"/>
      <c r="N1" s="2053"/>
      <c r="O1" s="2053"/>
      <c r="P1" s="2053"/>
      <c r="Q1" s="2053"/>
      <c r="R1" s="2053"/>
      <c r="S1" s="2053"/>
      <c r="T1" s="2053"/>
      <c r="U1" s="2053"/>
      <c r="V1" s="2053"/>
      <c r="W1" s="2053"/>
      <c r="X1" s="2053"/>
      <c r="Y1" s="2053"/>
    </row>
    <row r="2" spans="1:25" ht="18" customHeight="1">
      <c r="A2" s="1645" t="s">
        <v>630</v>
      </c>
      <c r="B2" s="776">
        <f ca="1">IF(ISERROR(C45+J31),0,C45+J31)</f>
        <v>0</v>
      </c>
      <c r="C2" s="1352"/>
      <c r="D2" s="2055"/>
      <c r="E2" s="2056"/>
      <c r="F2" s="2056"/>
      <c r="G2" s="1591"/>
      <c r="H2" s="1364"/>
      <c r="I2" s="2057"/>
      <c r="J2" s="2057"/>
      <c r="K2" s="2058"/>
      <c r="L2" s="2057"/>
      <c r="M2" s="2057"/>
    </row>
    <row r="3" spans="1:25" ht="18" customHeight="1">
      <c r="A3" s="1646" t="s">
        <v>1687</v>
      </c>
      <c r="B3" s="1392">
        <f ca="1">ROUND(B2*10000/'数据-汇总表'!E3,0)</f>
        <v>0</v>
      </c>
      <c r="C3" s="1352"/>
      <c r="D3" s="2055"/>
      <c r="E3" s="2056"/>
      <c r="F3" s="2056"/>
      <c r="G3" s="1591"/>
      <c r="H3" s="777" t="s">
        <v>696</v>
      </c>
      <c r="I3" s="2057"/>
      <c r="J3" s="2057"/>
      <c r="K3" s="2058"/>
      <c r="L3" s="2057"/>
      <c r="M3" s="2057"/>
    </row>
    <row r="4" spans="1:25" ht="18" customHeight="1">
      <c r="A4" s="1647" t="s">
        <v>697</v>
      </c>
      <c r="B4" s="1353">
        <f ca="1">ROUND(B2*10000/'数据-汇总表'!D3,0)</f>
        <v>0</v>
      </c>
      <c r="C4" s="429"/>
      <c r="D4" s="2055"/>
      <c r="E4" s="2056"/>
      <c r="F4" s="2056"/>
      <c r="G4" s="1591"/>
      <c r="H4" s="777"/>
      <c r="I4" s="2057"/>
      <c r="J4" s="2057"/>
      <c r="K4" s="2058"/>
      <c r="L4" s="2057"/>
      <c r="M4" s="2057"/>
    </row>
    <row r="5" spans="1:25" ht="18" customHeight="1" thickBot="1">
      <c r="A5" s="1648"/>
      <c r="B5" s="431">
        <f ca="1">ROUND(B2/('数据-汇总表'!D3/666.67),0)</f>
        <v>0</v>
      </c>
      <c r="C5" s="432" t="s">
        <v>698</v>
      </c>
      <c r="D5" s="2055"/>
      <c r="E5" s="2056"/>
      <c r="F5" s="2056"/>
      <c r="G5" s="1591"/>
      <c r="H5" s="777"/>
      <c r="I5" s="2057"/>
      <c r="J5" s="2057"/>
      <c r="K5" s="2058"/>
      <c r="L5" s="2057"/>
      <c r="M5" s="2057"/>
    </row>
    <row r="6" spans="1:25" ht="18" customHeight="1">
      <c r="A6" s="1829" t="s">
        <v>699</v>
      </c>
      <c r="B6" s="1821" t="s">
        <v>700</v>
      </c>
      <c r="C6" s="1821" t="s">
        <v>633</v>
      </c>
      <c r="D6" s="1821" t="s">
        <v>634</v>
      </c>
      <c r="E6" s="780" t="s">
        <v>635</v>
      </c>
      <c r="F6" s="781"/>
      <c r="G6" s="1593"/>
      <c r="H6" s="1829" t="s">
        <v>631</v>
      </c>
      <c r="I6" s="1821" t="s">
        <v>632</v>
      </c>
      <c r="J6" s="1821" t="s">
        <v>633</v>
      </c>
      <c r="K6" s="1821" t="s">
        <v>634</v>
      </c>
      <c r="L6" s="780" t="s">
        <v>635</v>
      </c>
      <c r="M6" s="781"/>
    </row>
    <row r="7" spans="1:25" ht="18" customHeight="1">
      <c r="A7" s="782">
        <v>1</v>
      </c>
      <c r="B7" s="783" t="s">
        <v>2461</v>
      </c>
      <c r="C7" s="53">
        <f ca="1">C8+C12+C14</f>
        <v>0</v>
      </c>
      <c r="D7" s="2520" t="s">
        <v>2464</v>
      </c>
      <c r="E7" s="2514"/>
      <c r="F7" s="2515"/>
      <c r="G7" s="1593"/>
      <c r="H7" s="782">
        <v>1</v>
      </c>
      <c r="I7" s="783" t="s">
        <v>2461</v>
      </c>
      <c r="J7" s="53">
        <f ca="1">J8+J12+J14</f>
        <v>0</v>
      </c>
      <c r="K7" s="2520" t="s">
        <v>2464</v>
      </c>
      <c r="L7" s="2514"/>
      <c r="M7" s="2515"/>
    </row>
    <row r="8" spans="1:25" ht="18" customHeight="1">
      <c r="A8" s="1831" t="s">
        <v>1825</v>
      </c>
      <c r="B8" s="3482" t="s">
        <v>2466</v>
      </c>
      <c r="C8" s="1826">
        <f ca="1">ROUND(F8*F10*F9*(1-F11)/10000,0)</f>
        <v>0</v>
      </c>
      <c r="D8" s="1823" t="s">
        <v>2538</v>
      </c>
      <c r="E8" s="61" t="s">
        <v>638</v>
      </c>
      <c r="F8" s="786">
        <f ca="1">INDIRECT("'数据-取费表'!u"&amp;$G$1)</f>
        <v>0</v>
      </c>
      <c r="G8" s="1593"/>
      <c r="H8" s="2528" t="s">
        <v>1825</v>
      </c>
      <c r="I8" s="3482" t="s">
        <v>2466</v>
      </c>
      <c r="J8" s="784">
        <f ca="1">ROUND(M8*M10*M9*(1-M11)/10000,0)</f>
        <v>0</v>
      </c>
      <c r="K8" s="342" t="s">
        <v>2538</v>
      </c>
      <c r="L8" s="785" t="s">
        <v>1739</v>
      </c>
      <c r="M8" s="786">
        <f ca="1">INDIRECT("'数据-取费表'!z"&amp;$G$1)</f>
        <v>0</v>
      </c>
    </row>
    <row r="9" spans="1:25" ht="18" customHeight="1">
      <c r="A9" s="2524"/>
      <c r="B9" s="3483"/>
      <c r="C9" s="1827"/>
      <c r="D9" s="1824"/>
      <c r="E9" s="61" t="s">
        <v>639</v>
      </c>
      <c r="F9" s="786">
        <f ca="1">IF(INDIRECT("'数据-取费表'!ah"&amp;$G$1)="",INDIRECT("'数据-取费表'!k"&amp;$G$1),INDIRECT("'数据-取费表'!ah"&amp;$G$1))</f>
        <v>0</v>
      </c>
      <c r="G9" s="1593"/>
      <c r="H9" s="2513"/>
      <c r="I9" s="3483"/>
      <c r="J9" s="789"/>
      <c r="K9" s="790"/>
      <c r="L9" s="785" t="s">
        <v>1740</v>
      </c>
      <c r="M9" s="786">
        <f ca="1">F9</f>
        <v>0</v>
      </c>
    </row>
    <row r="10" spans="1:25" ht="18" customHeight="1">
      <c r="A10" s="2517"/>
      <c r="B10" s="3484"/>
      <c r="C10" s="1827"/>
      <c r="D10" s="1824"/>
      <c r="E10" s="61" t="s">
        <v>640</v>
      </c>
      <c r="F10" s="786">
        <f ca="1">INDIRECT("'数据-取费表'!ai"&amp;$G$1)</f>
        <v>0</v>
      </c>
      <c r="G10" s="1593"/>
      <c r="H10" s="2513"/>
      <c r="I10" s="3484"/>
      <c r="J10" s="789"/>
      <c r="K10" s="790"/>
      <c r="L10" s="785" t="s">
        <v>1741</v>
      </c>
      <c r="M10" s="786">
        <f ca="1">INDIRECT("'数据-取费表'!ai"&amp;$G$1)</f>
        <v>0</v>
      </c>
    </row>
    <row r="11" spans="1:25" ht="18" customHeight="1">
      <c r="A11" s="787"/>
      <c r="B11" s="3485"/>
      <c r="C11" s="1827"/>
      <c r="D11" s="1824"/>
      <c r="E11" s="61" t="s">
        <v>641</v>
      </c>
      <c r="F11" s="795">
        <f ca="1">INDIRECT("'数据-取费表'!w"&amp;$G$1)</f>
        <v>0</v>
      </c>
      <c r="G11" s="1593"/>
      <c r="H11" s="2529"/>
      <c r="I11" s="3484"/>
      <c r="J11" s="789"/>
      <c r="K11" s="790"/>
      <c r="L11" s="796" t="s">
        <v>1742</v>
      </c>
      <c r="M11" s="797">
        <f ca="1">INDIRECT("'数据-取费表'!ab"&amp;$G$1)</f>
        <v>0</v>
      </c>
    </row>
    <row r="12" spans="1:25" ht="18" customHeight="1">
      <c r="A12" s="1831" t="s">
        <v>1826</v>
      </c>
      <c r="B12" s="2518" t="s">
        <v>2462</v>
      </c>
      <c r="C12" s="800">
        <f ca="1">ROUND(IF(F12="押一",F8*F10*F9/12*F13,IF(F12="押二",F8*F10*F9/12*2*F13,IF(F12="押三",F8*F10*F9/12*3*F13,C13*F13)))/10000,0)</f>
        <v>0</v>
      </c>
      <c r="D12" s="2525" t="s">
        <v>2469</v>
      </c>
      <c r="E12" s="2522" t="s">
        <v>2467</v>
      </c>
      <c r="F12" s="2645"/>
      <c r="G12" s="1593"/>
      <c r="H12" s="2585" t="s">
        <v>1826</v>
      </c>
      <c r="I12" s="2590" t="s">
        <v>2462</v>
      </c>
      <c r="J12" s="784">
        <f ca="1">ROUND(IF(M12="押一",M8*M10*M9/12*M13,IF(M12="押二",M8*M10*M9/12*2*M13,IF(M12="押三",M8*M10*M9/12*3*M13,J13*M13)))/10000,0)</f>
        <v>0</v>
      </c>
      <c r="K12" s="2525" t="s">
        <v>2469</v>
      </c>
      <c r="L12" s="2522" t="s">
        <v>2467</v>
      </c>
      <c r="M12" s="2645"/>
    </row>
    <row r="13" spans="1:25" ht="18" customHeight="1">
      <c r="A13" s="791"/>
      <c r="B13" s="2519" t="s">
        <v>2577</v>
      </c>
      <c r="C13" s="2523"/>
      <c r="D13" s="790"/>
      <c r="E13" s="2522" t="s">
        <v>2459</v>
      </c>
      <c r="F13" s="797">
        <f ca="1">'数据-取费表'!B39</f>
        <v>1.4999999999999999E-2</v>
      </c>
      <c r="G13" s="1593"/>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3"/>
      <c r="H14" s="2575" t="s">
        <v>2471</v>
      </c>
      <c r="I14" s="2588" t="s">
        <v>2463</v>
      </c>
      <c r="J14" s="2589"/>
      <c r="K14" s="2564"/>
      <c r="L14" s="2565"/>
      <c r="M14" s="2578"/>
    </row>
    <row r="15" spans="1:25" ht="18" customHeight="1" thickTop="1">
      <c r="A15" s="1830" t="s">
        <v>1875</v>
      </c>
      <c r="B15" s="1828" t="s">
        <v>642</v>
      </c>
      <c r="C15" s="793">
        <f ca="1">ROUND(C31*F15,0)</f>
        <v>0</v>
      </c>
      <c r="D15" s="1835" t="s">
        <v>643</v>
      </c>
      <c r="E15" s="796" t="s">
        <v>644</v>
      </c>
      <c r="F15" s="801">
        <f ca="1">INDIRECT("'数据-取费表'!y"&amp;$G$1)</f>
        <v>0</v>
      </c>
      <c r="G15" s="1593"/>
      <c r="H15" s="1830" t="s">
        <v>1827</v>
      </c>
      <c r="I15" s="1828" t="s">
        <v>645</v>
      </c>
      <c r="J15" s="1820">
        <f ca="1">ROUND(J16*J17,0)</f>
        <v>0</v>
      </c>
      <c r="K15" s="1822" t="s">
        <v>643</v>
      </c>
      <c r="L15" s="802"/>
      <c r="M15" s="803"/>
    </row>
    <row r="16" spans="1:25" ht="18" customHeight="1">
      <c r="A16" s="804" t="s">
        <v>1876</v>
      </c>
      <c r="B16" s="785" t="s">
        <v>646</v>
      </c>
      <c r="C16" s="805">
        <f ca="1">INDIRECT("'数据-取费表'!m"&amp;$G$1)+INDIRECT("'数据-取费表'!t"&amp;$G$1)</f>
        <v>0</v>
      </c>
      <c r="D16" s="1979" t="s">
        <v>647</v>
      </c>
      <c r="E16" s="1980"/>
      <c r="F16" s="806"/>
      <c r="G16" s="1593"/>
      <c r="H16" s="804" t="s">
        <v>2070</v>
      </c>
      <c r="I16" s="2231" t="s">
        <v>2831</v>
      </c>
      <c r="J16" s="53">
        <f ca="1">C31</f>
        <v>0</v>
      </c>
      <c r="K16" s="26"/>
      <c r="L16" s="802"/>
      <c r="M16" s="803"/>
    </row>
    <row r="17" spans="1:25" s="2064" customFormat="1" ht="18" customHeight="1">
      <c r="A17" s="804" t="s">
        <v>1850</v>
      </c>
      <c r="B17" s="785" t="s">
        <v>648</v>
      </c>
      <c r="C17" s="53">
        <f ca="1">ROUND(C16*F17,0)</f>
        <v>0</v>
      </c>
      <c r="D17" s="807" t="s">
        <v>649</v>
      </c>
      <c r="E17" s="807" t="s">
        <v>650</v>
      </c>
      <c r="F17" s="808">
        <f>'数据-取费表'!B33</f>
        <v>0.04</v>
      </c>
      <c r="G17" s="1594"/>
      <c r="H17" s="804" t="s">
        <v>2071</v>
      </c>
      <c r="I17" s="785" t="s">
        <v>644</v>
      </c>
      <c r="J17" s="809">
        <f ca="1">INDIRECT("'数据-取费表'!ad"&amp;$G$1)</f>
        <v>0</v>
      </c>
      <c r="K17" s="26"/>
      <c r="L17" s="802"/>
      <c r="M17" s="803"/>
      <c r="N17" s="2063"/>
      <c r="O17" s="2063"/>
      <c r="P17" s="2063"/>
      <c r="Q17" s="2063"/>
      <c r="R17" s="2063"/>
      <c r="S17" s="2063"/>
      <c r="T17" s="2063"/>
      <c r="U17" s="2063"/>
      <c r="V17" s="2063"/>
      <c r="W17" s="2063"/>
      <c r="X17" s="2063"/>
      <c r="Y17" s="2063"/>
    </row>
    <row r="18" spans="1:25" ht="18" customHeight="1">
      <c r="A18" s="804" t="s">
        <v>1851</v>
      </c>
      <c r="B18" s="785" t="s">
        <v>651</v>
      </c>
      <c r="C18" s="53">
        <f ca="1">ROUND(INDIRECT("'数据-取费表'!m"&amp;$G$1)*F18,0)</f>
        <v>0</v>
      </c>
      <c r="D18" s="785" t="s">
        <v>649</v>
      </c>
      <c r="E18" s="785" t="s">
        <v>650</v>
      </c>
      <c r="F18" s="810">
        <f ca="1">IF(INDIRECT("'数据-取费表'!c"&amp;$G$1)="住宅",'数据-取费表'!B34,0)</f>
        <v>0</v>
      </c>
      <c r="G18" s="1593"/>
      <c r="H18" s="798" t="s">
        <v>1828</v>
      </c>
      <c r="I18" s="799" t="s">
        <v>652</v>
      </c>
      <c r="J18" s="800">
        <f ca="1">ROUND(J19+J24+J25+J26,0)</f>
        <v>0</v>
      </c>
      <c r="K18" s="26" t="s">
        <v>653</v>
      </c>
      <c r="L18" s="1982"/>
      <c r="M18" s="56"/>
    </row>
    <row r="19" spans="1:25" s="2064" customFormat="1" ht="18" customHeight="1">
      <c r="A19" s="804" t="s">
        <v>1852</v>
      </c>
      <c r="B19" s="785" t="s">
        <v>654</v>
      </c>
      <c r="C19" s="53">
        <f ca="1">ROUND(F19*(INDIRECT("'数据-取费表'!k"&amp;$G$1)+INDIRECT("'数据-取费表'!S"&amp;$G$1))/10000,0)</f>
        <v>0</v>
      </c>
      <c r="D19" s="785" t="s">
        <v>655</v>
      </c>
      <c r="E19" s="785" t="s">
        <v>656</v>
      </c>
      <c r="F19" s="56">
        <f>'数据-取费表'!B35</f>
        <v>200</v>
      </c>
      <c r="G19" s="1594"/>
      <c r="H19" s="804" t="s">
        <v>2070</v>
      </c>
      <c r="I19" s="785" t="s">
        <v>657</v>
      </c>
      <c r="J19" s="53">
        <f ca="1">ROUND(IF(项目基本情况!B11="自然人",J7*M19,J20+J21+J22),0)</f>
        <v>0</v>
      </c>
      <c r="K19" s="1979" t="s">
        <v>658</v>
      </c>
      <c r="L19" s="1977" t="s">
        <v>659</v>
      </c>
      <c r="M19" s="811"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4" t="s">
        <v>1853</v>
      </c>
      <c r="B20" s="785" t="s">
        <v>660</v>
      </c>
      <c r="C20" s="53">
        <f ca="1">ROUND(C16*F20,0)</f>
        <v>0</v>
      </c>
      <c r="D20" s="785" t="s">
        <v>649</v>
      </c>
      <c r="E20" s="785" t="s">
        <v>650</v>
      </c>
      <c r="F20" s="810">
        <f>'数据-取费表'!B36</f>
        <v>1.4999999999999999E-2</v>
      </c>
      <c r="G20" s="1594"/>
      <c r="H20" s="804" t="s">
        <v>1832</v>
      </c>
      <c r="I20" s="785" t="s">
        <v>661</v>
      </c>
      <c r="J20" s="53">
        <f ca="1">ROUND(J7*M20/1.05,1)</f>
        <v>0</v>
      </c>
      <c r="K20" s="1977" t="s">
        <v>662</v>
      </c>
      <c r="L20" s="785" t="s">
        <v>650</v>
      </c>
      <c r="M20" s="810">
        <f>'数据-取费表'!B41</f>
        <v>5.5500000000000008E-2</v>
      </c>
      <c r="N20" s="2063"/>
      <c r="O20" s="2063"/>
      <c r="P20" s="2063"/>
      <c r="Q20" s="2063"/>
      <c r="R20" s="2063"/>
      <c r="S20" s="2063"/>
      <c r="T20" s="2063"/>
      <c r="U20" s="2063"/>
      <c r="V20" s="2063"/>
      <c r="W20" s="2063"/>
      <c r="X20" s="2063"/>
      <c r="Y20" s="2063"/>
    </row>
    <row r="21" spans="1:25" ht="18" customHeight="1">
      <c r="A21" s="804" t="s">
        <v>1877</v>
      </c>
      <c r="B21" s="785" t="s">
        <v>663</v>
      </c>
      <c r="C21" s="53">
        <f ca="1">SUM(C16:C20)</f>
        <v>0</v>
      </c>
      <c r="D21" s="259" t="s">
        <v>664</v>
      </c>
      <c r="E21" s="1982"/>
      <c r="F21" s="56"/>
      <c r="G21" s="1593"/>
      <c r="H21" s="1831" t="s">
        <v>1850</v>
      </c>
      <c r="I21" s="785" t="s">
        <v>665</v>
      </c>
      <c r="J21" s="53">
        <f ca="1">IF(K21="按租金收入计税",ROUND(J7*M21,1),ROUND(C31*F35*0.7,1))</f>
        <v>0</v>
      </c>
      <c r="K21" s="812" t="s">
        <v>666</v>
      </c>
      <c r="L21" s="785" t="s">
        <v>650</v>
      </c>
      <c r="M21" s="810">
        <f>IF(K21="按租金收入计税",'数据-取费表'!B51,'数据-取费表'!B50)</f>
        <v>1.2E-2</v>
      </c>
    </row>
    <row r="22" spans="1:25" s="2064" customFormat="1" ht="18" customHeight="1">
      <c r="A22" s="804" t="s">
        <v>1878</v>
      </c>
      <c r="B22" s="785" t="s">
        <v>667</v>
      </c>
      <c r="C22" s="53">
        <f ca="1">ROUND(C21*F22,0)</f>
        <v>0</v>
      </c>
      <c r="D22" s="813" t="s">
        <v>668</v>
      </c>
      <c r="E22" s="785" t="s">
        <v>650</v>
      </c>
      <c r="F22" s="810">
        <f>'数据-取费表'!B37</f>
        <v>0.02</v>
      </c>
      <c r="G22" s="1594"/>
      <c r="H22" s="1833" t="s">
        <v>1851</v>
      </c>
      <c r="I22" s="1823" t="s">
        <v>669</v>
      </c>
      <c r="J22" s="54">
        <f ca="1">ROUND(M22*M23/10000,0)</f>
        <v>0</v>
      </c>
      <c r="K22" s="815" t="s">
        <v>670</v>
      </c>
      <c r="L22" s="785" t="s">
        <v>671</v>
      </c>
      <c r="M22" s="641">
        <f>'数据-取费表'!B52</f>
        <v>1.5</v>
      </c>
      <c r="N22" s="2063"/>
      <c r="O22" s="2063"/>
      <c r="P22" s="2063"/>
      <c r="Q22" s="2063"/>
      <c r="R22" s="2063"/>
      <c r="S22" s="2063"/>
      <c r="T22" s="2063"/>
      <c r="U22" s="2063"/>
      <c r="V22" s="2063"/>
      <c r="W22" s="2063"/>
      <c r="X22" s="2063"/>
      <c r="Y22" s="2063"/>
    </row>
    <row r="23" spans="1:25" s="2064" customFormat="1" ht="18" customHeight="1">
      <c r="A23" s="804" t="s">
        <v>1879</v>
      </c>
      <c r="B23" s="785" t="s">
        <v>672</v>
      </c>
      <c r="C23" s="53" t="s">
        <v>1</v>
      </c>
      <c r="D23" s="813" t="s">
        <v>673</v>
      </c>
      <c r="E23" s="785" t="s">
        <v>674</v>
      </c>
      <c r="F23" s="810">
        <f>'数据-取费表'!B38</f>
        <v>0.02</v>
      </c>
      <c r="G23" s="1594"/>
      <c r="H23" s="1834"/>
      <c r="I23" s="1825"/>
      <c r="J23" s="69"/>
      <c r="K23" s="817"/>
      <c r="L23" s="785" t="s">
        <v>675</v>
      </c>
      <c r="M23" s="786">
        <f ca="1">INDIRECT("'数据-取费表'!r"&amp;$G$1)</f>
        <v>0</v>
      </c>
      <c r="N23" s="2063"/>
      <c r="O23" s="2063"/>
      <c r="P23" s="2063"/>
      <c r="Q23" s="2063"/>
      <c r="R23" s="2063"/>
      <c r="S23" s="2063"/>
      <c r="T23" s="2063"/>
      <c r="U23" s="2063"/>
      <c r="V23" s="2063"/>
      <c r="W23" s="2063"/>
      <c r="X23" s="2063"/>
      <c r="Y23" s="2063"/>
    </row>
    <row r="24" spans="1:25" ht="18" customHeight="1">
      <c r="A24" s="804" t="s">
        <v>1880</v>
      </c>
      <c r="B24" s="785" t="s">
        <v>676</v>
      </c>
      <c r="C24" s="53"/>
      <c r="D24" s="2596" t="str">
        <f>IF(F25&lt;=1,"单利计息。","复利计息。")&amp;"建造成本、管理费用、销售费用产生的利息。"</f>
        <v>复利计息。建造成本、管理费用、销售费用产生的利息。</v>
      </c>
      <c r="E24" s="1982"/>
      <c r="F24" s="56"/>
      <c r="G24" s="1593"/>
      <c r="H24" s="1832" t="s">
        <v>2071</v>
      </c>
      <c r="I24" s="785" t="s">
        <v>677</v>
      </c>
      <c r="J24" s="53">
        <f ca="1">ROUND(J16*M24,0)</f>
        <v>0</v>
      </c>
      <c r="K24" s="1977" t="s">
        <v>678</v>
      </c>
      <c r="L24" s="785" t="s">
        <v>650</v>
      </c>
      <c r="M24" s="818">
        <f ca="1">INDIRECT("'数据-取费表'!Ak"&amp;$G$1)</f>
        <v>0</v>
      </c>
    </row>
    <row r="25" spans="1:25" s="2064" customFormat="1" ht="18" customHeight="1">
      <c r="A25" s="804" t="s">
        <v>1876</v>
      </c>
      <c r="B25" s="785" t="s">
        <v>2439</v>
      </c>
      <c r="C25" s="53">
        <f ca="1">ROUND(IF('数据-取费表'!B22&lt;=1,(C21+C22)*F26*F25/2,(C21+C22)*(POWER((1+F26),F25/2)-1)),0)</f>
        <v>0</v>
      </c>
      <c r="D25" s="2595" t="str">
        <f>IF(F25&lt;=1,"(建造成本+管理费用)×利率×(建设周期÷2)","(建造成本+管理费用)×((1+利率)^(建设周期÷2)-1)")</f>
        <v>(建造成本+管理费用)×((1+利率)^(建设周期÷2)-1)</v>
      </c>
      <c r="E25" s="785" t="s">
        <v>679</v>
      </c>
      <c r="F25" s="641">
        <f>'数据-取费表'!B20</f>
        <v>3</v>
      </c>
      <c r="G25" s="1594"/>
      <c r="H25" s="804" t="s">
        <v>1879</v>
      </c>
      <c r="I25" s="785" t="s">
        <v>680</v>
      </c>
      <c r="J25" s="53">
        <f ca="1">ROUND(J15*M25,0)</f>
        <v>0</v>
      </c>
      <c r="K25" s="1977" t="s">
        <v>681</v>
      </c>
      <c r="L25" s="785" t="s">
        <v>650</v>
      </c>
      <c r="M25" s="819">
        <f ca="1">INDIRECT("'数据-取费表'!Al"&amp;$G$1)</f>
        <v>0</v>
      </c>
      <c r="N25" s="2063"/>
      <c r="O25" s="2063"/>
      <c r="P25" s="2063"/>
      <c r="Q25" s="2063"/>
      <c r="R25" s="2063"/>
      <c r="S25" s="2063"/>
      <c r="T25" s="2063"/>
      <c r="U25" s="2063"/>
      <c r="V25" s="2063"/>
      <c r="W25" s="2063"/>
      <c r="X25" s="2063"/>
      <c r="Y25" s="2063"/>
    </row>
    <row r="26" spans="1:25" s="2064" customFormat="1" ht="18" customHeight="1">
      <c r="A26" s="804" t="s">
        <v>1850</v>
      </c>
      <c r="B26" s="785" t="s">
        <v>682</v>
      </c>
      <c r="C26" s="53">
        <f ca="1">ROUND(IF('数据-取费表'!B22&lt;=1,F23*F26*F25/2,F23*(POWER((1+F26),F25/2)-1)),4)</f>
        <v>1.4E-3</v>
      </c>
      <c r="D26" s="2595" t="str">
        <f>IF(F25&lt;=1,"销售费用×利率×(建设周期÷2)","销售费用×((1+利率)^(建设周期÷2)-1)")</f>
        <v>销售费用×((1+利率)^(建设周期÷2)-1)</v>
      </c>
      <c r="E26" s="785" t="s">
        <v>683</v>
      </c>
      <c r="F26" s="820">
        <f ca="1">'数据-取费表'!B40</f>
        <v>4.7500000000000001E-2</v>
      </c>
      <c r="G26" s="1594"/>
      <c r="H26" s="804" t="s">
        <v>1880</v>
      </c>
      <c r="I26" s="785" t="s">
        <v>667</v>
      </c>
      <c r="J26" s="53">
        <f ca="1">ROUND(J7*M26,0)</f>
        <v>0</v>
      </c>
      <c r="K26" s="1977" t="s">
        <v>684</v>
      </c>
      <c r="L26" s="785" t="s">
        <v>650</v>
      </c>
      <c r="M26" s="795">
        <f ca="1">INDIRECT("'数据-取费表'!Am"&amp;$G$1)</f>
        <v>0</v>
      </c>
      <c r="N26" s="2063"/>
      <c r="O26" s="2063"/>
      <c r="P26" s="2063"/>
      <c r="Q26" s="2063"/>
      <c r="R26" s="2063"/>
      <c r="S26" s="2063"/>
      <c r="T26" s="2063"/>
      <c r="U26" s="2063"/>
      <c r="V26" s="2063"/>
      <c r="W26" s="2063"/>
      <c r="X26" s="2063"/>
      <c r="Y26" s="2063"/>
    </row>
    <row r="27" spans="1:25" ht="18" customHeight="1">
      <c r="A27" s="804" t="s">
        <v>1882</v>
      </c>
      <c r="B27" s="785" t="s">
        <v>685</v>
      </c>
      <c r="C27" s="53"/>
      <c r="D27" s="259" t="s">
        <v>686</v>
      </c>
      <c r="E27" s="1982"/>
      <c r="F27" s="56"/>
      <c r="G27" s="1593"/>
      <c r="H27" s="798" t="s">
        <v>1829</v>
      </c>
      <c r="I27" s="3037" t="s">
        <v>2828</v>
      </c>
      <c r="J27" s="800">
        <f ca="1">J7-J18</f>
        <v>0</v>
      </c>
      <c r="K27" s="1979" t="s">
        <v>701</v>
      </c>
      <c r="L27" s="1981"/>
      <c r="M27" s="821"/>
    </row>
    <row r="28" spans="1:25" ht="18" customHeight="1">
      <c r="A28" s="804" t="s">
        <v>1876</v>
      </c>
      <c r="B28" s="785" t="s">
        <v>2440</v>
      </c>
      <c r="C28" s="53">
        <f ca="1">ROUND((C21+C22)*F28,0)</f>
        <v>0</v>
      </c>
      <c r="D28" s="813" t="s">
        <v>702</v>
      </c>
      <c r="E28" s="796" t="s">
        <v>703</v>
      </c>
      <c r="F28" s="795">
        <f ca="1">INDIRECT("'数据-取费表'!q"&amp;$G$1)</f>
        <v>0</v>
      </c>
      <c r="G28" s="1593"/>
      <c r="H28" s="782" t="s">
        <v>1838</v>
      </c>
      <c r="I28" s="783" t="s">
        <v>704</v>
      </c>
      <c r="J28" s="784">
        <f ca="1">IF(J7&lt;&gt;0,ROUND(J27*(1-((1+M30)/(1+M28))^M29)/(M28-M30),0),0)</f>
        <v>0</v>
      </c>
      <c r="K28" s="815" t="s">
        <v>705</v>
      </c>
      <c r="L28" s="785" t="s">
        <v>706</v>
      </c>
      <c r="M28" s="795">
        <f ca="1">INDIRECT("'数据-取费表'!I"&amp;$G$1)</f>
        <v>0</v>
      </c>
    </row>
    <row r="29" spans="1:25" ht="18" customHeight="1">
      <c r="A29" s="804" t="s">
        <v>1850</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4" customFormat="1" ht="18" customHeight="1">
      <c r="A30" s="804" t="s">
        <v>1883</v>
      </c>
      <c r="B30" s="785" t="s">
        <v>688</v>
      </c>
      <c r="C30" s="53">
        <f>ROUND(F30/(1+'数据-取费表'!C42),4)</f>
        <v>5.2900000000000003E-2</v>
      </c>
      <c r="D30" s="813" t="s">
        <v>710</v>
      </c>
      <c r="E30" s="785" t="s">
        <v>650</v>
      </c>
      <c r="F30" s="810">
        <f>'数据-取费表'!B41</f>
        <v>5.5500000000000008E-2</v>
      </c>
      <c r="G30" s="1594"/>
      <c r="H30" s="791"/>
      <c r="I30" s="792"/>
      <c r="J30" s="793"/>
      <c r="K30" s="817"/>
      <c r="L30" s="785" t="s">
        <v>711</v>
      </c>
      <c r="M30" s="795">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2829</v>
      </c>
      <c r="C31" s="2568">
        <f ca="1">ROUND((C21+C22+C25+C28)/(1-F23-C26-C29-C30),0)</f>
        <v>0</v>
      </c>
      <c r="D31" s="2569"/>
      <c r="E31" s="2570"/>
      <c r="F31" s="2571"/>
      <c r="G31" s="1594"/>
      <c r="H31" s="824" t="s">
        <v>1873</v>
      </c>
      <c r="I31" s="3038" t="s">
        <v>2830</v>
      </c>
      <c r="J31" s="826">
        <f ca="1">ROUND(J28/(1+F45)^F46,0)</f>
        <v>0</v>
      </c>
      <c r="K31" s="827" t="s">
        <v>689</v>
      </c>
      <c r="L31" s="828"/>
      <c r="M31" s="829">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3">
        <f ca="1">ROUND(C33+C38+C39+C40,0)</f>
        <v>0</v>
      </c>
      <c r="D32" s="1822" t="s">
        <v>653</v>
      </c>
      <c r="E32" s="2511"/>
      <c r="F32" s="2515"/>
      <c r="G32" s="2062"/>
      <c r="H32" s="2065"/>
      <c r="I32" s="2066"/>
      <c r="J32" s="2067"/>
      <c r="K32" s="2068"/>
      <c r="L32" s="2069"/>
      <c r="M32" s="2070"/>
    </row>
    <row r="33" spans="1:18" ht="18" customHeight="1">
      <c r="A33" s="804" t="s">
        <v>1877</v>
      </c>
      <c r="B33" s="785" t="s">
        <v>657</v>
      </c>
      <c r="C33" s="53">
        <f ca="1">ROUND(IF(项目基本情况!B11="自然人",C7*F33,C34+C35+C36),1)</f>
        <v>0</v>
      </c>
      <c r="D33" s="1979" t="s">
        <v>658</v>
      </c>
      <c r="E33" s="1977" t="s">
        <v>691</v>
      </c>
      <c r="F33" s="811" t="str">
        <f ca="1">IF(项目基本情况!B11="企业","",IF(INDIRECT("'数据-取费表'!c"&amp;$G$1)="住宅",5%,IF(F8*F9*F10/12/(1+'数据-取费表'!C42)&gt;20000,12%,7%)))</f>
        <v/>
      </c>
      <c r="G33" s="2062"/>
      <c r="H33" s="2065"/>
      <c r="I33" s="2066"/>
      <c r="J33" s="2067"/>
      <c r="K33" s="2068"/>
      <c r="L33" s="2069"/>
      <c r="M33" s="2070"/>
    </row>
    <row r="34" spans="1:18" ht="18" customHeight="1">
      <c r="A34" s="804" t="s">
        <v>1876</v>
      </c>
      <c r="B34" s="785" t="s">
        <v>661</v>
      </c>
      <c r="C34" s="53">
        <f ca="1">ROUND(C7*F34/1.05,1)</f>
        <v>0</v>
      </c>
      <c r="D34" s="1977" t="s">
        <v>662</v>
      </c>
      <c r="E34" s="785" t="s">
        <v>650</v>
      </c>
      <c r="F34" s="810">
        <f>'数据-取费表'!B41</f>
        <v>5.5500000000000008E-2</v>
      </c>
      <c r="G34" s="2062"/>
      <c r="H34" s="2071"/>
      <c r="I34" s="2072"/>
      <c r="J34" s="2073"/>
      <c r="K34" s="2074"/>
      <c r="L34" s="2075"/>
      <c r="M34" s="2076"/>
    </row>
    <row r="35" spans="1:18" ht="18" customHeight="1">
      <c r="A35" s="804" t="s">
        <v>1850</v>
      </c>
      <c r="B35" s="785" t="s">
        <v>665</v>
      </c>
      <c r="C35" s="53">
        <f ca="1">IF(D35="按租金收入计税",ROUND(C7*F35,1),IF(D35="按房产原值计税",ROUND(C31*F35*0.7,1),INDIRECT("'数据-取费表'!Aj"&amp;$G$1)))</f>
        <v>0</v>
      </c>
      <c r="D35" s="812" t="s">
        <v>1681</v>
      </c>
      <c r="E35" s="785" t="s">
        <v>650</v>
      </c>
      <c r="F35" s="810">
        <f>IF(D35="按租金收入计税",'数据-取费表'!B51,'数据-取费表'!B50)</f>
        <v>1.2E-2</v>
      </c>
      <c r="G35" s="2062"/>
      <c r="H35" s="2077"/>
      <c r="I35" s="2077"/>
      <c r="J35" s="2077"/>
      <c r="K35" s="2078"/>
      <c r="L35" s="2077"/>
      <c r="M35" s="2077"/>
    </row>
    <row r="36" spans="1:18" ht="18" customHeight="1">
      <c r="A36" s="814" t="s">
        <v>1881</v>
      </c>
      <c r="B36" s="342" t="s">
        <v>669</v>
      </c>
      <c r="C36" s="54">
        <f ca="1">ROUND(F36*F37/10000,1)</f>
        <v>0</v>
      </c>
      <c r="D36" s="815" t="s">
        <v>670</v>
      </c>
      <c r="E36" s="785" t="s">
        <v>671</v>
      </c>
      <c r="F36" s="641">
        <f>'数据-取费表'!B52</f>
        <v>1.5</v>
      </c>
      <c r="G36" s="2062"/>
      <c r="H36" s="2065"/>
      <c r="I36" s="3481"/>
      <c r="J36" s="2079"/>
      <c r="K36" s="2080"/>
      <c r="L36" s="2079"/>
      <c r="M36" s="2079"/>
    </row>
    <row r="37" spans="1:18" ht="18" customHeight="1">
      <c r="A37" s="816"/>
      <c r="B37" s="794"/>
      <c r="C37" s="69"/>
      <c r="D37" s="817"/>
      <c r="E37" s="785" t="s">
        <v>675</v>
      </c>
      <c r="F37" s="786">
        <f ca="1">INDIRECT("'数据-取费表'!r"&amp;$G$1)</f>
        <v>0</v>
      </c>
      <c r="G37" s="2062"/>
      <c r="H37" s="2065"/>
      <c r="I37" s="3481"/>
      <c r="J37" s="2077"/>
      <c r="K37" s="2078"/>
      <c r="L37" s="2077"/>
      <c r="M37" s="2077"/>
    </row>
    <row r="38" spans="1:18" ht="18" customHeight="1">
      <c r="A38" s="804" t="s">
        <v>1878</v>
      </c>
      <c r="B38" s="785" t="s">
        <v>677</v>
      </c>
      <c r="C38" s="53">
        <f ca="1">ROUND(C31*F38,1)</f>
        <v>0</v>
      </c>
      <c r="D38" s="1977" t="s">
        <v>692</v>
      </c>
      <c r="E38" s="785" t="s">
        <v>650</v>
      </c>
      <c r="F38" s="818">
        <f ca="1">INDIRECT("'数据-取费表'!Ak"&amp;$G$1)</f>
        <v>0</v>
      </c>
      <c r="G38" s="2062"/>
      <c r="H38" s="2077"/>
      <c r="I38" s="2081"/>
      <c r="J38" s="1988"/>
      <c r="K38" s="2082"/>
      <c r="L38" s="2077"/>
      <c r="M38" s="2077"/>
    </row>
    <row r="39" spans="1:18" ht="18" customHeight="1">
      <c r="A39" s="804" t="s">
        <v>1879</v>
      </c>
      <c r="B39" s="785" t="s">
        <v>680</v>
      </c>
      <c r="C39" s="53">
        <f ca="1">ROUND(C15*F39,1)</f>
        <v>0</v>
      </c>
      <c r="D39" s="1977" t="s">
        <v>681</v>
      </c>
      <c r="E39" s="785" t="s">
        <v>650</v>
      </c>
      <c r="F39" s="819">
        <f ca="1">INDIRECT("'数据-取费表'!Al"&amp;$G$1)</f>
        <v>0</v>
      </c>
      <c r="G39" s="2062"/>
      <c r="H39" s="2077"/>
      <c r="I39" s="2081"/>
      <c r="J39" s="1988"/>
      <c r="K39" s="2082"/>
      <c r="L39" s="2077"/>
      <c r="M39" s="2077"/>
    </row>
    <row r="40" spans="1:18" ht="18" customHeight="1" thickBot="1">
      <c r="A40" s="2584" t="s">
        <v>1880</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4"/>
      <c r="D41" s="1355"/>
      <c r="E41" s="1355"/>
      <c r="F41" s="1356"/>
      <c r="G41" s="2062"/>
      <c r="H41" s="2062"/>
      <c r="I41" s="2062"/>
      <c r="J41" s="2062"/>
      <c r="K41" s="2083"/>
      <c r="L41" s="2062"/>
      <c r="M41" s="2062"/>
    </row>
    <row r="42" spans="1:18" ht="18" customHeight="1">
      <c r="A42" s="804" t="s">
        <v>1877</v>
      </c>
      <c r="B42" s="836" t="s">
        <v>694</v>
      </c>
      <c r="C42" s="830">
        <f ca="1">C7-C32</f>
        <v>0</v>
      </c>
      <c r="D42" s="1979" t="s">
        <v>695</v>
      </c>
      <c r="E42" s="1981"/>
      <c r="F42" s="821"/>
      <c r="G42" s="2062"/>
      <c r="H42" s="2062"/>
      <c r="I42" s="2062"/>
      <c r="J42" s="2062"/>
      <c r="K42" s="2083"/>
      <c r="L42" s="2062"/>
      <c r="M42" s="2062"/>
    </row>
    <row r="43" spans="1:18" ht="18" customHeight="1">
      <c r="A43" s="804" t="s">
        <v>1878</v>
      </c>
      <c r="B43" s="836" t="s">
        <v>712</v>
      </c>
      <c r="C43" s="837">
        <f ca="1">ROUND(C15*F43,0)</f>
        <v>0</v>
      </c>
      <c r="D43" s="1357" t="s">
        <v>713</v>
      </c>
      <c r="E43" s="3152" t="s">
        <v>2964</v>
      </c>
      <c r="F43" s="3153">
        <f ca="1">INDIRECT("'数据-取费表'!j"&amp;$G$1)</f>
        <v>0</v>
      </c>
      <c r="G43" s="2062"/>
      <c r="H43" s="2062"/>
      <c r="I43" s="2062"/>
      <c r="J43" s="2062"/>
      <c r="K43" s="2083"/>
      <c r="L43" s="2062"/>
      <c r="M43" s="2062"/>
    </row>
    <row r="44" spans="1:18" ht="18" customHeight="1">
      <c r="A44" s="804" t="s">
        <v>1879</v>
      </c>
      <c r="B44" s="836" t="s">
        <v>714</v>
      </c>
      <c r="C44" s="1358">
        <f ca="1">C42-C43</f>
        <v>0</v>
      </c>
      <c r="D44" s="464" t="s">
        <v>715</v>
      </c>
      <c r="E44" s="465"/>
      <c r="F44" s="466"/>
      <c r="G44" s="2062"/>
      <c r="H44" s="2062"/>
      <c r="I44" s="2062"/>
      <c r="J44" s="2062"/>
      <c r="K44" s="2083"/>
      <c r="L44" s="2062"/>
      <c r="M44" s="2062"/>
    </row>
    <row r="45" spans="1:18" ht="18" customHeight="1">
      <c r="A45" s="804" t="s">
        <v>1880</v>
      </c>
      <c r="B45" s="1357" t="s">
        <v>716</v>
      </c>
      <c r="C45" s="3063">
        <f ca="1">ROUND(-PV(F45,F46,C44,0),0)</f>
        <v>0</v>
      </c>
      <c r="D45" s="1359" t="s">
        <v>717</v>
      </c>
      <c r="E45" s="807" t="s">
        <v>718</v>
      </c>
      <c r="F45" s="831">
        <f ca="1">INDIRECT("'数据-取费表'!h"&amp;$G$1)</f>
        <v>0</v>
      </c>
      <c r="G45" s="2062"/>
      <c r="H45" s="2062"/>
      <c r="I45" s="2062"/>
      <c r="J45" s="2062"/>
      <c r="K45" s="2083"/>
      <c r="L45" s="2062"/>
      <c r="M45" s="2062"/>
    </row>
    <row r="46" spans="1:18" ht="18" customHeight="1" thickBot="1">
      <c r="A46" s="832"/>
      <c r="B46" s="1360"/>
      <c r="C46" s="1361"/>
      <c r="D46" s="1362"/>
      <c r="E46" s="3154" t="s">
        <v>2967</v>
      </c>
      <c r="F46" s="829">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3"/>
      <c r="Q47" s="1605"/>
      <c r="R47" s="1593"/>
    </row>
    <row r="48" spans="1:18" s="2059" customFormat="1" ht="18" customHeight="1" thickBot="1">
      <c r="A48" s="2084"/>
      <c r="C48" s="2087"/>
      <c r="D48" s="2088"/>
      <c r="E48" s="2088"/>
      <c r="F48" s="2089"/>
      <c r="G48" s="2090"/>
      <c r="I48" s="2382" t="s">
        <v>2345</v>
      </c>
      <c r="J48" s="2387"/>
      <c r="K48" s="2388" t="s">
        <v>2351</v>
      </c>
      <c r="L48" s="2389">
        <f ca="1">INDIRECT("'数据-取费表'!d"&amp;$G$1)</f>
        <v>0</v>
      </c>
      <c r="M48" s="3149"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486"/>
      <c r="L54" s="3487"/>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6" t="s">
        <v>2357</v>
      </c>
      <c r="J56" s="3150" t="e">
        <f ca="1">ROUND(IF(J48="钢混",J58/J51,1-(1-2%)*(J51-J58)/J51),3)</f>
        <v>#VALUE!</v>
      </c>
      <c r="K56" s="2401" t="s">
        <v>2358</v>
      </c>
      <c r="L56" s="2402"/>
      <c r="O56" s="2428" t="s">
        <v>2413</v>
      </c>
      <c r="P56" s="1593"/>
      <c r="Q56" s="1605"/>
      <c r="R56" s="1593"/>
    </row>
    <row r="57" spans="1:18" s="2059" customFormat="1" ht="43.5" thickBot="1">
      <c r="A57" s="2096"/>
      <c r="B57" s="2097"/>
      <c r="C57" s="2097"/>
      <c r="I57" s="2403" t="s">
        <v>2359</v>
      </c>
      <c r="J57" s="3149" t="s">
        <v>1679</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1"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28" t="s">
        <v>2943</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29">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0">
        <v>0</v>
      </c>
      <c r="O65" s="2428" t="s">
        <v>2417</v>
      </c>
      <c r="P65" s="1593"/>
      <c r="Q65" s="1605"/>
      <c r="R65" s="1593"/>
    </row>
    <row r="66" spans="1:18" s="2059" customFormat="1" ht="15.75" thickBot="1">
      <c r="A66" s="2096"/>
      <c r="B66" s="2097"/>
      <c r="C66" s="2097"/>
      <c r="I66" s="2409" t="s">
        <v>2374</v>
      </c>
      <c r="J66" s="2410">
        <v>40</v>
      </c>
      <c r="K66" s="2410">
        <v>30</v>
      </c>
      <c r="L66" s="2410">
        <v>50</v>
      </c>
      <c r="M66" s="3129">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93.75">
      <c r="A7" s="2899" t="s">
        <v>2754</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2755</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94" t="s">
        <v>2580</v>
      </c>
      <c r="C1" s="3494"/>
      <c r="D1" s="3494"/>
      <c r="E1" s="3494"/>
      <c r="F1" s="3494"/>
      <c r="G1" s="3493" t="s">
        <v>2581</v>
      </c>
      <c r="H1" s="3493"/>
      <c r="I1" s="3493"/>
      <c r="J1" s="3493"/>
      <c r="K1" s="3493"/>
      <c r="L1" s="3493"/>
      <c r="N1" s="3493" t="s">
        <v>2582</v>
      </c>
      <c r="O1" s="3493"/>
      <c r="P1" s="3493"/>
      <c r="Q1" s="3493"/>
      <c r="R1" s="2679"/>
      <c r="S1" s="3493" t="s">
        <v>2583</v>
      </c>
      <c r="T1" s="3493"/>
      <c r="U1" s="3493"/>
      <c r="V1" s="3493"/>
      <c r="X1" s="3492" t="s">
        <v>2644</v>
      </c>
      <c r="Y1" s="3493"/>
      <c r="Z1" s="3493"/>
      <c r="AA1" s="3493"/>
      <c r="AB1" s="3493"/>
      <c r="AD1" s="3492" t="s">
        <v>2649</v>
      </c>
      <c r="AE1" s="3493"/>
      <c r="AF1" s="3493"/>
      <c r="AG1" s="3493"/>
      <c r="AH1" s="3493"/>
    </row>
    <row r="2" spans="1:34" s="2781" customFormat="1" ht="14.25" thickBot="1">
      <c r="B2" s="2790" t="s">
        <v>2584</v>
      </c>
      <c r="C2" s="2790" t="s">
        <v>2647</v>
      </c>
      <c r="D2" s="2782" t="s">
        <v>1645</v>
      </c>
      <c r="E2" s="2782" t="s">
        <v>1952</v>
      </c>
      <c r="F2" s="2790" t="s">
        <v>2648</v>
      </c>
      <c r="G2" s="2785"/>
      <c r="H2" s="2784"/>
      <c r="I2" s="2790" t="s">
        <v>2958</v>
      </c>
      <c r="J2" s="2782" t="s">
        <v>2960</v>
      </c>
      <c r="K2" s="2782" t="s">
        <v>2961</v>
      </c>
      <c r="L2" s="2790" t="s">
        <v>2962</v>
      </c>
      <c r="N2" s="2790" t="s">
        <v>2584</v>
      </c>
      <c r="O2" s="2782" t="s">
        <v>2959</v>
      </c>
      <c r="P2" s="2782" t="s">
        <v>1952</v>
      </c>
      <c r="Q2" s="2790" t="s">
        <v>2648</v>
      </c>
      <c r="R2" s="2783"/>
      <c r="S2" s="2790" t="s">
        <v>2584</v>
      </c>
      <c r="T2" s="2782" t="s">
        <v>2959</v>
      </c>
      <c r="U2" s="2782" t="s">
        <v>1952</v>
      </c>
      <c r="V2" s="2790" t="s">
        <v>2648</v>
      </c>
      <c r="X2" s="2790" t="s">
        <v>2584</v>
      </c>
      <c r="Y2" s="2790" t="s">
        <v>2647</v>
      </c>
      <c r="Z2" s="2782" t="s">
        <v>1645</v>
      </c>
      <c r="AA2" s="2782" t="s">
        <v>1952</v>
      </c>
      <c r="AB2" s="2790" t="s">
        <v>2648</v>
      </c>
      <c r="AD2" s="2790" t="s">
        <v>2584</v>
      </c>
      <c r="AE2" s="2790" t="s">
        <v>2647</v>
      </c>
      <c r="AF2" s="2782" t="s">
        <v>1645</v>
      </c>
      <c r="AG2" s="2782" t="s">
        <v>1952</v>
      </c>
      <c r="AH2" s="2790" t="s">
        <v>2648</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2969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91">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2645</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2585</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89"/>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2586</v>
      </c>
      <c r="B7" s="2694">
        <f t="shared" si="18"/>
        <v>419.31181600000002</v>
      </c>
      <c r="C7" s="2694">
        <f t="shared" si="18"/>
        <v>313.95436800000004</v>
      </c>
      <c r="D7" s="2694">
        <f t="shared" si="3"/>
        <v>313.95436800000004</v>
      </c>
      <c r="E7" s="2694">
        <f t="shared" si="19"/>
        <v>596.63028431999999</v>
      </c>
      <c r="F7" s="2694">
        <f t="shared" si="19"/>
        <v>274.74220703999998</v>
      </c>
      <c r="G7" s="3489"/>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2587</v>
      </c>
      <c r="B8" s="2694">
        <f t="shared" si="18"/>
        <v>405.524</v>
      </c>
      <c r="C8" s="2694">
        <f t="shared" si="18"/>
        <v>307.79840000000002</v>
      </c>
      <c r="D8" s="2694">
        <f t="shared" si="3"/>
        <v>307.79840000000002</v>
      </c>
      <c r="E8" s="2694">
        <f t="shared" si="19"/>
        <v>574.67759999999998</v>
      </c>
      <c r="F8" s="2694">
        <f t="shared" si="19"/>
        <v>270.20280000000002</v>
      </c>
      <c r="G8" s="3490"/>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91">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89"/>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89"/>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90"/>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88">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89"/>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89"/>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90"/>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88">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89"/>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89"/>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90"/>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2646</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2588</v>
      </c>
      <c r="B21" s="2686">
        <v>299</v>
      </c>
      <c r="C21" s="2686">
        <v>252</v>
      </c>
      <c r="D21" s="2686">
        <f t="shared" si="28"/>
        <v>252</v>
      </c>
      <c r="E21" s="2686">
        <v>409</v>
      </c>
      <c r="F21" s="2687">
        <v>227</v>
      </c>
      <c r="G21" s="349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2589</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9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2590</v>
      </c>
      <c r="B23" s="2694">
        <f t="shared" si="37"/>
        <v>288.2649053828776</v>
      </c>
      <c r="C23" s="2694">
        <f t="shared" si="37"/>
        <v>243.64564425013293</v>
      </c>
      <c r="D23" s="2694">
        <f t="shared" si="28"/>
        <v>243.64564425013293</v>
      </c>
      <c r="E23" s="2694">
        <f t="shared" si="38"/>
        <v>393.31080825986544</v>
      </c>
      <c r="F23" s="2694">
        <f t="shared" si="38"/>
        <v>223.07903790551154</v>
      </c>
      <c r="G23" s="349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2591</v>
      </c>
      <c r="B24" s="2694">
        <f t="shared" si="37"/>
        <v>282.50186729015837</v>
      </c>
      <c r="C24" s="2694">
        <f t="shared" si="37"/>
        <v>238.09796174155468</v>
      </c>
      <c r="D24" s="2694">
        <f t="shared" si="28"/>
        <v>238.09796174155468</v>
      </c>
      <c r="E24" s="2694">
        <f t="shared" si="38"/>
        <v>385.33438646014054</v>
      </c>
      <c r="F24" s="2694">
        <f t="shared" si="38"/>
        <v>221.55034055567739</v>
      </c>
      <c r="G24" s="349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2592</v>
      </c>
      <c r="B25" s="2724">
        <v>278</v>
      </c>
      <c r="C25" s="2724">
        <v>234</v>
      </c>
      <c r="D25" s="2724">
        <f t="shared" si="28"/>
        <v>234</v>
      </c>
      <c r="E25" s="2724">
        <v>379</v>
      </c>
      <c r="F25" s="2725">
        <v>220</v>
      </c>
      <c r="G25" s="3488">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2593</v>
      </c>
      <c r="B26" s="2694">
        <f>B25/(1+N25)</f>
        <v>275.49301357645425</v>
      </c>
      <c r="C26" s="2694">
        <f>C25/(1+O25)</f>
        <v>232.41954707985698</v>
      </c>
      <c r="D26" s="2694">
        <f t="shared" si="28"/>
        <v>232.41954707985698</v>
      </c>
      <c r="E26" s="2694">
        <f t="shared" ref="E26:F28" si="39">E25/(1+P25)</f>
        <v>375.32184591008121</v>
      </c>
      <c r="F26" s="2694">
        <f t="shared" si="39"/>
        <v>218.03766105054513</v>
      </c>
      <c r="G26" s="3489"/>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2594</v>
      </c>
      <c r="B27" s="2694">
        <f>B26/(1+N26)</f>
        <v>275.24529281292263</v>
      </c>
      <c r="C27" s="2694">
        <f>C26/(1+O26)</f>
        <v>231.74747938962707</v>
      </c>
      <c r="D27" s="2694">
        <f t="shared" si="28"/>
        <v>231.74747938962707</v>
      </c>
      <c r="E27" s="2694">
        <f t="shared" si="39"/>
        <v>375.35938184826603</v>
      </c>
      <c r="F27" s="2694">
        <f t="shared" si="39"/>
        <v>216.78033510692495</v>
      </c>
      <c r="G27" s="3489"/>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2595</v>
      </c>
      <c r="B28" s="2694">
        <f>B27/(1+N27)</f>
        <v>275.19025476197027</v>
      </c>
      <c r="C28" s="2726">
        <v>232</v>
      </c>
      <c r="D28" s="2726">
        <f t="shared" si="28"/>
        <v>232</v>
      </c>
      <c r="E28" s="2694">
        <f t="shared" si="39"/>
        <v>375.65990977608692</v>
      </c>
      <c r="F28" s="2694">
        <f t="shared" si="39"/>
        <v>214.12518283971252</v>
      </c>
      <c r="G28" s="3490"/>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2596</v>
      </c>
      <c r="B29" s="2686">
        <v>275</v>
      </c>
      <c r="C29" s="2686">
        <v>232</v>
      </c>
      <c r="D29" s="2686">
        <f t="shared" si="28"/>
        <v>232</v>
      </c>
      <c r="E29" s="2686">
        <v>376</v>
      </c>
      <c r="F29" s="2687">
        <v>213</v>
      </c>
      <c r="G29" s="3488">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2597</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89">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2598</v>
      </c>
      <c r="B31" s="2694">
        <f t="shared" si="40"/>
        <v>275.19335084830601</v>
      </c>
      <c r="C31" s="2694">
        <f t="shared" si="40"/>
        <v>230.18088050139744</v>
      </c>
      <c r="D31" s="2694">
        <f t="shared" si="28"/>
        <v>230.18088050139744</v>
      </c>
      <c r="E31" s="2694">
        <f t="shared" si="41"/>
        <v>377.58482925212331</v>
      </c>
      <c r="F31" s="2694">
        <f t="shared" si="41"/>
        <v>210.90687997847917</v>
      </c>
      <c r="G31" s="3489">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2599</v>
      </c>
      <c r="B32" s="2694">
        <f t="shared" si="40"/>
        <v>276.29854502841971</v>
      </c>
      <c r="C32" s="2694">
        <f t="shared" si="40"/>
        <v>229.79023709833027</v>
      </c>
      <c r="D32" s="2694">
        <f t="shared" si="28"/>
        <v>229.79023709833027</v>
      </c>
      <c r="E32" s="2694">
        <f t="shared" si="41"/>
        <v>379.78759731655936</v>
      </c>
      <c r="F32" s="2694">
        <f t="shared" si="41"/>
        <v>211.32953905659235</v>
      </c>
      <c r="G32" s="3490">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2600</v>
      </c>
      <c r="B33" s="2686">
        <v>269</v>
      </c>
      <c r="C33" s="2686">
        <v>221</v>
      </c>
      <c r="D33" s="2686">
        <f t="shared" si="28"/>
        <v>221</v>
      </c>
      <c r="E33" s="2686">
        <v>373</v>
      </c>
      <c r="F33" s="2687">
        <v>196</v>
      </c>
      <c r="G33" s="3488">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2601</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89">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2602</v>
      </c>
      <c r="B35" s="2694">
        <f t="shared" si="42"/>
        <v>242.95398227588385</v>
      </c>
      <c r="C35" s="2694">
        <f t="shared" si="42"/>
        <v>199.59137053614126</v>
      </c>
      <c r="D35" s="2694">
        <f t="shared" si="28"/>
        <v>199.59137053614126</v>
      </c>
      <c r="E35" s="2694">
        <f t="shared" si="43"/>
        <v>335.92189522342125</v>
      </c>
      <c r="F35" s="2694">
        <f t="shared" si="43"/>
        <v>183.10139991109489</v>
      </c>
      <c r="G35" s="3489">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2603</v>
      </c>
      <c r="B36" s="2694">
        <f t="shared" si="42"/>
        <v>232.06990378821649</v>
      </c>
      <c r="C36" s="2694">
        <f t="shared" si="42"/>
        <v>192.74878854286936</v>
      </c>
      <c r="D36" s="2694">
        <f t="shared" si="28"/>
        <v>192.74878854286936</v>
      </c>
      <c r="E36" s="2694">
        <f t="shared" si="43"/>
        <v>319.71247284992984</v>
      </c>
      <c r="F36" s="2694">
        <f t="shared" si="43"/>
        <v>175.67053622862409</v>
      </c>
      <c r="G36" s="3490">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2604</v>
      </c>
      <c r="B37" s="2686">
        <v>220</v>
      </c>
      <c r="C37" s="2686">
        <v>187</v>
      </c>
      <c r="D37" s="2686">
        <f t="shared" si="28"/>
        <v>187</v>
      </c>
      <c r="E37" s="2686">
        <v>301</v>
      </c>
      <c r="F37" s="2687">
        <v>168</v>
      </c>
      <c r="G37" s="3488">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2605</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89">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2606</v>
      </c>
      <c r="B39" s="2694">
        <f t="shared" si="44"/>
        <v>210.630522469011</v>
      </c>
      <c r="C39" s="2694">
        <f t="shared" si="44"/>
        <v>181.69567812247232</v>
      </c>
      <c r="D39" s="2694">
        <f t="shared" si="28"/>
        <v>181.69567812247232</v>
      </c>
      <c r="E39" s="2694">
        <f t="shared" si="45"/>
        <v>286.13517466736738</v>
      </c>
      <c r="F39" s="2694">
        <f t="shared" si="45"/>
        <v>165.47535084591149</v>
      </c>
      <c r="G39" s="3489">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2607</v>
      </c>
      <c r="B40" s="2694">
        <f t="shared" si="44"/>
        <v>208.83454537875372</v>
      </c>
      <c r="C40" s="2694">
        <f t="shared" si="44"/>
        <v>183.77230517090351</v>
      </c>
      <c r="D40" s="2694">
        <f t="shared" si="28"/>
        <v>183.77230517090351</v>
      </c>
      <c r="E40" s="2694">
        <f t="shared" si="45"/>
        <v>281.10342338870947</v>
      </c>
      <c r="F40" s="2694">
        <f t="shared" si="45"/>
        <v>168.97309388942256</v>
      </c>
      <c r="G40" s="3490">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2608</v>
      </c>
      <c r="B41" s="2724">
        <v>214</v>
      </c>
      <c r="C41" s="2724">
        <v>188</v>
      </c>
      <c r="D41" s="2724">
        <f t="shared" si="28"/>
        <v>188</v>
      </c>
      <c r="E41" s="2724">
        <v>289</v>
      </c>
      <c r="F41" s="2725">
        <v>166</v>
      </c>
      <c r="G41" s="3488">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2609</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89">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2610</v>
      </c>
      <c r="B43" s="2694">
        <f t="shared" si="46"/>
        <v>206.31694671589116</v>
      </c>
      <c r="C43" s="2694">
        <f t="shared" si="46"/>
        <v>183.61041121036101</v>
      </c>
      <c r="D43" s="2694">
        <f t="shared" si="28"/>
        <v>183.61041121036101</v>
      </c>
      <c r="E43" s="2694">
        <f t="shared" si="47"/>
        <v>276.66850301795557</v>
      </c>
      <c r="F43" s="2694">
        <f t="shared" si="47"/>
        <v>165.1360938278614</v>
      </c>
      <c r="G43" s="3489">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2611</v>
      </c>
      <c r="B44" s="2727">
        <f t="shared" si="46"/>
        <v>196.62341248059772</v>
      </c>
      <c r="C44" s="2727">
        <f t="shared" si="46"/>
        <v>170.99125648199012</v>
      </c>
      <c r="D44" s="2727">
        <f t="shared" si="28"/>
        <v>170.99125648199012</v>
      </c>
      <c r="E44" s="2727">
        <f t="shared" si="47"/>
        <v>266.07857570490052</v>
      </c>
      <c r="F44" s="2727">
        <f t="shared" si="47"/>
        <v>154.53499328828505</v>
      </c>
      <c r="G44" s="3490">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2612</v>
      </c>
      <c r="B45" s="2686">
        <v>188</v>
      </c>
      <c r="C45" s="2686">
        <v>165</v>
      </c>
      <c r="D45" s="2686">
        <f t="shared" si="28"/>
        <v>165</v>
      </c>
      <c r="E45" s="2686">
        <v>254</v>
      </c>
      <c r="F45" s="2687">
        <v>148</v>
      </c>
      <c r="G45" s="3488">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2613</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89">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2614</v>
      </c>
      <c r="B47" s="2694">
        <f t="shared" si="50"/>
        <v>168.82017748715555</v>
      </c>
      <c r="C47" s="2694">
        <f t="shared" si="50"/>
        <v>148.06267029972753</v>
      </c>
      <c r="D47" s="2694">
        <f t="shared" si="28"/>
        <v>148.06267029972753</v>
      </c>
      <c r="E47" s="2694">
        <f t="shared" si="51"/>
        <v>216.46288379323747</v>
      </c>
      <c r="F47" s="2694">
        <f t="shared" si="51"/>
        <v>134.23529411764704</v>
      </c>
      <c r="G47" s="3489">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2615</v>
      </c>
      <c r="B48" s="2694">
        <f t="shared" si="50"/>
        <v>163.84913591779542</v>
      </c>
      <c r="C48" s="2694">
        <f t="shared" si="50"/>
        <v>145.0283378746594</v>
      </c>
      <c r="D48" s="2694">
        <f t="shared" si="28"/>
        <v>145.0283378746594</v>
      </c>
      <c r="E48" s="2694">
        <f t="shared" si="51"/>
        <v>204.95180722891567</v>
      </c>
      <c r="F48" s="2694">
        <f t="shared" si="51"/>
        <v>125.95920303605313</v>
      </c>
      <c r="G48" s="3490">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2616</v>
      </c>
      <c r="B49" s="2708">
        <v>159</v>
      </c>
      <c r="C49" s="2708">
        <v>141</v>
      </c>
      <c r="D49" s="2708">
        <f t="shared" si="28"/>
        <v>141</v>
      </c>
      <c r="E49" s="2708">
        <v>195</v>
      </c>
      <c r="F49" s="2709">
        <v>122</v>
      </c>
      <c r="G49" s="3488">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2617</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89">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2618</v>
      </c>
      <c r="B51" s="2694">
        <f t="shared" si="54"/>
        <v>146.57412060301507</v>
      </c>
      <c r="C51" s="2694">
        <f t="shared" si="54"/>
        <v>136.46831955922866</v>
      </c>
      <c r="D51" s="2694">
        <f t="shared" si="28"/>
        <v>136.46831955922866</v>
      </c>
      <c r="E51" s="2694">
        <f t="shared" si="55"/>
        <v>166.73864894795128</v>
      </c>
      <c r="F51" s="2694">
        <f t="shared" si="55"/>
        <v>115.05882352941177</v>
      </c>
      <c r="G51" s="3489">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2619</v>
      </c>
      <c r="B52" s="2694">
        <f t="shared" si="54"/>
        <v>144.04145728643215</v>
      </c>
      <c r="C52" s="2694">
        <f t="shared" si="54"/>
        <v>136.12396694214877</v>
      </c>
      <c r="D52" s="2694">
        <f t="shared" si="28"/>
        <v>136.12396694214877</v>
      </c>
      <c r="E52" s="2694">
        <f t="shared" si="55"/>
        <v>158.32225913621264</v>
      </c>
      <c r="F52" s="2694">
        <f t="shared" si="55"/>
        <v>114.04278074866311</v>
      </c>
      <c r="G52" s="3490">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2620</v>
      </c>
      <c r="B53" s="2708">
        <v>138</v>
      </c>
      <c r="C53" s="2708">
        <v>131</v>
      </c>
      <c r="D53" s="2708">
        <f t="shared" si="28"/>
        <v>131</v>
      </c>
      <c r="E53" s="2708">
        <v>155</v>
      </c>
      <c r="F53" s="2709">
        <v>114</v>
      </c>
      <c r="G53" s="3488">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2621</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89">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2622</v>
      </c>
      <c r="B55" s="2694">
        <f t="shared" si="58"/>
        <v>124.29032258064517</v>
      </c>
      <c r="C55" s="2694">
        <f t="shared" si="58"/>
        <v>123.8968609865471</v>
      </c>
      <c r="D55" s="2694">
        <f t="shared" si="28"/>
        <v>123.8968609865471</v>
      </c>
      <c r="E55" s="2694">
        <f t="shared" si="59"/>
        <v>138.00507614213197</v>
      </c>
      <c r="F55" s="2694">
        <f t="shared" si="59"/>
        <v>107.96106557377048</v>
      </c>
      <c r="G55" s="3489">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2623</v>
      </c>
      <c r="B56" s="2694">
        <f t="shared" si="58"/>
        <v>122.57204301075269</v>
      </c>
      <c r="C56" s="2694">
        <f t="shared" si="58"/>
        <v>123.4932735426009</v>
      </c>
      <c r="D56" s="2694">
        <f t="shared" si="28"/>
        <v>123.4932735426009</v>
      </c>
      <c r="E56" s="2694">
        <f t="shared" si="59"/>
        <v>129.82233502538071</v>
      </c>
      <c r="F56" s="2694">
        <f t="shared" si="59"/>
        <v>107.39446721311475</v>
      </c>
      <c r="G56" s="3490">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2624</v>
      </c>
      <c r="B57" s="2724">
        <v>121</v>
      </c>
      <c r="C57" s="2724">
        <v>122</v>
      </c>
      <c r="D57" s="2724">
        <f t="shared" si="28"/>
        <v>122</v>
      </c>
      <c r="E57" s="2724">
        <v>124</v>
      </c>
      <c r="F57" s="2725">
        <v>107</v>
      </c>
      <c r="G57" s="3488">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2625</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89">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2626</v>
      </c>
      <c r="B59" s="2694">
        <f t="shared" si="62"/>
        <v>116.99099099099099</v>
      </c>
      <c r="C59" s="2694">
        <f t="shared" si="62"/>
        <v>118.84848484848486</v>
      </c>
      <c r="D59" s="2694">
        <f t="shared" si="28"/>
        <v>118.84848484848486</v>
      </c>
      <c r="E59" s="2694">
        <f t="shared" si="63"/>
        <v>117.60960960960961</v>
      </c>
      <c r="F59" s="2694">
        <f t="shared" si="63"/>
        <v>104</v>
      </c>
      <c r="G59" s="3489">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2627</v>
      </c>
      <c r="B60" s="2727">
        <f t="shared" si="62"/>
        <v>112.48648648648648</v>
      </c>
      <c r="C60" s="2727">
        <f t="shared" si="62"/>
        <v>115.21212121212122</v>
      </c>
      <c r="D60" s="2727">
        <f t="shared" si="28"/>
        <v>115.21212121212122</v>
      </c>
      <c r="E60" s="2727">
        <f t="shared" si="63"/>
        <v>110.4024024024024</v>
      </c>
      <c r="F60" s="2727">
        <f t="shared" si="63"/>
        <v>104</v>
      </c>
      <c r="G60" s="3490">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2628</v>
      </c>
      <c r="B61" s="2745">
        <v>111</v>
      </c>
      <c r="C61" s="2745">
        <v>114</v>
      </c>
      <c r="D61" s="2745">
        <f t="shared" si="28"/>
        <v>114</v>
      </c>
      <c r="E61" s="2745">
        <v>108</v>
      </c>
      <c r="F61" s="2746">
        <v>104</v>
      </c>
      <c r="G61" s="3488">
        <v>2003</v>
      </c>
      <c r="H61" s="2735">
        <v>4</v>
      </c>
      <c r="I61" s="2747"/>
      <c r="J61" s="2747"/>
      <c r="K61" s="2747"/>
      <c r="L61" s="2747"/>
      <c r="N61" s="2748"/>
      <c r="O61" s="2747"/>
      <c r="P61" s="2747"/>
      <c r="Q61" s="2747"/>
      <c r="S61" s="2748"/>
      <c r="T61" s="2747"/>
      <c r="U61" s="2747"/>
      <c r="V61" s="2747"/>
      <c r="X61" s="2739"/>
      <c r="Y61" s="2739"/>
      <c r="Z61" s="2739"/>
    </row>
    <row r="62" spans="1:26">
      <c r="A62" s="2680" t="s">
        <v>2629</v>
      </c>
      <c r="B62" s="2749">
        <f t="shared" ref="B62:C64" si="64">B63+(B$61-B$65)/4</f>
        <v>109.75</v>
      </c>
      <c r="C62" s="2749">
        <f t="shared" si="64"/>
        <v>112.25</v>
      </c>
      <c r="D62" s="2749">
        <f t="shared" si="28"/>
        <v>112.25</v>
      </c>
      <c r="E62" s="2749">
        <f t="shared" ref="E62:F64" si="65">E63+(E$61-E$65)/4</f>
        <v>107.25</v>
      </c>
      <c r="F62" s="2749">
        <f t="shared" si="65"/>
        <v>103.5</v>
      </c>
      <c r="G62" s="3489">
        <v>2003</v>
      </c>
      <c r="H62" s="2705">
        <v>3</v>
      </c>
      <c r="I62" s="2747"/>
      <c r="J62" s="2747"/>
      <c r="K62" s="2747"/>
      <c r="L62" s="2747"/>
      <c r="X62" s="2739"/>
      <c r="Y62" s="2739"/>
      <c r="Z62" s="2739"/>
    </row>
    <row r="63" spans="1:26">
      <c r="A63" s="2680" t="s">
        <v>2630</v>
      </c>
      <c r="B63" s="2749">
        <f t="shared" si="64"/>
        <v>108.5</v>
      </c>
      <c r="C63" s="2749">
        <f t="shared" si="64"/>
        <v>110.5</v>
      </c>
      <c r="D63" s="2749">
        <f t="shared" si="28"/>
        <v>110.5</v>
      </c>
      <c r="E63" s="2749">
        <f t="shared" si="65"/>
        <v>106.5</v>
      </c>
      <c r="F63" s="2749">
        <f t="shared" si="65"/>
        <v>103</v>
      </c>
      <c r="G63" s="3489">
        <v>2003</v>
      </c>
      <c r="H63" s="2685">
        <v>2</v>
      </c>
      <c r="I63" s="2747"/>
      <c r="J63" s="2747"/>
      <c r="K63" s="2747"/>
      <c r="L63" s="2747"/>
      <c r="X63" s="2739"/>
      <c r="Y63" s="2739"/>
      <c r="Z63" s="2739"/>
    </row>
    <row r="64" spans="1:26" ht="13.5" thickBot="1">
      <c r="A64" s="2680" t="s">
        <v>2631</v>
      </c>
      <c r="B64" s="2749">
        <f t="shared" si="64"/>
        <v>107.25</v>
      </c>
      <c r="C64" s="2749">
        <f t="shared" si="64"/>
        <v>108.75</v>
      </c>
      <c r="D64" s="2749">
        <f t="shared" si="28"/>
        <v>108.75</v>
      </c>
      <c r="E64" s="2749">
        <f t="shared" si="65"/>
        <v>105.75</v>
      </c>
      <c r="F64" s="2749">
        <f t="shared" si="65"/>
        <v>102.5</v>
      </c>
      <c r="G64" s="3490">
        <v>2003</v>
      </c>
      <c r="H64" s="2750">
        <v>1</v>
      </c>
      <c r="I64" s="2747"/>
      <c r="J64" s="2747"/>
      <c r="K64" s="2747"/>
      <c r="L64" s="2747"/>
      <c r="S64" s="2689"/>
      <c r="T64" s="2690"/>
      <c r="U64" s="2690"/>
      <c r="X64" s="2739"/>
      <c r="Y64" s="2739"/>
      <c r="Z64" s="2739"/>
    </row>
    <row r="65" spans="1:26" ht="13.5" thickBot="1">
      <c r="A65" s="2680" t="s">
        <v>2632</v>
      </c>
      <c r="B65" s="2751">
        <v>106</v>
      </c>
      <c r="C65" s="2751">
        <v>107</v>
      </c>
      <c r="D65" s="2751">
        <f t="shared" si="28"/>
        <v>107</v>
      </c>
      <c r="E65" s="2751">
        <v>105</v>
      </c>
      <c r="F65" s="2752">
        <v>102</v>
      </c>
      <c r="G65" s="3488">
        <v>2002</v>
      </c>
      <c r="H65" s="2700">
        <v>4</v>
      </c>
      <c r="I65" s="2747"/>
      <c r="J65" s="2747"/>
      <c r="K65" s="2747"/>
      <c r="L65" s="2747"/>
      <c r="N65" s="2748"/>
      <c r="O65" s="2747"/>
      <c r="P65" s="2747"/>
      <c r="Q65" s="2747"/>
      <c r="S65" s="2748"/>
      <c r="T65" s="2747"/>
      <c r="U65" s="2747"/>
      <c r="V65" s="2747"/>
      <c r="X65" s="2739"/>
      <c r="Y65" s="2739"/>
      <c r="Z65" s="2739"/>
    </row>
    <row r="66" spans="1:26">
      <c r="A66" s="2680" t="s">
        <v>2633</v>
      </c>
      <c r="B66" s="2749">
        <f t="shared" ref="B66:C68" si="66">B67+(B$65-B$69)/4</f>
        <v>105</v>
      </c>
      <c r="C66" s="2749">
        <f t="shared" si="66"/>
        <v>106</v>
      </c>
      <c r="D66" s="2749">
        <f t="shared" si="28"/>
        <v>106</v>
      </c>
      <c r="E66" s="2749">
        <f t="shared" ref="E66:F68" si="67">E67+(E$65-E$69)/4</f>
        <v>104.5</v>
      </c>
      <c r="F66" s="2749">
        <f t="shared" si="67"/>
        <v>101.5</v>
      </c>
      <c r="G66" s="3489">
        <v>2002</v>
      </c>
      <c r="H66" s="2705">
        <v>3</v>
      </c>
      <c r="I66" s="2747"/>
      <c r="J66" s="2747"/>
      <c r="K66" s="2747"/>
      <c r="L66" s="2747"/>
      <c r="X66" s="2739"/>
      <c r="Y66" s="2739"/>
      <c r="Z66" s="2739"/>
    </row>
    <row r="67" spans="1:26">
      <c r="A67" s="2680" t="s">
        <v>2634</v>
      </c>
      <c r="B67" s="2749">
        <f t="shared" si="66"/>
        <v>104</v>
      </c>
      <c r="C67" s="2749">
        <f t="shared" si="66"/>
        <v>105</v>
      </c>
      <c r="D67" s="2749">
        <f t="shared" si="28"/>
        <v>105</v>
      </c>
      <c r="E67" s="2749">
        <f t="shared" si="67"/>
        <v>104</v>
      </c>
      <c r="F67" s="2749">
        <f t="shared" si="67"/>
        <v>101</v>
      </c>
      <c r="G67" s="3489">
        <v>2002</v>
      </c>
      <c r="H67" s="2685">
        <v>2</v>
      </c>
      <c r="I67" s="2747"/>
      <c r="J67" s="2747"/>
      <c r="K67" s="2747"/>
      <c r="L67" s="2747"/>
      <c r="X67" s="2739"/>
      <c r="Y67" s="2739"/>
      <c r="Z67" s="2739"/>
    </row>
    <row r="68" spans="1:26" s="2716" customFormat="1" ht="13.5" thickBot="1">
      <c r="A68" s="2712" t="s">
        <v>2635</v>
      </c>
      <c r="B68" s="2753">
        <f t="shared" si="66"/>
        <v>103</v>
      </c>
      <c r="C68" s="2753">
        <f t="shared" si="66"/>
        <v>104</v>
      </c>
      <c r="D68" s="2753">
        <f t="shared" si="28"/>
        <v>104</v>
      </c>
      <c r="E68" s="2753">
        <f t="shared" si="67"/>
        <v>103.5</v>
      </c>
      <c r="F68" s="2753">
        <f t="shared" si="67"/>
        <v>100.5</v>
      </c>
      <c r="G68" s="3490">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2636</v>
      </c>
      <c r="G71" s="2763"/>
      <c r="N71" s="2763"/>
      <c r="S71" s="2763"/>
    </row>
    <row r="72" spans="1:26" s="2762" customFormat="1">
      <c r="A72" s="2762" t="s">
        <v>2637</v>
      </c>
      <c r="G72" s="2763"/>
      <c r="N72" s="2763"/>
      <c r="S72" s="2763"/>
    </row>
    <row r="73" spans="1:26" s="2762" customFormat="1">
      <c r="A73" s="2762" t="s">
        <v>2638</v>
      </c>
      <c r="G73" s="2763"/>
      <c r="I73" s="2764"/>
      <c r="J73" s="2764"/>
      <c r="K73" s="2764"/>
      <c r="L73" s="2764"/>
      <c r="N73" s="2765"/>
      <c r="O73" s="2764"/>
      <c r="P73" s="2764"/>
      <c r="Q73" s="2764"/>
      <c r="S73" s="2765"/>
      <c r="T73" s="2764"/>
      <c r="U73" s="2764"/>
      <c r="V73" s="2764"/>
    </row>
    <row r="74" spans="1:26" s="2762" customFormat="1">
      <c r="A74" s="2762" t="s">
        <v>2639</v>
      </c>
      <c r="G74" s="2763"/>
      <c r="N74" s="2763"/>
      <c r="S74" s="2763"/>
    </row>
    <row r="81" spans="7:22" ht="13.5" thickBot="1"/>
    <row r="82" spans="7:22">
      <c r="G82" s="2688"/>
      <c r="S82" s="2766" t="s">
        <v>2640</v>
      </c>
      <c r="T82" s="2767" t="s">
        <v>2641</v>
      </c>
      <c r="U82" s="2767" t="s">
        <v>2642</v>
      </c>
      <c r="V82" s="2767" t="s">
        <v>2643</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c r="D1" s="3155"/>
      <c r="E1" s="2411" t="s">
        <v>2376</v>
      </c>
      <c r="F1" s="2412" t="b">
        <f>J53</f>
        <v>0</v>
      </c>
      <c r="G1" s="775">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#DIV/0!</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1733</v>
      </c>
      <c r="I4" s="779" t="s">
        <v>1734</v>
      </c>
      <c r="J4" s="779" t="s">
        <v>1735</v>
      </c>
      <c r="K4" s="779" t="s">
        <v>1736</v>
      </c>
      <c r="L4" s="780" t="s">
        <v>1737</v>
      </c>
      <c r="M4" s="781"/>
    </row>
    <row r="5" spans="1:33" ht="18" customHeight="1">
      <c r="A5" s="782">
        <v>1</v>
      </c>
      <c r="B5" s="783" t="s">
        <v>2461</v>
      </c>
      <c r="C5" s="55">
        <f ca="1">C6+C10+C12</f>
        <v>0</v>
      </c>
      <c r="D5" s="2520" t="s">
        <v>2464</v>
      </c>
      <c r="E5" s="2514"/>
      <c r="F5" s="2515"/>
      <c r="G5" s="1593"/>
      <c r="H5" s="782">
        <v>1</v>
      </c>
      <c r="I5" s="783" t="s">
        <v>2461</v>
      </c>
      <c r="J5" s="55">
        <f ca="1">J6+J10+J12</f>
        <v>0</v>
      </c>
      <c r="K5" s="2520" t="s">
        <v>2464</v>
      </c>
      <c r="L5" s="2514"/>
      <c r="M5" s="2515"/>
    </row>
    <row r="6" spans="1:33" ht="18" customHeight="1">
      <c r="A6" s="1831" t="s">
        <v>1825</v>
      </c>
      <c r="B6" s="3482" t="s">
        <v>2466</v>
      </c>
      <c r="C6" s="784">
        <f ca="1">ROUND(F6*F8*F7*(1-F9)/10000,0)</f>
        <v>0</v>
      </c>
      <c r="D6" s="2521" t="s">
        <v>2465</v>
      </c>
      <c r="E6" s="785" t="s">
        <v>1739</v>
      </c>
      <c r="F6" s="786">
        <f ca="1">INDIRECT("'数据-取费表'!u"&amp;$G$1)</f>
        <v>0</v>
      </c>
      <c r="G6" s="1593"/>
      <c r="H6" s="2528" t="s">
        <v>2472</v>
      </c>
      <c r="I6" s="3482" t="s">
        <v>2466</v>
      </c>
      <c r="J6" s="784">
        <f ca="1">ROUND(M6*M8*M7*(1-M9)/10000,0)</f>
        <v>0</v>
      </c>
      <c r="K6" s="342" t="s">
        <v>1738</v>
      </c>
      <c r="L6" s="785" t="s">
        <v>1739</v>
      </c>
      <c r="M6" s="786">
        <f ca="1">INDIRECT("'数据-取费表'!z"&amp;$G$1)</f>
        <v>0</v>
      </c>
    </row>
    <row r="7" spans="1:33" ht="18" customHeight="1">
      <c r="A7" s="2524"/>
      <c r="B7" s="3483"/>
      <c r="C7" s="789"/>
      <c r="D7" s="790"/>
      <c r="E7" s="785" t="s">
        <v>1740</v>
      </c>
      <c r="F7" s="786">
        <f ca="1">IF(INDIRECT("'数据-取费表'!ah"&amp;$G$1)="",INDIRECT("'数据-取费表'!k"&amp;$G$1),INDIRECT("'数据-取费表'!ah"&amp;$G$1))</f>
        <v>0</v>
      </c>
      <c r="G7" s="1593"/>
      <c r="H7" s="2513"/>
      <c r="I7" s="3483"/>
      <c r="J7" s="789"/>
      <c r="K7" s="790"/>
      <c r="L7" s="785" t="s">
        <v>1740</v>
      </c>
      <c r="M7" s="786">
        <f ca="1">F7</f>
        <v>0</v>
      </c>
    </row>
    <row r="8" spans="1:33" ht="18" customHeight="1">
      <c r="A8" s="2517"/>
      <c r="B8" s="3484"/>
      <c r="C8" s="789"/>
      <c r="D8" s="790"/>
      <c r="E8" s="785" t="s">
        <v>1741</v>
      </c>
      <c r="F8" s="786">
        <f ca="1">INDIRECT("'数据-取费表'!ai"&amp;$G$1)</f>
        <v>0</v>
      </c>
      <c r="G8" s="1593"/>
      <c r="H8" s="2513"/>
      <c r="I8" s="3484"/>
      <c r="J8" s="789"/>
      <c r="K8" s="790"/>
      <c r="L8" s="785" t="s">
        <v>1741</v>
      </c>
      <c r="M8" s="786">
        <f ca="1">INDIRECT("'数据-取费表'!ai"&amp;$G$1)</f>
        <v>0</v>
      </c>
    </row>
    <row r="9" spans="1:33" ht="18" customHeight="1">
      <c r="A9" s="787"/>
      <c r="B9" s="3485"/>
      <c r="C9" s="789"/>
      <c r="D9" s="790"/>
      <c r="E9" s="785" t="s">
        <v>1742</v>
      </c>
      <c r="F9" s="795">
        <f ca="1">INDIRECT("'数据-取费表'!w"&amp;$G$1)</f>
        <v>0</v>
      </c>
      <c r="G9" s="1593"/>
      <c r="H9" s="2529"/>
      <c r="I9" s="3484"/>
      <c r="J9" s="789"/>
      <c r="K9" s="790"/>
      <c r="L9" s="796" t="s">
        <v>1742</v>
      </c>
      <c r="M9" s="797">
        <f ca="1">INDIRECT("'数据-取费表'!ab"&amp;$G$1)</f>
        <v>0</v>
      </c>
    </row>
    <row r="10" spans="1:33" ht="18" customHeight="1">
      <c r="A10" s="1831" t="s">
        <v>2470</v>
      </c>
      <c r="B10" s="2518" t="s">
        <v>2462</v>
      </c>
      <c r="C10" s="800">
        <f ca="1">ROUND(IF(F10="押一",F6*F8*F7/12*F11,IF(F10="押二",F6*F8*F7/12*2*F11,IF(F10="押三",F6*F8*F7/12*3*F11,C11*F11)))/10000,0)</f>
        <v>0</v>
      </c>
      <c r="D10" s="2525" t="s">
        <v>2469</v>
      </c>
      <c r="E10" s="2522" t="s">
        <v>2467</v>
      </c>
      <c r="F10" s="2645"/>
      <c r="G10" s="1593"/>
      <c r="H10" s="2585" t="s">
        <v>2473</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2468</v>
      </c>
      <c r="F11" s="797">
        <f ca="1">'数据-取费表'!B39</f>
        <v>1.4999999999999999E-2</v>
      </c>
      <c r="G11" s="1593"/>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3"/>
      <c r="H12" s="2575" t="s">
        <v>2474</v>
      </c>
      <c r="I12" s="2588" t="s">
        <v>2463</v>
      </c>
      <c r="J12" s="2589"/>
      <c r="K12" s="2564"/>
      <c r="L12" s="2565"/>
      <c r="M12" s="2578"/>
    </row>
    <row r="13" spans="1:33" ht="18" customHeight="1" thickTop="1">
      <c r="A13" s="1830">
        <v>2</v>
      </c>
      <c r="B13" s="1828" t="s">
        <v>1743</v>
      </c>
      <c r="C13" s="793">
        <f ca="1">ROUND(C29*F13,0)</f>
        <v>0</v>
      </c>
      <c r="D13" s="1835" t="s">
        <v>2298</v>
      </c>
      <c r="E13" s="1835" t="s">
        <v>1745</v>
      </c>
      <c r="F13" s="2560">
        <f ca="1">INDIRECT("'数据-取费表'!y"&amp;$G$1)</f>
        <v>0</v>
      </c>
      <c r="G13" s="1593"/>
      <c r="H13" s="1830">
        <v>2</v>
      </c>
      <c r="I13" s="1828" t="s">
        <v>1743</v>
      </c>
      <c r="J13" s="1820">
        <f ca="1">ROUND(J14*J15,0)</f>
        <v>0</v>
      </c>
      <c r="K13" s="1822" t="s">
        <v>1744</v>
      </c>
      <c r="L13" s="2576"/>
      <c r="M13" s="2577"/>
    </row>
    <row r="14" spans="1:33" ht="18" customHeight="1">
      <c r="A14" s="1649" t="s">
        <v>1885</v>
      </c>
      <c r="B14" s="785" t="s">
        <v>646</v>
      </c>
      <c r="C14" s="805">
        <f ca="1">INDIRECT("'数据-取费表'!m"&amp;$G$1)+INDIRECT("'数据-取费表'!t"&amp;$G$1)</f>
        <v>0</v>
      </c>
      <c r="D14" s="1979" t="s">
        <v>1746</v>
      </c>
      <c r="E14" s="1980"/>
      <c r="F14" s="806"/>
      <c r="G14" s="1593"/>
      <c r="H14" s="1650" t="s">
        <v>1831</v>
      </c>
      <c r="I14" s="2231" t="s">
        <v>2832</v>
      </c>
      <c r="J14" s="53">
        <f ca="1">C29</f>
        <v>0</v>
      </c>
      <c r="K14" s="26"/>
      <c r="L14" s="802"/>
      <c r="M14" s="803"/>
    </row>
    <row r="15" spans="1:33" s="2064" customFormat="1" ht="18" customHeight="1" thickBot="1">
      <c r="A15" s="1649" t="s">
        <v>1886</v>
      </c>
      <c r="B15" s="785" t="s">
        <v>648</v>
      </c>
      <c r="C15" s="53">
        <f ca="1">ROUND(C14*F15,0)</f>
        <v>0</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5" t="s">
        <v>651</v>
      </c>
      <c r="C16" s="53">
        <f ca="1">ROUND(INDIRECT("'数据-取费表'!m"&amp;$G$1)*F16,0)</f>
        <v>0</v>
      </c>
      <c r="D16" s="785" t="s">
        <v>1747</v>
      </c>
      <c r="E16" s="785" t="s">
        <v>1748</v>
      </c>
      <c r="F16" s="810">
        <f ca="1">IF(INDIRECT("'数据-取费表'!c"&amp;$G$1)="住宅",'数据-取费表'!B34,0)</f>
        <v>0</v>
      </c>
      <c r="G16" s="1593"/>
      <c r="H16" s="1830" t="s">
        <v>1749</v>
      </c>
      <c r="I16" s="1828" t="s">
        <v>1750</v>
      </c>
      <c r="J16" s="793">
        <f ca="1">ROUND(J17+J22+J23+J24,0)</f>
        <v>0</v>
      </c>
      <c r="K16" s="1822" t="s">
        <v>1751</v>
      </c>
      <c r="L16" s="2510"/>
      <c r="M16" s="2515"/>
    </row>
    <row r="17" spans="1:33" s="2064" customFormat="1" ht="18" customHeight="1">
      <c r="A17" s="1649" t="s">
        <v>1888</v>
      </c>
      <c r="B17" s="785" t="s">
        <v>654</v>
      </c>
      <c r="C17" s="53">
        <f ca="1">ROUND(F17*(F43+INDIRECT("'数据-取费表'!S"&amp;$G$1))/10000,0)</f>
        <v>0</v>
      </c>
      <c r="D17" s="785" t="s">
        <v>1752</v>
      </c>
      <c r="E17" s="785" t="s">
        <v>1753</v>
      </c>
      <c r="F17" s="56">
        <f>'数据-取费表'!B35</f>
        <v>200</v>
      </c>
      <c r="G17" s="1594"/>
      <c r="H17" s="1650" t="s">
        <v>1831</v>
      </c>
      <c r="I17" s="785" t="s">
        <v>657</v>
      </c>
      <c r="J17" s="53">
        <f ca="1">ROUND(IF(项目基本情况!B11="自然人",J5*M17,J18+J19+J20),0)</f>
        <v>0</v>
      </c>
      <c r="K17" s="2509" t="s">
        <v>1754</v>
      </c>
      <c r="L17" s="2508"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0</v>
      </c>
      <c r="D18" s="785" t="s">
        <v>1747</v>
      </c>
      <c r="E18" s="785" t="s">
        <v>1748</v>
      </c>
      <c r="F18" s="810">
        <f>'数据-取费表'!B36</f>
        <v>1.4999999999999999E-2</v>
      </c>
      <c r="G18" s="1594"/>
      <c r="H18" s="1649" t="s">
        <v>1885</v>
      </c>
      <c r="I18" s="785" t="s">
        <v>1756</v>
      </c>
      <c r="J18" s="53">
        <f ca="1">ROUND(J5*M18/1.05,1)</f>
        <v>0</v>
      </c>
      <c r="K18" s="2508"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5" t="s">
        <v>663</v>
      </c>
      <c r="C19" s="53">
        <f ca="1">SUM(C14:C18)</f>
        <v>0</v>
      </c>
      <c r="D19" s="259" t="s">
        <v>1758</v>
      </c>
      <c r="E19" s="1982"/>
      <c r="F19" s="56"/>
      <c r="G19" s="1593"/>
      <c r="H19" s="1649" t="s">
        <v>1886</v>
      </c>
      <c r="I19" s="785" t="s">
        <v>1759</v>
      </c>
      <c r="J19" s="53">
        <f ca="1">IF(K19="按租金收入计税",ROUND(J5*M19,1),ROUND(C29*F33*0.7,1))</f>
        <v>0</v>
      </c>
      <c r="K19" s="812" t="s">
        <v>666</v>
      </c>
      <c r="L19" s="785" t="s">
        <v>1748</v>
      </c>
      <c r="M19" s="810">
        <f>IF(K19="按租金收入计税",'数据-取费表'!B51,'数据-取费表'!B50)</f>
        <v>1.2E-2</v>
      </c>
    </row>
    <row r="20" spans="1:33" s="2064" customFormat="1" ht="18" customHeight="1">
      <c r="A20" s="1650" t="s">
        <v>1890</v>
      </c>
      <c r="B20" s="785" t="s">
        <v>667</v>
      </c>
      <c r="C20" s="53">
        <f ca="1">ROUND(C19*F20,0)</f>
        <v>0</v>
      </c>
      <c r="D20" s="813" t="s">
        <v>1760</v>
      </c>
      <c r="E20" s="785" t="s">
        <v>1748</v>
      </c>
      <c r="F20" s="810">
        <f>'数据-取费表'!B37</f>
        <v>0.02</v>
      </c>
      <c r="G20" s="1594"/>
      <c r="H20" s="1652" t="s">
        <v>1881</v>
      </c>
      <c r="I20" s="342" t="s">
        <v>1761</v>
      </c>
      <c r="J20" s="54">
        <f ca="1">ROUND(M20*M21/10000,0)</f>
        <v>0</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1765</v>
      </c>
      <c r="D21" s="813" t="s">
        <v>2299</v>
      </c>
      <c r="E21" s="785" t="s">
        <v>1766</v>
      </c>
      <c r="F21" s="810">
        <f>'数据-取费表'!B38</f>
        <v>0.02</v>
      </c>
      <c r="G21" s="1594"/>
      <c r="H21" s="2530"/>
      <c r="I21" s="794"/>
      <c r="J21" s="69"/>
      <c r="K21" s="817"/>
      <c r="L21" s="785" t="s">
        <v>1767</v>
      </c>
      <c r="M21" s="786">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1982"/>
      <c r="F22" s="56"/>
      <c r="G22" s="1593"/>
      <c r="H22" s="1650" t="s">
        <v>1890</v>
      </c>
      <c r="I22" s="785" t="s">
        <v>1769</v>
      </c>
      <c r="J22" s="53">
        <f ca="1">ROUND(J14*M22,0)</f>
        <v>0</v>
      </c>
      <c r="K22" s="2508" t="s">
        <v>1770</v>
      </c>
      <c r="L22" s="785" t="s">
        <v>1748</v>
      </c>
      <c r="M22" s="818">
        <f ca="1">INDIRECT("'数据-取费表'!Ak"&amp;$G$1)</f>
        <v>0</v>
      </c>
    </row>
    <row r="23" spans="1:33" s="2064" customFormat="1" ht="18" customHeight="1">
      <c r="A23" s="1649" t="s">
        <v>1832</v>
      </c>
      <c r="B23" s="785" t="s">
        <v>2539</v>
      </c>
      <c r="C23" s="53">
        <f ca="1">ROUND(IF('数据-取费表'!B22&lt;=1,(C19+C20)*F24*F23/2,(C19+C20)*(POWER((1+F24),F23/2)-1)),0)</f>
        <v>0</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2508" t="s">
        <v>1772</v>
      </c>
      <c r="L23" s="785" t="s">
        <v>1748</v>
      </c>
      <c r="M23" s="819">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1982"/>
      <c r="F25" s="56"/>
      <c r="G25" s="1593"/>
      <c r="H25" s="1830" t="s">
        <v>1777</v>
      </c>
      <c r="I25" s="3036" t="s">
        <v>2828</v>
      </c>
      <c r="J25" s="793">
        <f ca="1">J5-J16</f>
        <v>0</v>
      </c>
      <c r="K25" s="2572" t="s">
        <v>1778</v>
      </c>
      <c r="L25" s="2573"/>
      <c r="M25" s="2574"/>
    </row>
    <row r="26" spans="1:33" ht="18" customHeight="1">
      <c r="A26" s="1649" t="s">
        <v>1832</v>
      </c>
      <c r="B26" s="785" t="s">
        <v>2440</v>
      </c>
      <c r="C26" s="53">
        <f ca="1">ROUND((C19+C20)*F26,0)</f>
        <v>0</v>
      </c>
      <c r="D26" s="813" t="s">
        <v>1779</v>
      </c>
      <c r="E26" s="796" t="s">
        <v>1780</v>
      </c>
      <c r="F26" s="795">
        <f ca="1">INDIRECT("'数据-取费表'!q"&amp;$G$1)</f>
        <v>0</v>
      </c>
      <c r="G26" s="1593"/>
      <c r="H26" s="2526" t="s">
        <v>1781</v>
      </c>
      <c r="I26" s="2232" t="s">
        <v>2833</v>
      </c>
      <c r="J26" s="784">
        <f ca="1">IF(J5&lt;&gt;0,ROUND(J25*(1-((1+M28)/(1+M26))^M27)/(M26-M28),0),0)</f>
        <v>0</v>
      </c>
      <c r="K26" s="815" t="s">
        <v>1782</v>
      </c>
      <c r="L26" s="785" t="s">
        <v>2421</v>
      </c>
      <c r="M26" s="795">
        <f ca="1">INDIRECT("'数据-取费表'!I"&amp;$G$1)</f>
        <v>0</v>
      </c>
    </row>
    <row r="27" spans="1:33" ht="18" customHeight="1">
      <c r="A27" s="1649" t="s">
        <v>1833</v>
      </c>
      <c r="B27" s="785" t="s">
        <v>687</v>
      </c>
      <c r="C27" s="53">
        <f ca="1">ROUND(F21*F26,4)</f>
        <v>0</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1786</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0</v>
      </c>
      <c r="D29" s="2569"/>
      <c r="E29" s="2570"/>
      <c r="F29" s="2571"/>
      <c r="G29" s="1594"/>
      <c r="H29" s="824" t="s">
        <v>1788</v>
      </c>
      <c r="I29" s="825" t="s">
        <v>1789</v>
      </c>
      <c r="J29" s="826">
        <f ca="1">ROUND(J26/(1+F40)^F41,0)</f>
        <v>0</v>
      </c>
      <c r="K29" s="827" t="s">
        <v>1790</v>
      </c>
      <c r="L29" s="828"/>
      <c r="M29" s="829">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3">
        <f ca="1">ROUND(C31+C36+C37+C38,0)</f>
        <v>0</v>
      </c>
      <c r="D30" s="1822" t="s">
        <v>1792</v>
      </c>
      <c r="E30" s="2510"/>
      <c r="F30" s="2515"/>
      <c r="G30" s="2062"/>
      <c r="H30" s="2065"/>
      <c r="I30" s="2066"/>
      <c r="J30" s="2067"/>
      <c r="K30" s="2068"/>
      <c r="L30" s="2069"/>
      <c r="M30" s="2070"/>
    </row>
    <row r="31" spans="1:33" ht="18" customHeight="1">
      <c r="A31" s="1650" t="s">
        <v>1831</v>
      </c>
      <c r="B31" s="785" t="s">
        <v>657</v>
      </c>
      <c r="C31" s="53">
        <f ca="1">ROUND(IF(项目基本情况!B11="自然人",C5*F31,C32+C33+C34),1)</f>
        <v>0</v>
      </c>
      <c r="D31" s="1979" t="s">
        <v>1793</v>
      </c>
      <c r="E31" s="1977"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1795</v>
      </c>
      <c r="C32" s="53">
        <f ca="1">ROUND(C5*F32/1.05,1)</f>
        <v>0</v>
      </c>
      <c r="D32" s="1977" t="s">
        <v>1796</v>
      </c>
      <c r="E32" s="785" t="s">
        <v>1797</v>
      </c>
      <c r="F32" s="810">
        <f>'数据-取费表'!B41</f>
        <v>5.5500000000000008E-2</v>
      </c>
      <c r="G32" s="2062"/>
      <c r="H32" s="2071"/>
      <c r="I32" s="2072"/>
      <c r="J32" s="2073"/>
      <c r="K32" s="2074"/>
      <c r="L32" s="2075"/>
      <c r="M32" s="2076"/>
    </row>
    <row r="33" spans="1:18" ht="18" customHeight="1">
      <c r="A33" s="1649" t="s">
        <v>1833</v>
      </c>
      <c r="B33" s="785" t="s">
        <v>1798</v>
      </c>
      <c r="C33" s="53">
        <f ca="1">IF(D33="按租金收入计税",ROUND(C5*F33,1),IF(D33="按房产原值计税",ROUND(C29*F33*0.7,1),INDIRECT("'数据-取费表'!Aj"&amp;$G$1)))</f>
        <v>0</v>
      </c>
      <c r="D33" s="812" t="s">
        <v>1681</v>
      </c>
      <c r="E33" s="785" t="s">
        <v>1797</v>
      </c>
      <c r="F33" s="810">
        <f>IF(D33="按租金收入计税",'数据-取费表'!B51,'数据-取费表'!B50)</f>
        <v>1.2E-2</v>
      </c>
      <c r="G33" s="2062"/>
      <c r="H33" s="2077"/>
      <c r="I33" s="2077"/>
      <c r="J33" s="2077"/>
      <c r="K33" s="2078"/>
      <c r="L33" s="2077"/>
      <c r="M33" s="2077"/>
    </row>
    <row r="34" spans="1:18" ht="18" customHeight="1">
      <c r="A34" s="1652" t="s">
        <v>1834</v>
      </c>
      <c r="B34" s="342" t="s">
        <v>1799</v>
      </c>
      <c r="C34" s="54">
        <f ca="1">ROUND(F34*F35/10000,1)</f>
        <v>0</v>
      </c>
      <c r="D34" s="815" t="s">
        <v>1800</v>
      </c>
      <c r="E34" s="785" t="s">
        <v>1801</v>
      </c>
      <c r="F34" s="641">
        <f>'数据-取费表'!B52</f>
        <v>1.5</v>
      </c>
      <c r="G34" s="2062"/>
      <c r="H34" s="2065"/>
      <c r="I34" s="836" t="s">
        <v>1814</v>
      </c>
      <c r="J34" s="837"/>
      <c r="K34" s="2080"/>
      <c r="L34" s="2079"/>
      <c r="M34" s="2079"/>
    </row>
    <row r="35" spans="1:18" ht="18" customHeight="1">
      <c r="A35" s="816"/>
      <c r="B35" s="794"/>
      <c r="C35" s="69"/>
      <c r="D35" s="817"/>
      <c r="E35" s="785" t="s">
        <v>1802</v>
      </c>
      <c r="F35" s="786">
        <f ca="1">INDIRECT("'数据-取费表'!r"&amp;$G$1)</f>
        <v>0</v>
      </c>
      <c r="G35" s="2062"/>
      <c r="H35" s="2065"/>
      <c r="I35" s="838" t="s">
        <v>1815</v>
      </c>
      <c r="J35" s="839">
        <f ca="1">ROUND(C13*J36,0)</f>
        <v>0</v>
      </c>
      <c r="K35" s="2078"/>
      <c r="L35" s="2077"/>
      <c r="M35" s="2077"/>
    </row>
    <row r="36" spans="1:18" ht="18" customHeight="1">
      <c r="A36" s="1650" t="s">
        <v>1890</v>
      </c>
      <c r="B36" s="785" t="s">
        <v>1803</v>
      </c>
      <c r="C36" s="53">
        <f ca="1">ROUND(C29*F36,1)</f>
        <v>0</v>
      </c>
      <c r="D36" s="1977" t="s">
        <v>1804</v>
      </c>
      <c r="E36" s="785" t="s">
        <v>1797</v>
      </c>
      <c r="F36" s="818">
        <f ca="1">INDIRECT("'数据-取费表'!Ak"&amp;$G$1)</f>
        <v>0</v>
      </c>
      <c r="G36" s="2062"/>
      <c r="H36" s="2077"/>
      <c r="I36" s="840" t="s">
        <v>1816</v>
      </c>
      <c r="J36" s="841">
        <f ca="1">INDIRECT("'数据-取费表'!j"&amp;$G$1)</f>
        <v>0</v>
      </c>
      <c r="K36" s="2082"/>
      <c r="L36" s="2077"/>
      <c r="M36" s="2077"/>
    </row>
    <row r="37" spans="1:18" ht="18" customHeight="1">
      <c r="A37" s="1650" t="s">
        <v>1891</v>
      </c>
      <c r="B37" s="785" t="s">
        <v>680</v>
      </c>
      <c r="C37" s="53">
        <f ca="1">ROUND(C13*F37,1)</f>
        <v>0</v>
      </c>
      <c r="D37" s="1977" t="s">
        <v>1805</v>
      </c>
      <c r="E37" s="785" t="s">
        <v>1797</v>
      </c>
      <c r="F37" s="819">
        <f ca="1">INDIRECT("'数据-取费表'!Al"&amp;$G$1)</f>
        <v>0</v>
      </c>
      <c r="G37" s="2062"/>
      <c r="H37" s="2077"/>
      <c r="I37" s="842" t="s">
        <v>1817</v>
      </c>
      <c r="J37" s="843"/>
      <c r="K37" s="2082"/>
      <c r="L37" s="2077"/>
      <c r="M37" s="2077"/>
    </row>
    <row r="38" spans="1:18" ht="18" customHeight="1" thickBot="1">
      <c r="A38" s="2575" t="s">
        <v>1892</v>
      </c>
      <c r="B38" s="2570" t="s">
        <v>667</v>
      </c>
      <c r="C38" s="2568">
        <f ca="1">ROUND(C5*F38,1)</f>
        <v>0</v>
      </c>
      <c r="D38" s="2569" t="s">
        <v>1806</v>
      </c>
      <c r="E38" s="2570" t="s">
        <v>1797</v>
      </c>
      <c r="F38" s="2566">
        <f ca="1">INDIRECT("'数据-取费表'!Am"&amp;$G$1)</f>
        <v>0</v>
      </c>
      <c r="G38" s="2062"/>
      <c r="H38" s="2077"/>
      <c r="I38" s="844" t="s">
        <v>1818</v>
      </c>
      <c r="J38" s="845"/>
      <c r="K38" s="2083"/>
      <c r="L38" s="2077"/>
      <c r="M38" s="2077"/>
    </row>
    <row r="39" spans="1:18" ht="24.6" customHeight="1" thickTop="1">
      <c r="A39" s="1830" t="s">
        <v>1895</v>
      </c>
      <c r="B39" s="3036" t="s">
        <v>2828</v>
      </c>
      <c r="C39" s="793">
        <f ca="1">C5-C30</f>
        <v>0</v>
      </c>
      <c r="D39" s="2572" t="s">
        <v>1807</v>
      </c>
      <c r="E39" s="2573"/>
      <c r="F39" s="2574"/>
      <c r="G39" s="2062"/>
      <c r="H39" s="2077"/>
      <c r="I39" s="838" t="s">
        <v>1819</v>
      </c>
      <c r="J39" s="846" t="e">
        <f ca="1">ROUND(J35/C39,3)</f>
        <v>#DIV/0!</v>
      </c>
      <c r="K39" s="2083"/>
      <c r="L39" s="2077"/>
      <c r="M39" s="2077"/>
    </row>
    <row r="40" spans="1:18" ht="18" customHeight="1">
      <c r="A40" s="782" t="s">
        <v>1896</v>
      </c>
      <c r="B40" s="2232" t="s">
        <v>2302</v>
      </c>
      <c r="C40" s="784" t="e">
        <f ca="1">ROUND(C39*(1-((1+F42)/(1+F40))^F41)/(F40-F42),0)</f>
        <v>#DIV/0!</v>
      </c>
      <c r="D40" s="815" t="s">
        <v>1808</v>
      </c>
      <c r="E40" s="785" t="s">
        <v>2421</v>
      </c>
      <c r="F40" s="795">
        <f ca="1">INDIRECT("'数据-取费表'!I"&amp;$G$1)</f>
        <v>0</v>
      </c>
      <c r="G40" s="2062"/>
      <c r="H40" s="2062"/>
      <c r="I40" s="838" t="s">
        <v>1820</v>
      </c>
      <c r="J40" s="846" t="e">
        <f ca="1">1-J39</f>
        <v>#DIV/0!</v>
      </c>
      <c r="K40" s="2083"/>
      <c r="L40" s="2062"/>
      <c r="M40" s="2062"/>
    </row>
    <row r="41" spans="1:18" ht="18" customHeight="1">
      <c r="A41" s="787"/>
      <c r="B41" s="788"/>
      <c r="C41" s="789"/>
      <c r="D41" s="822" t="s">
        <v>1809</v>
      </c>
      <c r="E41" s="785" t="s">
        <v>2966</v>
      </c>
      <c r="F41" s="823">
        <f ca="1">IF(INDIRECT("'数据-取费表'!af"&amp;$G$1)=0,INDIRECT("'数据-取费表'!ae"&amp;$G$1),INDIRECT("'数据-取费表'!af"&amp;$G$1))</f>
        <v>0</v>
      </c>
      <c r="G41" s="2062"/>
      <c r="H41" s="1988"/>
      <c r="I41" s="844" t="s">
        <v>1821</v>
      </c>
      <c r="J41" s="847"/>
      <c r="K41" s="2082"/>
      <c r="L41" s="1988"/>
      <c r="M41" s="1988"/>
    </row>
    <row r="42" spans="1:18" ht="18" customHeight="1">
      <c r="A42" s="791"/>
      <c r="B42" s="792"/>
      <c r="C42" s="793"/>
      <c r="D42" s="817"/>
      <c r="E42" s="785" t="s">
        <v>1810</v>
      </c>
      <c r="F42" s="795">
        <f ca="1">INDIRECT("'数据-取费表'!v"&amp;$G$1)</f>
        <v>0</v>
      </c>
      <c r="G42" s="2062"/>
      <c r="H42" s="1988"/>
      <c r="I42" s="848" t="s">
        <v>1822</v>
      </c>
      <c r="J42" s="846" t="e">
        <f ca="1">ROUND(C13/C40,3)</f>
        <v>#DIV/0!</v>
      </c>
      <c r="K42" s="2082"/>
      <c r="L42" s="1988"/>
      <c r="M42" s="1988"/>
    </row>
    <row r="43" spans="1:18" ht="18" customHeight="1" thickBot="1">
      <c r="A43" s="824" t="s">
        <v>1788</v>
      </c>
      <c r="B43" s="825" t="s">
        <v>1811</v>
      </c>
      <c r="C43" s="826" t="e">
        <f ca="1">ROUND(C40*10000/F43,0)</f>
        <v>#DIV/0!</v>
      </c>
      <c r="D43" s="827" t="s">
        <v>1812</v>
      </c>
      <c r="E43" s="828" t="s">
        <v>1813</v>
      </c>
      <c r="F43" s="829">
        <f ca="1">INDIRECT("'数据-取费表'!k"&amp;$G$1)</f>
        <v>0</v>
      </c>
      <c r="G43" s="2062"/>
      <c r="H43" s="1988"/>
      <c r="I43" s="848" t="s">
        <v>1823</v>
      </c>
      <c r="J43" s="849"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#DIV/0!</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5"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2297</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7"/>
      <c r="B49" s="788"/>
      <c r="C49" s="789"/>
      <c r="D49" s="790"/>
      <c r="E49" s="785" t="s">
        <v>1740</v>
      </c>
      <c r="F49" s="786">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7"/>
      <c r="B51" s="788"/>
      <c r="C51" s="789"/>
      <c r="D51" s="790"/>
      <c r="E51" s="785"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7"/>
      <c r="B53" s="2519" t="s">
        <v>2577</v>
      </c>
      <c r="C53" s="2523"/>
      <c r="D53" s="2525"/>
      <c r="E53" s="2522"/>
      <c r="F53" s="801"/>
      <c r="I53" s="2386" t="s">
        <v>2350</v>
      </c>
      <c r="J53" s="2400" t="b">
        <f>IF(M47="住宅",J51,IF(D1="——",MIN(J51,L48),IF(D1="土地（套用方法）",MIN(J51,L48-'数据-取费表'!B20))))</f>
        <v>0</v>
      </c>
      <c r="K53" s="3498" t="s">
        <v>2968</v>
      </c>
      <c r="L53" s="3499"/>
      <c r="O53" s="2425" t="s">
        <v>2390</v>
      </c>
      <c r="P53" s="2423" t="s">
        <v>2391</v>
      </c>
      <c r="Q53" s="2424" t="b">
        <f>J53</f>
        <v>0</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8">
        <v>2</v>
      </c>
      <c r="B55" s="799" t="s">
        <v>645</v>
      </c>
      <c r="C55" s="800">
        <f ca="1">C13</f>
        <v>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2303</v>
      </c>
      <c r="C56" s="53">
        <f ca="1">C29</f>
        <v>0</v>
      </c>
      <c r="D56" s="2664"/>
      <c r="E56" s="785"/>
      <c r="F56" s="810"/>
      <c r="I56" s="2403" t="s">
        <v>2359</v>
      </c>
      <c r="J56" s="3149" t="s">
        <v>1679</v>
      </c>
      <c r="K56" s="2383" t="s">
        <v>2364</v>
      </c>
      <c r="L56" s="2392">
        <f ca="1">IF(L48&lt;J51,"——",L48-J51)</f>
        <v>0</v>
      </c>
      <c r="O56" s="2419" t="s">
        <v>2377</v>
      </c>
      <c r="P56" s="2420" t="s">
        <v>2378</v>
      </c>
      <c r="Q56" s="2421" t="s">
        <v>2379</v>
      </c>
      <c r="R56" s="2420" t="s">
        <v>2380</v>
      </c>
    </row>
    <row r="57" spans="1:18" s="2059" customFormat="1" ht="28.5" customHeight="1" thickBot="1">
      <c r="A57" s="798" t="s">
        <v>1749</v>
      </c>
      <c r="B57" s="799" t="s">
        <v>652</v>
      </c>
      <c r="C57" s="800">
        <f ca="1">ROUND(C58+C63+C64+C65,0)</f>
        <v>0</v>
      </c>
      <c r="D57" s="26" t="s">
        <v>1751</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50" t="s">
        <v>1825</v>
      </c>
      <c r="B58" s="785" t="s">
        <v>657</v>
      </c>
      <c r="C58" s="53">
        <f ca="1">ROUND(IF(项目基本情况!B11="自然人",C47*F58,C59+C60+C61),1)</f>
        <v>0</v>
      </c>
      <c r="D58" s="2663" t="s">
        <v>658</v>
      </c>
      <c r="E58" s="2664"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9" t="s">
        <v>1832</v>
      </c>
      <c r="B59" s="785" t="s">
        <v>661</v>
      </c>
      <c r="C59" s="53">
        <f ca="1">ROUND(C47*F59/1.05,1)</f>
        <v>0</v>
      </c>
      <c r="D59" s="2664"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0</v>
      </c>
      <c r="D60" s="2664" t="str">
        <f>D33</f>
        <v>按房产原值计税</v>
      </c>
      <c r="E60" s="785" t="s">
        <v>1748</v>
      </c>
      <c r="F60" s="810">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2" t="s">
        <v>1834</v>
      </c>
      <c r="B61" s="342" t="s">
        <v>669</v>
      </c>
      <c r="C61" s="54">
        <f ca="1">ROUND(F61*F62/10000,1)</f>
        <v>0</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0</v>
      </c>
      <c r="I62" s="2409" t="s">
        <v>2369</v>
      </c>
      <c r="J62" s="2410" t="s">
        <v>2370</v>
      </c>
      <c r="K62" s="2410" t="s">
        <v>2371</v>
      </c>
      <c r="L62" s="2410" t="s">
        <v>2352</v>
      </c>
      <c r="M62" s="3128" t="s">
        <v>2943</v>
      </c>
      <c r="O62" s="2425" t="s">
        <v>2390</v>
      </c>
      <c r="P62" s="2423" t="str">
        <f>K59</f>
        <v>建设期及建筑物耐用年限下的土地年期修正系数Kn</v>
      </c>
      <c r="Q62" s="2424" t="e">
        <f ca="1">L59</f>
        <v>#DIV/0!</v>
      </c>
      <c r="R62" s="2427" t="s">
        <v>2399</v>
      </c>
    </row>
    <row r="63" spans="1:18" s="2059" customFormat="1" ht="15.75" thickBot="1">
      <c r="A63" s="1650" t="s">
        <v>1890</v>
      </c>
      <c r="B63" s="785" t="s">
        <v>677</v>
      </c>
      <c r="C63" s="53">
        <f ca="1">ROUND(C56*F63,1)</f>
        <v>0</v>
      </c>
      <c r="D63" s="2664" t="s">
        <v>1804</v>
      </c>
      <c r="E63" s="785" t="s">
        <v>1748</v>
      </c>
      <c r="F63" s="818">
        <f t="shared" ca="1" si="0"/>
        <v>0</v>
      </c>
      <c r="I63" s="2409" t="s">
        <v>2372</v>
      </c>
      <c r="J63" s="2410">
        <v>70</v>
      </c>
      <c r="K63" s="2410">
        <v>50</v>
      </c>
      <c r="L63" s="2410">
        <v>80</v>
      </c>
      <c r="M63" s="3129">
        <v>0.02</v>
      </c>
      <c r="O63" s="2422" t="s">
        <v>2393</v>
      </c>
      <c r="P63" s="2423" t="s">
        <v>2410</v>
      </c>
      <c r="Q63" s="2424" t="e">
        <f ca="1">Q57+Q58</f>
        <v>#DIV/0!</v>
      </c>
      <c r="R63" s="2427" t="s">
        <v>2394</v>
      </c>
    </row>
    <row r="64" spans="1:18" s="2059" customFormat="1" ht="16.5" thickBot="1">
      <c r="A64" s="1650" t="s">
        <v>1891</v>
      </c>
      <c r="B64" s="785" t="s">
        <v>680</v>
      </c>
      <c r="C64" s="53">
        <f ca="1">ROUND(C55*F64,1)</f>
        <v>0</v>
      </c>
      <c r="D64" s="2664" t="s">
        <v>681</v>
      </c>
      <c r="E64" s="785" t="s">
        <v>1748</v>
      </c>
      <c r="F64" s="819">
        <f t="shared" ca="1" si="0"/>
        <v>0</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2664" t="s">
        <v>684</v>
      </c>
      <c r="E65" s="785" t="s">
        <v>1748</v>
      </c>
      <c r="F65" s="795">
        <f t="shared" ca="1" si="0"/>
        <v>0</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0</v>
      </c>
      <c r="D66" s="2663" t="s">
        <v>701</v>
      </c>
      <c r="E66" s="2662"/>
      <c r="F66" s="821"/>
      <c r="K66" s="2086"/>
      <c r="O66" s="2422" t="s">
        <v>2381</v>
      </c>
      <c r="P66" s="2423" t="s">
        <v>2411</v>
      </c>
      <c r="Q66" s="2424" t="e">
        <f ca="1">C40+J29</f>
        <v>#DIV/0!</v>
      </c>
      <c r="R66" s="2423" t="s">
        <v>2382</v>
      </c>
    </row>
    <row r="67" spans="1:18" s="2059" customFormat="1" ht="20.25" thickBot="1">
      <c r="A67" s="782" t="s">
        <v>1781</v>
      </c>
      <c r="B67" s="2232" t="s">
        <v>2302</v>
      </c>
      <c r="C67" s="784" t="e">
        <f ca="1">ROUND(C66*(1-((1+F69)/(1+F67))^F68)/(F67-F69),0)</f>
        <v>#DIV/0!</v>
      </c>
      <c r="D67" s="815" t="s">
        <v>705</v>
      </c>
      <c r="E67" s="785" t="s">
        <v>706</v>
      </c>
      <c r="F67" s="795">
        <f ca="1">F40</f>
        <v>0</v>
      </c>
      <c r="K67" s="2086"/>
      <c r="O67" s="2422" t="s">
        <v>2383</v>
      </c>
      <c r="P67" s="2423" t="s">
        <v>2414</v>
      </c>
      <c r="Q67" s="2424" t="e">
        <f ca="1">L60</f>
        <v>#DIV/0!</v>
      </c>
      <c r="R67" s="2427" t="s">
        <v>2416</v>
      </c>
    </row>
    <row r="68" spans="1:18" ht="21.75" thickBot="1">
      <c r="A68" s="787"/>
      <c r="B68" s="788"/>
      <c r="C68" s="789"/>
      <c r="D68" s="822" t="s">
        <v>1809</v>
      </c>
      <c r="E68" s="785" t="s">
        <v>1785</v>
      </c>
      <c r="F68" s="823">
        <f ca="1">F41</f>
        <v>0</v>
      </c>
      <c r="O68" s="2425" t="s">
        <v>2385</v>
      </c>
      <c r="P68" s="2423" t="s">
        <v>2415</v>
      </c>
      <c r="Q68" s="2429">
        <f ca="1">L51</f>
        <v>0</v>
      </c>
      <c r="R68" s="2430" t="s">
        <v>2418</v>
      </c>
    </row>
    <row r="69" spans="1:18" ht="20.25" thickBot="1">
      <c r="A69" s="791"/>
      <c r="B69" s="792"/>
      <c r="C69" s="793"/>
      <c r="D69" s="817"/>
      <c r="E69" s="785" t="s">
        <v>711</v>
      </c>
      <c r="F69" s="2371"/>
      <c r="O69" s="2425" t="s">
        <v>2386</v>
      </c>
      <c r="P69" s="2431" t="s">
        <v>2400</v>
      </c>
      <c r="Q69" s="2424">
        <f ca="1">ROUND(Q70-Q71*Q72,0)</f>
        <v>0</v>
      </c>
      <c r="R69" s="2427"/>
    </row>
    <row r="70" spans="1:18" ht="15.75" thickBot="1">
      <c r="A70" s="824" t="s">
        <v>1788</v>
      </c>
      <c r="B70" s="825" t="s">
        <v>1811</v>
      </c>
      <c r="C70" s="826" t="e">
        <f ca="1">ROUND(C67*10000/F70,0)</f>
        <v>#DIV/0!</v>
      </c>
      <c r="D70" s="827" t="s">
        <v>1812</v>
      </c>
      <c r="E70" s="828" t="s">
        <v>1813</v>
      </c>
      <c r="F70" s="829">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5" priority="7">
      <formula>$L$48&gt;$J$51</formula>
    </cfRule>
  </conditionalFormatting>
  <conditionalFormatting sqref="I55">
    <cfRule type="expression" dxfId="144" priority="8">
      <formula>$J$51&gt;$L$48</formula>
    </cfRule>
  </conditionalFormatting>
  <conditionalFormatting sqref="I60">
    <cfRule type="expression" dxfId="143" priority="6">
      <formula>$J$51&gt;$L$48</formula>
    </cfRule>
  </conditionalFormatting>
  <conditionalFormatting sqref="K60">
    <cfRule type="expression" dxfId="142" priority="5">
      <formula>$L$48&gt;$J$51</formula>
    </cfRule>
  </conditionalFormatting>
  <conditionalFormatting sqref="C11">
    <cfRule type="expression" dxfId="141" priority="4">
      <formula>$F$10="自定义"</formula>
    </cfRule>
  </conditionalFormatting>
  <conditionalFormatting sqref="J11">
    <cfRule type="expression" dxfId="140" priority="2">
      <formula>$M$10="自定义"</formula>
    </cfRule>
  </conditionalFormatting>
  <conditionalFormatting sqref="C53">
    <cfRule type="expression" dxfId="13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2475</v>
      </c>
      <c r="B1" s="3501"/>
      <c r="C1" s="3502"/>
      <c r="D1" s="3503">
        <f>SUM(I10,I15,I20,I21,I23)</f>
        <v>0</v>
      </c>
      <c r="E1" s="3503"/>
      <c r="F1" s="3503"/>
      <c r="G1" s="3503"/>
      <c r="H1" s="3503"/>
      <c r="I1" s="3504"/>
    </row>
    <row r="2" spans="1:9">
      <c r="A2" s="3505" t="s">
        <v>2476</v>
      </c>
      <c r="B2" s="3506" t="s">
        <v>2477</v>
      </c>
      <c r="C2" s="3506"/>
      <c r="D2" s="2531" t="s">
        <v>2478</v>
      </c>
      <c r="E2" s="2531" t="s">
        <v>2479</v>
      </c>
      <c r="F2" s="2531" t="s">
        <v>2480</v>
      </c>
      <c r="G2" s="2531" t="s">
        <v>2481</v>
      </c>
      <c r="H2" s="2531" t="s">
        <v>2482</v>
      </c>
      <c r="I2" s="2532" t="s">
        <v>2483</v>
      </c>
    </row>
    <row r="3" spans="1:9">
      <c r="A3" s="3505"/>
      <c r="B3" s="3506" t="s">
        <v>2484</v>
      </c>
      <c r="C3" s="3506"/>
      <c r="D3" s="2533"/>
      <c r="E3" s="2531"/>
      <c r="F3" s="2534"/>
      <c r="G3" s="2534"/>
      <c r="H3" s="2535"/>
      <c r="I3" s="2536">
        <f>ROUND(D3*E3*F3*G3*H3/10000,0)</f>
        <v>0</v>
      </c>
    </row>
    <row r="4" spans="1:9">
      <c r="A4" s="3505"/>
      <c r="B4" s="3506" t="s">
        <v>2485</v>
      </c>
      <c r="C4" s="3506"/>
      <c r="D4" s="2533"/>
      <c r="E4" s="2531"/>
      <c r="F4" s="2534"/>
      <c r="G4" s="2534"/>
      <c r="H4" s="2535"/>
      <c r="I4" s="2536">
        <f t="shared" ref="I4:I9" si="0">ROUND(D4*E4*F4*G4*H4/10000,0)</f>
        <v>0</v>
      </c>
    </row>
    <row r="5" spans="1:9">
      <c r="A5" s="3505"/>
      <c r="B5" s="3506" t="s">
        <v>2486</v>
      </c>
      <c r="C5" s="3506"/>
      <c r="D5" s="2533"/>
      <c r="E5" s="2531"/>
      <c r="F5" s="2534"/>
      <c r="G5" s="2534"/>
      <c r="H5" s="2535"/>
      <c r="I5" s="2536">
        <f t="shared" si="0"/>
        <v>0</v>
      </c>
    </row>
    <row r="6" spans="1:9">
      <c r="A6" s="3505"/>
      <c r="B6" s="3506" t="s">
        <v>2487</v>
      </c>
      <c r="C6" s="3506"/>
      <c r="D6" s="2533"/>
      <c r="E6" s="2531"/>
      <c r="F6" s="2534"/>
      <c r="G6" s="2534"/>
      <c r="H6" s="2535"/>
      <c r="I6" s="2536">
        <f t="shared" si="0"/>
        <v>0</v>
      </c>
    </row>
    <row r="7" spans="1:9">
      <c r="A7" s="3505"/>
      <c r="B7" s="3506" t="s">
        <v>2488</v>
      </c>
      <c r="C7" s="3506"/>
      <c r="D7" s="2533"/>
      <c r="E7" s="2531"/>
      <c r="F7" s="2534"/>
      <c r="G7" s="2534"/>
      <c r="H7" s="2535"/>
      <c r="I7" s="2536">
        <f t="shared" si="0"/>
        <v>0</v>
      </c>
    </row>
    <row r="8" spans="1:9">
      <c r="A8" s="3505"/>
      <c r="B8" s="3506" t="s">
        <v>2489</v>
      </c>
      <c r="C8" s="3506"/>
      <c r="D8" s="2533"/>
      <c r="E8" s="2531"/>
      <c r="F8" s="2534"/>
      <c r="G8" s="2534"/>
      <c r="H8" s="2535"/>
      <c r="I8" s="2536">
        <f t="shared" si="0"/>
        <v>0</v>
      </c>
    </row>
    <row r="9" spans="1:9">
      <c r="A9" s="3505"/>
      <c r="B9" s="3506" t="s">
        <v>2490</v>
      </c>
      <c r="C9" s="3506"/>
      <c r="D9" s="2533"/>
      <c r="E9" s="2531"/>
      <c r="F9" s="2534"/>
      <c r="G9" s="2534"/>
      <c r="H9" s="2535"/>
      <c r="I9" s="2536">
        <f t="shared" si="0"/>
        <v>0</v>
      </c>
    </row>
    <row r="10" spans="1:9">
      <c r="A10" s="3505"/>
      <c r="B10" s="3507" t="s">
        <v>2491</v>
      </c>
      <c r="C10" s="3507"/>
      <c r="D10" s="2537">
        <v>527</v>
      </c>
      <c r="E10" s="2537" t="e">
        <f>ROUND(D1*10000/D10/H9,0)</f>
        <v>#DIV/0!</v>
      </c>
      <c r="F10" s="2538"/>
      <c r="G10" s="2538"/>
      <c r="H10" s="2539"/>
      <c r="I10" s="2540">
        <f>SUM(I3:I9)</f>
        <v>0</v>
      </c>
    </row>
    <row r="11" spans="1:9" ht="14.25">
      <c r="A11" s="3505" t="s">
        <v>2492</v>
      </c>
      <c r="B11" s="3506" t="s">
        <v>2493</v>
      </c>
      <c r="C11" s="3506"/>
      <c r="D11" s="2533" t="s">
        <v>2494</v>
      </c>
      <c r="E11" s="2533" t="s">
        <v>2495</v>
      </c>
      <c r="F11" s="2534" t="s">
        <v>2496</v>
      </c>
      <c r="G11" s="2534" t="s">
        <v>2497</v>
      </c>
      <c r="H11" s="2541" t="s">
        <v>2498</v>
      </c>
      <c r="I11" s="2532" t="s">
        <v>2499</v>
      </c>
    </row>
    <row r="12" spans="1:9">
      <c r="A12" s="3505"/>
      <c r="B12" s="3506" t="s">
        <v>2500</v>
      </c>
      <c r="C12" s="3506"/>
      <c r="D12" s="2533"/>
      <c r="E12" s="2533"/>
      <c r="F12" s="2534"/>
      <c r="G12" s="2535"/>
      <c r="H12" s="2542"/>
      <c r="I12" s="2532">
        <f>ROUND(D12*E12*F12*G12/10000,0)</f>
        <v>0</v>
      </c>
    </row>
    <row r="13" spans="1:9">
      <c r="A13" s="3505"/>
      <c r="B13" s="3506" t="s">
        <v>2501</v>
      </c>
      <c r="C13" s="3506"/>
      <c r="D13" s="2533"/>
      <c r="E13" s="2533"/>
      <c r="F13" s="2534"/>
      <c r="G13" s="2535"/>
      <c r="H13" s="2542"/>
      <c r="I13" s="2532">
        <f>ROUND(D13*E13*F13*G13/10000,0)</f>
        <v>0</v>
      </c>
    </row>
    <row r="14" spans="1:9">
      <c r="A14" s="3505"/>
      <c r="B14" s="3506" t="s">
        <v>2502</v>
      </c>
      <c r="C14" s="3506"/>
      <c r="D14" s="2533"/>
      <c r="E14" s="2533"/>
      <c r="F14" s="2534"/>
      <c r="G14" s="2535"/>
      <c r="H14" s="2542"/>
      <c r="I14" s="2532">
        <f>ROUND(D14*E14*F14*G14/10000,0)</f>
        <v>0</v>
      </c>
    </row>
    <row r="15" spans="1:9">
      <c r="A15" s="3505"/>
      <c r="B15" s="3507" t="s">
        <v>2491</v>
      </c>
      <c r="C15" s="3507"/>
      <c r="D15" s="2537"/>
      <c r="E15" s="2537">
        <f>SUM(E12:E14)</f>
        <v>0</v>
      </c>
      <c r="F15" s="2538"/>
      <c r="G15" s="2535"/>
      <c r="H15" s="2542"/>
      <c r="I15" s="2543">
        <f>SUM(I12:I14)</f>
        <v>0</v>
      </c>
    </row>
    <row r="16" spans="1:9" ht="24">
      <c r="A16" s="3505" t="s">
        <v>2503</v>
      </c>
      <c r="B16" s="3506" t="s">
        <v>2504</v>
      </c>
      <c r="C16" s="3506"/>
      <c r="D16" s="2533" t="s">
        <v>2505</v>
      </c>
      <c r="E16" s="2544" t="s">
        <v>2506</v>
      </c>
      <c r="F16" s="2534" t="s">
        <v>2507</v>
      </c>
      <c r="G16" s="2535" t="s">
        <v>2497</v>
      </c>
      <c r="H16" s="2541" t="s">
        <v>2498</v>
      </c>
      <c r="I16" s="2532" t="s">
        <v>2499</v>
      </c>
    </row>
    <row r="17" spans="1:9" ht="14.25">
      <c r="A17" s="3505"/>
      <c r="B17" s="3506" t="s">
        <v>2508</v>
      </c>
      <c r="C17" s="3506"/>
      <c r="D17" s="2533"/>
      <c r="E17" s="2533"/>
      <c r="F17" s="2534"/>
      <c r="G17" s="2535"/>
      <c r="H17" s="2545"/>
      <c r="I17" s="2546">
        <f>ROUND(D17*E17*F17*G17/10000,0)</f>
        <v>0</v>
      </c>
    </row>
    <row r="18" spans="1:9" ht="14.25">
      <c r="A18" s="3505"/>
      <c r="B18" s="3506" t="s">
        <v>2509</v>
      </c>
      <c r="C18" s="3506"/>
      <c r="D18" s="2533"/>
      <c r="E18" s="2533"/>
      <c r="F18" s="2534"/>
      <c r="G18" s="2535"/>
      <c r="H18" s="2545"/>
      <c r="I18" s="2546">
        <f>ROUND(D18*E18*F18*G18/10000,0)</f>
        <v>0</v>
      </c>
    </row>
    <row r="19" spans="1:9" ht="14.25">
      <c r="A19" s="3505"/>
      <c r="B19" s="3506" t="s">
        <v>2510</v>
      </c>
      <c r="C19" s="3506"/>
      <c r="D19" s="2533"/>
      <c r="E19" s="2533"/>
      <c r="F19" s="2534"/>
      <c r="G19" s="2535"/>
      <c r="H19" s="2545"/>
      <c r="I19" s="2546">
        <f>ROUND(D19*E19*F19*G19/10000,0)</f>
        <v>0</v>
      </c>
    </row>
    <row r="20" spans="1:9">
      <c r="A20" s="3505"/>
      <c r="B20" s="3507" t="s">
        <v>2491</v>
      </c>
      <c r="C20" s="3507"/>
      <c r="D20" s="2537">
        <f>SUM(D17:D19)</f>
        <v>0</v>
      </c>
      <c r="E20" s="2537"/>
      <c r="F20" s="2538"/>
      <c r="G20" s="2535"/>
      <c r="H20" s="2542"/>
      <c r="I20" s="2543">
        <f>SUM(I17:I19)</f>
        <v>0</v>
      </c>
    </row>
    <row r="21" spans="1:9">
      <c r="A21" s="3505" t="s">
        <v>2511</v>
      </c>
      <c r="B21" s="3509"/>
      <c r="C21" s="3509"/>
      <c r="D21" s="3509"/>
      <c r="E21" s="3509"/>
      <c r="F21" s="3509"/>
      <c r="G21" s="3509"/>
      <c r="H21" s="2547">
        <v>0.1</v>
      </c>
      <c r="I21" s="2540">
        <f>ROUND(I10*H21,0)</f>
        <v>0</v>
      </c>
    </row>
    <row r="22" spans="1:9" ht="14.25">
      <c r="A22" s="3510" t="s">
        <v>2512</v>
      </c>
      <c r="B22" s="3511"/>
      <c r="C22" s="3512"/>
      <c r="D22" s="2548" t="s">
        <v>2513</v>
      </c>
      <c r="E22" s="2548" t="s">
        <v>2514</v>
      </c>
      <c r="F22" s="2549" t="s">
        <v>2515</v>
      </c>
      <c r="G22" s="2549" t="s">
        <v>2516</v>
      </c>
      <c r="H22" s="2541" t="s">
        <v>2517</v>
      </c>
      <c r="I22" s="2532" t="s">
        <v>2518</v>
      </c>
    </row>
    <row r="23" spans="1:9" ht="14.25" thickBot="1">
      <c r="A23" s="3513"/>
      <c r="B23" s="3514"/>
      <c r="C23" s="3515"/>
      <c r="D23" s="2550"/>
      <c r="E23" s="2550"/>
      <c r="F23" s="2550"/>
      <c r="G23" s="2551"/>
      <c r="H23" s="2552"/>
      <c r="I23" s="2553">
        <f>ROUND(E23*D23*F23*(1-G23)/10000,0)</f>
        <v>0</v>
      </c>
    </row>
    <row r="26" spans="1:9">
      <c r="A26" s="2554" t="s">
        <v>2519</v>
      </c>
      <c r="B26" s="2554"/>
      <c r="C26" s="2554"/>
      <c r="D26" s="2554"/>
      <c r="E26" s="3516">
        <f>C27-C30-C31-C32</f>
        <v>0</v>
      </c>
      <c r="F26" s="3516"/>
      <c r="G26" s="3516"/>
      <c r="H26" s="3069" t="s">
        <v>2849</v>
      </c>
    </row>
    <row r="27" spans="1:9">
      <c r="A27" s="2555">
        <v>1</v>
      </c>
      <c r="B27" s="2556" t="s">
        <v>2520</v>
      </c>
      <c r="C27" s="2556"/>
      <c r="D27" s="2556"/>
      <c r="E27" s="3517"/>
      <c r="F27" s="3517"/>
      <c r="G27" s="3517"/>
    </row>
    <row r="28" spans="1:9">
      <c r="A28" s="2557" t="s">
        <v>2521</v>
      </c>
      <c r="B28" s="2556" t="s">
        <v>2522</v>
      </c>
      <c r="C28" s="2556"/>
      <c r="D28" s="2556"/>
      <c r="E28" s="3517"/>
      <c r="F28" s="3517"/>
      <c r="G28" s="3517"/>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08"/>
      <c r="F32" s="3508"/>
      <c r="G32" s="3508"/>
    </row>
    <row r="33" spans="1:7" hidden="1">
      <c r="A33" s="3518" t="s">
        <v>2530</v>
      </c>
      <c r="B33" s="3519"/>
      <c r="C33" s="3519"/>
      <c r="D33" s="3520"/>
      <c r="E33" s="3516"/>
      <c r="F33" s="3516"/>
      <c r="G33" s="3516"/>
    </row>
    <row r="34" spans="1:7" hidden="1">
      <c r="A34" s="2559">
        <v>1</v>
      </c>
      <c r="B34" s="2556" t="s">
        <v>2531</v>
      </c>
      <c r="C34" s="2556"/>
      <c r="D34" s="2556"/>
      <c r="E34" s="3517"/>
      <c r="F34" s="3517"/>
      <c r="G34" s="3517"/>
    </row>
    <row r="35" spans="1:7" hidden="1">
      <c r="A35" s="2559">
        <v>2</v>
      </c>
      <c r="B35" s="2556" t="s">
        <v>2532</v>
      </c>
      <c r="C35" s="2556"/>
      <c r="D35" s="2556"/>
      <c r="E35" s="3517"/>
      <c r="F35" s="3517"/>
      <c r="G35" s="3517"/>
    </row>
    <row r="36" spans="1:7" hidden="1">
      <c r="A36" s="2559">
        <v>3</v>
      </c>
      <c r="B36" s="2556" t="s">
        <v>2533</v>
      </c>
      <c r="C36" s="2556"/>
      <c r="D36" s="2556"/>
      <c r="E36" s="3517"/>
      <c r="F36" s="3517"/>
      <c r="G36" s="3517"/>
    </row>
    <row r="37" spans="1:7" hidden="1">
      <c r="A37" s="2559">
        <v>4</v>
      </c>
      <c r="B37" s="2556" t="s">
        <v>2534</v>
      </c>
      <c r="C37" s="2556"/>
      <c r="D37" s="2556"/>
      <c r="E37" s="3517"/>
      <c r="F37" s="3517"/>
      <c r="G37" s="3517"/>
    </row>
    <row r="38" spans="1:7" hidden="1">
      <c r="A38" s="3518" t="s">
        <v>2535</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2" t="s">
        <v>604</v>
      </c>
      <c r="B1" s="743"/>
      <c r="C1" s="2182"/>
      <c r="D1" s="2182"/>
      <c r="E1" s="2182"/>
      <c r="F1" s="2182"/>
      <c r="G1" s="2108"/>
    </row>
    <row r="2" spans="1:25" s="2059" customFormat="1" ht="18" customHeight="1">
      <c r="A2" s="424" t="s">
        <v>467</v>
      </c>
      <c r="B2" s="426">
        <f ca="1">C23</f>
        <v>0</v>
      </c>
      <c r="C2" s="2108"/>
      <c r="D2" s="2108"/>
      <c r="E2" s="2108"/>
      <c r="F2" s="2108"/>
      <c r="G2" s="2108"/>
    </row>
    <row r="3" spans="1:25" s="2059" customFormat="1" ht="18" customHeight="1">
      <c r="A3" s="1380" t="s">
        <v>1686</v>
      </c>
      <c r="B3" s="426">
        <f ca="1">ROUND(B2*10000/'数据-汇总表'!E3,0)</f>
        <v>0</v>
      </c>
      <c r="C3" s="2108"/>
      <c r="D3" s="2108"/>
      <c r="E3" s="2108"/>
      <c r="F3" s="2108"/>
      <c r="G3" s="2108"/>
    </row>
    <row r="4" spans="1:25" s="2059" customFormat="1" ht="18" customHeight="1">
      <c r="A4" s="427" t="s">
        <v>468</v>
      </c>
      <c r="B4" s="428">
        <f ca="1">ROUND(B2*10000/'数据-汇总表'!D3,0)</f>
        <v>0</v>
      </c>
      <c r="C4" s="2061"/>
      <c r="D4" s="2108"/>
      <c r="E4" s="2108"/>
      <c r="F4" s="2108"/>
      <c r="G4" s="2108"/>
    </row>
    <row r="5" spans="1:25" s="2059" customFormat="1" ht="18" customHeight="1" thickBot="1">
      <c r="A5" s="430"/>
      <c r="B5" s="431">
        <f ca="1">ROUND(B2/('数据-汇总表'!D3/666.67),0)</f>
        <v>0</v>
      </c>
      <c r="C5" s="432" t="s">
        <v>469</v>
      </c>
      <c r="D5" s="2108"/>
      <c r="E5" s="2108"/>
      <c r="F5" s="2108"/>
      <c r="G5" s="2108"/>
    </row>
    <row r="6" spans="1:25" s="2183" customFormat="1" ht="13.5" customHeight="1">
      <c r="A6" s="744"/>
      <c r="B6" s="745" t="s">
        <v>605</v>
      </c>
      <c r="C6" s="746" t="s">
        <v>606</v>
      </c>
      <c r="D6" s="746" t="s">
        <v>607</v>
      </c>
      <c r="E6" s="747" t="s">
        <v>608</v>
      </c>
      <c r="F6" s="747" t="s">
        <v>609</v>
      </c>
      <c r="G6" s="748"/>
    </row>
    <row r="7" spans="1:25" s="2183" customFormat="1" ht="13.5" customHeight="1">
      <c r="A7" s="2493">
        <v>1</v>
      </c>
      <c r="B7" s="749" t="s">
        <v>610</v>
      </c>
      <c r="C7" s="750">
        <f>C8+C9</f>
        <v>0</v>
      </c>
      <c r="D7" s="750"/>
      <c r="E7" s="751"/>
      <c r="F7" s="751"/>
      <c r="G7" s="2503"/>
    </row>
    <row r="8" spans="1:25" s="2183" customFormat="1" ht="13.5" customHeight="1">
      <c r="A8" s="2493" t="s">
        <v>2442</v>
      </c>
      <c r="B8" s="2496" t="s">
        <v>2444</v>
      </c>
      <c r="C8" s="2497"/>
      <c r="D8" s="750"/>
      <c r="E8" s="751"/>
      <c r="F8" s="751"/>
      <c r="G8" s="752"/>
    </row>
    <row r="9" spans="1:25" s="2183" customFormat="1" ht="13.5" customHeight="1">
      <c r="A9" s="2493" t="s">
        <v>2443</v>
      </c>
      <c r="B9" s="2496" t="s">
        <v>2445</v>
      </c>
      <c r="C9" s="2497"/>
      <c r="D9" s="750"/>
      <c r="E9" s="751"/>
      <c r="F9" s="751"/>
      <c r="G9" s="752"/>
    </row>
    <row r="10" spans="1:25" s="2183" customFormat="1" ht="36">
      <c r="A10" s="2493">
        <v>2</v>
      </c>
      <c r="B10" s="749" t="s">
        <v>614</v>
      </c>
      <c r="C10" s="750">
        <f>C11+C14+C15</f>
        <v>0</v>
      </c>
      <c r="D10" s="761">
        <f>'数据-汇总表'!E3</f>
        <v>294706.12</v>
      </c>
      <c r="E10" s="750">
        <f>'数据-取费表'!B31</f>
        <v>215</v>
      </c>
      <c r="F10" s="762"/>
      <c r="G10" s="760" t="s">
        <v>615</v>
      </c>
    </row>
    <row r="11" spans="1:25" s="2183" customFormat="1" ht="13.5" customHeight="1">
      <c r="A11" s="2493" t="s">
        <v>2442</v>
      </c>
      <c r="B11" s="753" t="s">
        <v>611</v>
      </c>
      <c r="C11" s="754">
        <f>'数据-取费表'!B29</f>
        <v>0</v>
      </c>
      <c r="D11" s="755"/>
      <c r="E11" s="754"/>
      <c r="F11" s="756"/>
      <c r="G11" s="2502" t="s">
        <v>2453</v>
      </c>
    </row>
    <row r="12" spans="1:25" s="2183" customFormat="1" ht="13.5" customHeight="1">
      <c r="A12" s="2500" t="s">
        <v>2450</v>
      </c>
      <c r="B12" s="757" t="s">
        <v>612</v>
      </c>
      <c r="C12" s="758">
        <f>ROUND(D12*E12/10000,0)</f>
        <v>4143</v>
      </c>
      <c r="D12" s="759">
        <f>'数据-汇总表'!E5</f>
        <v>192679.15</v>
      </c>
      <c r="E12" s="758">
        <f>'数据-取费表'!B27</f>
        <v>215</v>
      </c>
      <c r="F12" s="756"/>
      <c r="G12" s="760"/>
    </row>
    <row r="13" spans="1:25" s="2183" customFormat="1" ht="13.5" customHeight="1">
      <c r="A13" s="2500" t="s">
        <v>2449</v>
      </c>
      <c r="B13" s="757" t="s">
        <v>613</v>
      </c>
      <c r="C13" s="758">
        <f>ROUND(D13*E13/10000,0)</f>
        <v>2194</v>
      </c>
      <c r="D13" s="759">
        <f>'数据-汇总表'!E6</f>
        <v>102026.97</v>
      </c>
      <c r="E13" s="758">
        <f>'数据-取费表'!B28</f>
        <v>215</v>
      </c>
      <c r="F13" s="756"/>
      <c r="G13" s="760"/>
    </row>
    <row r="14" spans="1:25" s="2183" customFormat="1" ht="13.5" customHeight="1">
      <c r="A14" s="2493" t="s">
        <v>2443</v>
      </c>
      <c r="B14" s="2499" t="s">
        <v>2446</v>
      </c>
      <c r="C14" s="2497"/>
      <c r="D14" s="759"/>
      <c r="E14" s="758"/>
      <c r="F14" s="2498"/>
      <c r="G14" s="2501" t="s">
        <v>2451</v>
      </c>
    </row>
    <row r="15" spans="1:25" s="2183" customFormat="1" ht="13.5" customHeight="1">
      <c r="A15" s="2493" t="s">
        <v>2448</v>
      </c>
      <c r="B15" s="2499" t="s">
        <v>2447</v>
      </c>
      <c r="C15" s="2497"/>
      <c r="D15" s="759"/>
      <c r="E15" s="758"/>
      <c r="F15" s="2498"/>
      <c r="G15" s="2501" t="s">
        <v>2452</v>
      </c>
    </row>
    <row r="16" spans="1:25" s="2184" customFormat="1" ht="48">
      <c r="A16" s="2493">
        <v>3</v>
      </c>
      <c r="B16" s="749" t="s">
        <v>616</v>
      </c>
      <c r="C16" s="2497"/>
      <c r="D16" s="761"/>
      <c r="E16" s="750"/>
      <c r="F16" s="762"/>
      <c r="G16" s="760"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9" t="s">
        <v>617</v>
      </c>
      <c r="C17" s="259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9" t="s">
        <v>618</v>
      </c>
      <c r="C18" s="750">
        <f>ROUND((C7+C10+C16)*F18,0)</f>
        <v>0</v>
      </c>
      <c r="D18" s="763"/>
      <c r="E18" s="764"/>
      <c r="F18" s="762">
        <f>'数据-取费表'!Q16</f>
        <v>0.11</v>
      </c>
      <c r="G18" s="766"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9" t="s">
        <v>620</v>
      </c>
      <c r="C19" s="750">
        <f ca="1">C7+C10+C16+C17+C18</f>
        <v>0</v>
      </c>
      <c r="D19" s="761"/>
      <c r="E19" s="750"/>
      <c r="F19" s="762"/>
      <c r="G19" s="766"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9" t="s">
        <v>622</v>
      </c>
      <c r="C20" s="750">
        <f ca="1">ROUND(C19*F20,0)</f>
        <v>0</v>
      </c>
      <c r="D20" s="761"/>
      <c r="E20" s="750"/>
      <c r="F20" s="1350"/>
      <c r="G20" s="766"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9" t="s">
        <v>624</v>
      </c>
      <c r="C21" s="750">
        <f ca="1">C19+C20</f>
        <v>0</v>
      </c>
      <c r="D21" s="761"/>
      <c r="E21" s="750"/>
      <c r="F21" s="762"/>
      <c r="G21" s="766"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9" t="s">
        <v>626</v>
      </c>
      <c r="C22" s="750">
        <f ca="1">ROUND(C21*F22,0)</f>
        <v>0</v>
      </c>
      <c r="D22" s="761"/>
      <c r="E22" s="750"/>
      <c r="F22" s="767">
        <f>'数据-取费表'!AP16</f>
        <v>0.92100000000000004</v>
      </c>
      <c r="G22" s="766"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8" t="s">
        <v>628</v>
      </c>
      <c r="C23" s="769">
        <f ca="1">C22</f>
        <v>0</v>
      </c>
      <c r="D23" s="770"/>
      <c r="E23" s="769"/>
      <c r="F23" s="771"/>
      <c r="G23" s="772"/>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2982</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2990</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2991</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8" priority="7">
      <formula>$L$48&gt;$J$51</formula>
    </cfRule>
  </conditionalFormatting>
  <conditionalFormatting sqref="I55">
    <cfRule type="expression" dxfId="137" priority="6">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5" zoomScale="70" zoomScaleNormal="70" workbookViewId="0">
      <selection activeCell="K37" sqref="K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2983</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2990</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2991</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1" priority="7">
      <formula>$L$48&gt;$J$51</formula>
    </cfRule>
  </conditionalFormatting>
  <conditionalFormatting sqref="I55">
    <cfRule type="expression" dxfId="130" priority="6">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3" sqref="A3"/>
    </sheetView>
  </sheetViews>
  <sheetFormatPr defaultRowHeight="13.5"/>
  <cols>
    <col min="1" max="1" width="36.375" style="2965" customWidth="1"/>
    <col min="2" max="2" width="0" style="2965" hidden="1" customWidth="1"/>
    <col min="3" max="3" width="11.5" style="2965" customWidth="1"/>
    <col min="4" max="4" width="9" style="2965"/>
    <col min="5" max="5" width="14.5" style="2965" customWidth="1"/>
    <col min="6" max="6" width="20.875" style="2965" customWidth="1"/>
    <col min="7" max="7" width="9" style="2965"/>
    <col min="8" max="8" width="9.875" style="2965" customWidth="1"/>
    <col min="9" max="9" width="0" style="2965" hidden="1" customWidth="1"/>
    <col min="10" max="10" width="10.125" style="2965" customWidth="1"/>
    <col min="11" max="11" width="10.5" style="2965" customWidth="1"/>
    <col min="12" max="12" width="14.125" style="2965" customWidth="1"/>
    <col min="13" max="13" width="14.375" style="2965" customWidth="1"/>
    <col min="14" max="14" width="9" style="2965"/>
    <col min="15" max="15" width="12.25" style="2965" customWidth="1"/>
    <col min="16" max="16384" width="9" style="2965"/>
  </cols>
  <sheetData>
    <row r="1" spans="1:13">
      <c r="A1" s="3191" t="s">
        <v>3033</v>
      </c>
      <c r="B1" s="2965" t="s">
        <v>2995</v>
      </c>
      <c r="C1" s="2965" t="s">
        <v>2996</v>
      </c>
      <c r="D1" s="2965" t="s">
        <v>2998</v>
      </c>
      <c r="E1" s="2965" t="s">
        <v>2999</v>
      </c>
      <c r="F1" s="2965" t="s">
        <v>2033</v>
      </c>
      <c r="G1" s="2965" t="s">
        <v>2997</v>
      </c>
      <c r="H1" s="2965" t="s">
        <v>3000</v>
      </c>
      <c r="I1" s="2965" t="s">
        <v>3002</v>
      </c>
      <c r="J1" s="2965" t="s">
        <v>3003</v>
      </c>
      <c r="K1" s="2965" t="s">
        <v>3004</v>
      </c>
      <c r="L1" s="2965" t="s">
        <v>3005</v>
      </c>
      <c r="M1" s="2965" t="s">
        <v>3001</v>
      </c>
    </row>
    <row r="2" spans="1:13" s="3178" customFormat="1">
      <c r="A2" s="3178" t="s">
        <v>3034</v>
      </c>
      <c r="B2" s="3178" t="s">
        <v>3035</v>
      </c>
      <c r="C2" s="3178" t="s">
        <v>3036</v>
      </c>
      <c r="D2" s="3178">
        <v>62024</v>
      </c>
      <c r="E2" s="3178">
        <v>74428.800000000003</v>
      </c>
      <c r="F2" s="3178" t="s">
        <v>3037</v>
      </c>
      <c r="G2" s="3178" t="s">
        <v>3038</v>
      </c>
      <c r="H2" s="3178" t="s">
        <v>3039</v>
      </c>
      <c r="I2" s="3178">
        <v>86300</v>
      </c>
      <c r="J2" s="3178">
        <v>97000</v>
      </c>
      <c r="K2" s="3178">
        <v>13032.59</v>
      </c>
      <c r="L2" s="3178">
        <v>12.4</v>
      </c>
      <c r="M2" s="3178" t="s">
        <v>3040</v>
      </c>
    </row>
    <row r="3" spans="1:13">
      <c r="A3" s="3236" t="s">
        <v>3197</v>
      </c>
      <c r="B3" s="2965" t="s">
        <v>3035</v>
      </c>
      <c r="C3" s="2965" t="s">
        <v>3042</v>
      </c>
      <c r="D3" s="2965">
        <v>68970.899999999994</v>
      </c>
      <c r="E3" s="2965">
        <v>81824.160000000003</v>
      </c>
      <c r="F3" s="2965" t="s">
        <v>3043</v>
      </c>
      <c r="G3" s="2965" t="s">
        <v>3038</v>
      </c>
      <c r="H3" s="2965" t="s">
        <v>3044</v>
      </c>
      <c r="I3" s="2965">
        <v>71500</v>
      </c>
      <c r="J3" s="2965">
        <v>107250</v>
      </c>
      <c r="K3" s="2965">
        <v>13107.37</v>
      </c>
      <c r="L3" s="2965">
        <v>50</v>
      </c>
      <c r="M3" s="2965" t="s">
        <v>3045</v>
      </c>
    </row>
    <row r="4" spans="1:13" s="3178" customFormat="1">
      <c r="A4" s="3178" t="s">
        <v>3041</v>
      </c>
      <c r="B4" s="3178" t="s">
        <v>3035</v>
      </c>
      <c r="C4" s="3178" t="s">
        <v>3036</v>
      </c>
      <c r="D4" s="3178">
        <v>79346.2</v>
      </c>
      <c r="E4" s="3178">
        <v>95215.44</v>
      </c>
      <c r="F4" s="3178" t="s">
        <v>3046</v>
      </c>
      <c r="G4" s="3178" t="s">
        <v>3038</v>
      </c>
      <c r="H4" s="3178" t="s">
        <v>3044</v>
      </c>
      <c r="I4" s="3178">
        <v>88350</v>
      </c>
      <c r="J4" s="3178">
        <v>132500</v>
      </c>
      <c r="K4" s="3178">
        <v>13915.8</v>
      </c>
      <c r="L4" s="3178">
        <v>49.97</v>
      </c>
      <c r="M4" s="3178" t="s">
        <v>3047</v>
      </c>
    </row>
    <row r="5" spans="1:13" s="3178" customFormat="1">
      <c r="A5" s="3178" t="s">
        <v>3041</v>
      </c>
      <c r="B5" s="3178" t="s">
        <v>3035</v>
      </c>
      <c r="C5" s="3178" t="s">
        <v>3036</v>
      </c>
      <c r="D5" s="3178">
        <v>45436.7</v>
      </c>
      <c r="E5" s="3178">
        <v>54524.04</v>
      </c>
      <c r="F5" s="3178" t="s">
        <v>3048</v>
      </c>
      <c r="G5" s="3178" t="s">
        <v>3038</v>
      </c>
      <c r="H5" s="3178" t="s">
        <v>3049</v>
      </c>
      <c r="I5" s="3178">
        <v>50550</v>
      </c>
      <c r="J5" s="3178">
        <v>75800</v>
      </c>
      <c r="K5" s="3178">
        <v>13902.12</v>
      </c>
      <c r="L5" s="3178">
        <v>49.95</v>
      </c>
      <c r="M5" s="3178" t="s">
        <v>3050</v>
      </c>
    </row>
    <row r="6" spans="1:13">
      <c r="A6" s="2965" t="s">
        <v>3051</v>
      </c>
      <c r="B6" s="2965" t="s">
        <v>3035</v>
      </c>
      <c r="C6" s="2965" t="s">
        <v>3036</v>
      </c>
      <c r="D6" s="2965">
        <v>93217.9</v>
      </c>
      <c r="E6" s="2965">
        <v>139826.79999999999</v>
      </c>
      <c r="F6" s="2965" t="s">
        <v>3052</v>
      </c>
      <c r="G6" s="2965" t="s">
        <v>3038</v>
      </c>
      <c r="H6" s="2965" t="s">
        <v>3053</v>
      </c>
      <c r="I6" s="2965">
        <v>139800</v>
      </c>
      <c r="J6" s="2965">
        <v>155000</v>
      </c>
      <c r="K6" s="2965">
        <v>11085.13</v>
      </c>
      <c r="L6" s="2965">
        <v>10.87</v>
      </c>
      <c r="M6" s="2965" t="s">
        <v>3054</v>
      </c>
    </row>
    <row r="7" spans="1:13">
      <c r="A7" s="2965" t="s">
        <v>3055</v>
      </c>
      <c r="B7" s="2965" t="s">
        <v>3035</v>
      </c>
      <c r="C7" s="2965" t="s">
        <v>3042</v>
      </c>
      <c r="D7" s="2965">
        <v>195154.8</v>
      </c>
      <c r="E7" s="2965">
        <v>290021.2</v>
      </c>
      <c r="F7" s="2965" t="s">
        <v>3056</v>
      </c>
      <c r="G7" s="2965" t="s">
        <v>3038</v>
      </c>
      <c r="H7" s="2965" t="s">
        <v>3057</v>
      </c>
      <c r="I7" s="2965">
        <v>102610</v>
      </c>
      <c r="J7" s="2965">
        <v>426000</v>
      </c>
      <c r="K7" s="2965">
        <v>14688.57</v>
      </c>
      <c r="L7" s="2965">
        <v>315.16000000000003</v>
      </c>
      <c r="M7" s="2965" t="s">
        <v>3058</v>
      </c>
    </row>
    <row r="8" spans="1:13">
      <c r="A8" s="2965" t="s">
        <v>3055</v>
      </c>
      <c r="B8" s="2965" t="s">
        <v>3035</v>
      </c>
      <c r="C8" s="2965" t="s">
        <v>3042</v>
      </c>
      <c r="D8" s="2965">
        <v>167224.79999999999</v>
      </c>
      <c r="E8" s="2965">
        <v>353619</v>
      </c>
      <c r="F8" s="2965" t="s">
        <v>3059</v>
      </c>
      <c r="G8" s="2965" t="s">
        <v>3038</v>
      </c>
      <c r="H8" s="2965" t="s">
        <v>3006</v>
      </c>
      <c r="I8" s="2965">
        <v>82770</v>
      </c>
      <c r="J8" s="2965">
        <v>82770</v>
      </c>
      <c r="K8" s="2965">
        <v>2340.65</v>
      </c>
      <c r="L8" s="2965">
        <v>0</v>
      </c>
      <c r="M8" s="2965" t="s">
        <v>3060</v>
      </c>
    </row>
    <row r="9" spans="1:13">
      <c r="A9" s="2965" t="s">
        <v>3061</v>
      </c>
      <c r="B9" s="2965" t="s">
        <v>3035</v>
      </c>
      <c r="C9" s="2965" t="s">
        <v>3042</v>
      </c>
      <c r="D9" s="2965">
        <v>127321.60000000001</v>
      </c>
      <c r="E9" s="2965">
        <v>171882</v>
      </c>
      <c r="F9" s="2965" t="s">
        <v>3062</v>
      </c>
      <c r="G9" s="2965" t="s">
        <v>3038</v>
      </c>
      <c r="H9" s="2965" t="s">
        <v>3007</v>
      </c>
      <c r="I9" s="2965">
        <v>76400</v>
      </c>
      <c r="J9" s="2965">
        <v>76500</v>
      </c>
      <c r="K9" s="2965">
        <v>4450.72</v>
      </c>
      <c r="L9" s="2965">
        <v>0.13</v>
      </c>
      <c r="M9" s="2965" t="s">
        <v>3063</v>
      </c>
    </row>
    <row r="10" spans="1:13">
      <c r="A10" s="2965" t="s">
        <v>3064</v>
      </c>
      <c r="B10" s="2965" t="s">
        <v>3035</v>
      </c>
      <c r="C10" s="2965" t="s">
        <v>3042</v>
      </c>
      <c r="D10" s="2965">
        <v>150243</v>
      </c>
      <c r="E10" s="2965">
        <v>202826</v>
      </c>
      <c r="F10" s="2965" t="s">
        <v>3062</v>
      </c>
      <c r="G10" s="2965" t="s">
        <v>3038</v>
      </c>
      <c r="H10" s="2965" t="s">
        <v>3007</v>
      </c>
      <c r="I10" s="2965">
        <v>90100</v>
      </c>
      <c r="J10" s="2965">
        <v>90200</v>
      </c>
      <c r="K10" s="2965">
        <v>4447.1499999999996</v>
      </c>
      <c r="L10" s="2965">
        <v>0.11</v>
      </c>
      <c r="M10" s="2965" t="s">
        <v>3065</v>
      </c>
    </row>
    <row r="11" spans="1:13">
      <c r="A11" s="2965" t="s">
        <v>3066</v>
      </c>
      <c r="B11" s="2965" t="s">
        <v>3035</v>
      </c>
      <c r="C11" s="2965" t="s">
        <v>3042</v>
      </c>
      <c r="D11" s="2965">
        <v>105165.2</v>
      </c>
      <c r="E11" s="2965">
        <v>147230</v>
      </c>
      <c r="F11" s="2965" t="s">
        <v>3067</v>
      </c>
      <c r="G11" s="2965" t="s">
        <v>3038</v>
      </c>
      <c r="H11" s="2965" t="s">
        <v>3008</v>
      </c>
      <c r="I11" s="2965">
        <v>74100</v>
      </c>
      <c r="J11" s="2965">
        <v>107000</v>
      </c>
      <c r="K11" s="2965">
        <v>7267.53</v>
      </c>
      <c r="L11" s="2965">
        <v>44.4</v>
      </c>
      <c r="M11" s="2965" t="s">
        <v>3068</v>
      </c>
    </row>
    <row r="12" spans="1:13">
      <c r="A12" s="2965" t="s">
        <v>3069</v>
      </c>
      <c r="B12" s="2965" t="s">
        <v>3035</v>
      </c>
      <c r="C12" s="2965" t="s">
        <v>3042</v>
      </c>
      <c r="D12" s="2965">
        <v>116081.3</v>
      </c>
      <c r="E12" s="2965">
        <v>162512</v>
      </c>
      <c r="F12" s="2965" t="s">
        <v>3067</v>
      </c>
      <c r="G12" s="2965" t="s">
        <v>3038</v>
      </c>
      <c r="H12" s="2965" t="s">
        <v>3008</v>
      </c>
      <c r="I12" s="2965">
        <v>81800</v>
      </c>
      <c r="J12" s="2965">
        <v>127000</v>
      </c>
      <c r="K12" s="2965">
        <v>7814.81</v>
      </c>
      <c r="L12" s="2965">
        <v>55.26</v>
      </c>
      <c r="M12" s="2965" t="s">
        <v>3070</v>
      </c>
    </row>
    <row r="13" spans="1:13">
      <c r="A13" s="2965" t="s">
        <v>3071</v>
      </c>
      <c r="B13" s="2965" t="s">
        <v>3035</v>
      </c>
      <c r="C13" s="2965" t="s">
        <v>3042</v>
      </c>
      <c r="D13" s="2965">
        <v>123694.1</v>
      </c>
      <c r="E13" s="2965">
        <v>160800</v>
      </c>
      <c r="F13" s="2965">
        <v>1.3</v>
      </c>
      <c r="G13" s="2965" t="s">
        <v>3038</v>
      </c>
      <c r="H13" s="2965" t="s">
        <v>3072</v>
      </c>
      <c r="I13" s="2965">
        <v>84400</v>
      </c>
      <c r="J13" s="2965">
        <v>130000</v>
      </c>
      <c r="K13" s="2965">
        <v>8084.57</v>
      </c>
      <c r="L13" s="2965">
        <v>54.03</v>
      </c>
      <c r="M13" s="2965" t="s">
        <v>3070</v>
      </c>
    </row>
    <row r="14" spans="1:13">
      <c r="A14" s="2965" t="s">
        <v>3073</v>
      </c>
      <c r="B14" s="2965" t="s">
        <v>3035</v>
      </c>
      <c r="C14" s="2965" t="s">
        <v>3042</v>
      </c>
      <c r="D14" s="2965">
        <v>88348.9</v>
      </c>
      <c r="E14" s="2965">
        <v>114852</v>
      </c>
      <c r="F14" s="2965">
        <v>1.3</v>
      </c>
      <c r="G14" s="2965" t="s">
        <v>3038</v>
      </c>
      <c r="H14" s="2965" t="s">
        <v>3072</v>
      </c>
      <c r="I14" s="2965">
        <v>60300</v>
      </c>
      <c r="J14" s="2965">
        <v>90000</v>
      </c>
      <c r="K14" s="2965">
        <v>7836.17</v>
      </c>
      <c r="L14" s="2965">
        <v>49.25</v>
      </c>
      <c r="M14" s="2965" t="s">
        <v>3068</v>
      </c>
    </row>
    <row r="15" spans="1:13">
      <c r="A15" s="2965" t="s">
        <v>3074</v>
      </c>
      <c r="B15" s="2965" t="s">
        <v>3035</v>
      </c>
      <c r="C15" s="2965" t="s">
        <v>3036</v>
      </c>
      <c r="D15" s="2965">
        <v>67727.199999999997</v>
      </c>
      <c r="E15" s="2965">
        <v>121909</v>
      </c>
      <c r="F15" s="2965" t="s">
        <v>3075</v>
      </c>
      <c r="G15" s="2965" t="s">
        <v>3038</v>
      </c>
      <c r="H15" s="2965" t="s">
        <v>3076</v>
      </c>
      <c r="I15" s="2965">
        <v>35557</v>
      </c>
      <c r="J15" s="2965">
        <v>43000</v>
      </c>
      <c r="K15" s="2965">
        <v>3527.21</v>
      </c>
      <c r="L15" s="2965">
        <v>20.93</v>
      </c>
      <c r="M15" s="2965" t="s">
        <v>3077</v>
      </c>
    </row>
    <row r="16" spans="1:13">
      <c r="A16" s="2965" t="s">
        <v>3055</v>
      </c>
      <c r="B16" s="2965" t="s">
        <v>3035</v>
      </c>
      <c r="C16" s="2965" t="s">
        <v>3036</v>
      </c>
      <c r="D16" s="2965">
        <v>10717.6</v>
      </c>
      <c r="E16" s="2965">
        <v>17148.32</v>
      </c>
      <c r="F16" s="2965" t="s">
        <v>3078</v>
      </c>
      <c r="G16" s="2965" t="s">
        <v>3038</v>
      </c>
      <c r="H16" s="2965" t="s">
        <v>3079</v>
      </c>
      <c r="I16" s="2965">
        <v>4503</v>
      </c>
      <c r="J16" s="2965">
        <v>4503</v>
      </c>
      <c r="K16" s="2965">
        <v>2625.9</v>
      </c>
      <c r="L16" s="2965">
        <v>0</v>
      </c>
      <c r="M16" s="2965" t="s">
        <v>3080</v>
      </c>
    </row>
    <row r="29" spans="11:11">
      <c r="K29" s="3236"/>
    </row>
  </sheetData>
  <phoneticPr fontId="23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1" sqref="T31"/>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0" style="1219" hidden="1" customWidth="1"/>
    <col min="7" max="7" width="5" style="1219" hidden="1" customWidth="1"/>
    <col min="8" max="8" width="0" style="1219" hidden="1" customWidth="1"/>
    <col min="9" max="9" width="5" style="1219" hidden="1" customWidth="1"/>
    <col min="10" max="10" width="0" style="1219" hidden="1" customWidth="1"/>
    <col min="11" max="11" width="5" style="1219" hidden="1" customWidth="1"/>
    <col min="12" max="12" width="0" style="1219" hidden="1" customWidth="1"/>
    <col min="13" max="13" width="5" style="1219" hidden="1" customWidth="1"/>
    <col min="14" max="14" width="0" style="1219" hidden="1" customWidth="1"/>
    <col min="15" max="15" width="5" style="1219" hidden="1" customWidth="1"/>
    <col min="16" max="16" width="0" style="1219" hidden="1" customWidth="1"/>
    <col min="17" max="17" width="5" style="1219" hidden="1" customWidth="1"/>
    <col min="18" max="18" width="9" style="1617"/>
    <col min="19" max="19" width="9" style="1251"/>
    <col min="20" max="35" width="9" style="255"/>
    <col min="36" max="16384" width="9" style="1251"/>
  </cols>
  <sheetData>
    <row r="1" spans="1:45" s="255" customFormat="1" ht="14.25" customHeight="1" thickBot="1">
      <c r="A1" s="366"/>
      <c r="B1" s="2234" t="s">
        <v>2304</v>
      </c>
      <c r="C1" s="3524" t="s">
        <v>2305</v>
      </c>
      <c r="D1" s="3525"/>
      <c r="E1" s="3525"/>
      <c r="F1" s="3525"/>
      <c r="G1" s="3525"/>
      <c r="H1" s="3525"/>
      <c r="I1" s="3525"/>
      <c r="J1" s="3525"/>
      <c r="K1" s="3525"/>
      <c r="L1" s="3525"/>
      <c r="M1" s="3525"/>
      <c r="N1" s="3525"/>
      <c r="O1" s="3525"/>
      <c r="P1" s="3525"/>
      <c r="Q1" s="3525"/>
      <c r="R1" s="3525"/>
      <c r="S1" s="352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L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3149</v>
      </c>
      <c r="C5" s="3219" t="s">
        <v>3150</v>
      </c>
      <c r="D5" s="3220" t="s">
        <v>3151</v>
      </c>
      <c r="E5" s="2253"/>
      <c r="F5" s="2253"/>
      <c r="G5" s="2253"/>
      <c r="H5" s="2253"/>
      <c r="I5" s="2253"/>
      <c r="J5" s="2253"/>
      <c r="K5" s="2253"/>
      <c r="L5" s="2254"/>
      <c r="M5" s="2255"/>
      <c r="N5" s="2255"/>
      <c r="O5" s="2253"/>
      <c r="P5" s="2253"/>
      <c r="Q5" s="2253"/>
      <c r="R5" s="2253"/>
      <c r="S5" s="2256"/>
      <c r="T5" s="2257">
        <v>15</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85</v>
      </c>
      <c r="E6" s="1969">
        <f t="shared" ref="E6:S6" si="7">D6-$T5</f>
        <v>70</v>
      </c>
      <c r="F6" s="1969">
        <f t="shared" si="7"/>
        <v>55</v>
      </c>
      <c r="G6" s="1969">
        <f t="shared" si="7"/>
        <v>40</v>
      </c>
      <c r="H6" s="1969">
        <f t="shared" si="7"/>
        <v>25</v>
      </c>
      <c r="I6" s="1969">
        <f t="shared" si="7"/>
        <v>10</v>
      </c>
      <c r="J6" s="1969">
        <f t="shared" si="7"/>
        <v>-5</v>
      </c>
      <c r="K6" s="1969">
        <f t="shared" si="7"/>
        <v>-20</v>
      </c>
      <c r="L6" s="1969">
        <f t="shared" si="7"/>
        <v>-35</v>
      </c>
      <c r="M6" s="1969">
        <f t="shared" si="7"/>
        <v>-50</v>
      </c>
      <c r="N6" s="1969">
        <f t="shared" si="7"/>
        <v>-65</v>
      </c>
      <c r="O6" s="1969">
        <f t="shared" si="7"/>
        <v>-80</v>
      </c>
      <c r="P6" s="1969">
        <f t="shared" si="7"/>
        <v>-95</v>
      </c>
      <c r="Q6" s="1969">
        <f t="shared" si="7"/>
        <v>-110</v>
      </c>
      <c r="R6" s="1969">
        <f t="shared" si="7"/>
        <v>-125</v>
      </c>
      <c r="S6" s="1969">
        <f t="shared" si="7"/>
        <v>-140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105703</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10242</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103207.75</v>
      </c>
      <c r="C22" s="3521" t="s">
        <v>20</v>
      </c>
      <c r="D22" s="3522"/>
      <c r="E22" s="3522"/>
      <c r="F22" s="3522"/>
      <c r="G22" s="3522"/>
      <c r="H22" s="3522"/>
      <c r="I22" s="3522"/>
      <c r="J22" s="3522"/>
      <c r="K22" s="3522"/>
      <c r="L22" s="3522"/>
      <c r="M22" s="3522"/>
      <c r="N22" s="3522"/>
      <c r="O22" s="3522"/>
      <c r="P22" s="3522"/>
      <c r="Q22" s="3523"/>
      <c r="R22" s="491">
        <f>ROUND(S22*10000/B22,0)</f>
        <v>10242</v>
      </c>
      <c r="S22" s="53">
        <f>SUM(S24:S10000)</f>
        <v>105703</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3147</v>
      </c>
      <c r="B24" s="962">
        <f>'数据-汇总表'!F19</f>
        <v>86576.849999999991</v>
      </c>
      <c r="C24" s="963">
        <v>1</v>
      </c>
      <c r="D24" s="964" t="s">
        <v>3094</v>
      </c>
      <c r="E24" s="963">
        <v>1</v>
      </c>
      <c r="F24" s="964"/>
      <c r="G24" s="963">
        <v>1</v>
      </c>
      <c r="H24" s="964"/>
      <c r="I24" s="963">
        <v>1</v>
      </c>
      <c r="J24" s="964"/>
      <c r="K24" s="963">
        <v>1</v>
      </c>
      <c r="L24" s="964"/>
      <c r="M24" s="963">
        <v>1</v>
      </c>
      <c r="N24" s="964"/>
      <c r="O24" s="963">
        <v>1</v>
      </c>
      <c r="P24" s="964"/>
      <c r="Q24" s="963">
        <v>1</v>
      </c>
      <c r="R24" s="965">
        <f>'不动产比较法-中高层'!B3</f>
        <v>10000</v>
      </c>
      <c r="S24" s="963">
        <f t="shared" ref="S24:S54" si="11">ROUND(R24*B24/10000,0)</f>
        <v>86577</v>
      </c>
      <c r="T24" s="1973"/>
      <c r="U24" s="1973"/>
      <c r="V24" s="1973"/>
      <c r="W24" s="1973"/>
      <c r="X24" s="1973"/>
      <c r="Y24" s="1973"/>
      <c r="Z24" s="1973"/>
      <c r="AA24" s="1973"/>
      <c r="AB24" s="1973"/>
      <c r="AC24" s="1973"/>
      <c r="AD24" s="1973"/>
      <c r="AE24" s="1973"/>
      <c r="AF24" s="1973"/>
      <c r="AG24" s="1973"/>
      <c r="AH24" s="1973"/>
      <c r="AI24" s="1973"/>
    </row>
    <row r="25" spans="1:45">
      <c r="A25" s="3217" t="s">
        <v>3148</v>
      </c>
      <c r="B25" s="962">
        <f>'数据-汇总表'!F20</f>
        <v>16630.900000000001</v>
      </c>
      <c r="C25" s="53">
        <f>IF(B25="",1,(LOOKUP(B25,$3:$3,$4:$4)-LOOKUP($B$24,$3:$3,$4:$4)+100)/100)</f>
        <v>1</v>
      </c>
      <c r="D25" s="964" t="s">
        <v>3100</v>
      </c>
      <c r="E25" s="53">
        <f>(SUMIF($5:$5,D25,$6:$6)-SUMIF($5:$5,$D$24,$6:$6)+100)/100</f>
        <v>1.1499999999999999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11500</v>
      </c>
      <c r="S25" s="800">
        <f t="shared" si="11"/>
        <v>19126</v>
      </c>
    </row>
    <row r="26" spans="1:45">
      <c r="A26" s="966"/>
      <c r="B26" s="136"/>
      <c r="C26" s="53">
        <f t="shared" ref="C26:C89" si="12">IF(B26="",1,(LOOKUP(B26,$3:$3,$4:$4)-LOOKUP($B$24,$3:$3,$4:$4)+100)/100)</f>
        <v>1</v>
      </c>
      <c r="D26" s="964"/>
      <c r="E26" s="53">
        <f t="shared" ref="E26:E89" si="13">(SUMIF($5:$5,D26,$6:$6)-SUMIF($5:$5,$D$24,$6:$6)+100)/100</f>
        <v>0.15</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6"/>
      <c r="C27" s="53">
        <f t="shared" si="12"/>
        <v>1</v>
      </c>
      <c r="D27" s="964"/>
      <c r="E27" s="53">
        <f t="shared" si="13"/>
        <v>0.15</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6"/>
      <c r="C28" s="53">
        <f t="shared" si="12"/>
        <v>1</v>
      </c>
      <c r="D28" s="964"/>
      <c r="E28" s="53">
        <f t="shared" si="13"/>
        <v>0.15</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6"/>
      <c r="C29" s="53">
        <f t="shared" si="12"/>
        <v>1</v>
      </c>
      <c r="D29" s="964"/>
      <c r="E29" s="53">
        <f t="shared" si="13"/>
        <v>0.15</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6"/>
      <c r="C30" s="53">
        <f t="shared" si="12"/>
        <v>1</v>
      </c>
      <c r="D30" s="964"/>
      <c r="E30" s="53">
        <f t="shared" si="13"/>
        <v>0.15</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6"/>
      <c r="C31" s="53">
        <f t="shared" si="12"/>
        <v>1</v>
      </c>
      <c r="D31" s="964"/>
      <c r="E31" s="53">
        <f t="shared" si="13"/>
        <v>0.15</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6"/>
      <c r="C32" s="53">
        <f t="shared" si="12"/>
        <v>1</v>
      </c>
      <c r="D32" s="964"/>
      <c r="E32" s="53">
        <f t="shared" si="13"/>
        <v>0.15</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6"/>
      <c r="C33" s="53">
        <f t="shared" si="12"/>
        <v>1</v>
      </c>
      <c r="D33" s="964"/>
      <c r="E33" s="53">
        <f t="shared" si="13"/>
        <v>0.15</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6"/>
      <c r="C34" s="53">
        <f t="shared" si="12"/>
        <v>1</v>
      </c>
      <c r="D34" s="964"/>
      <c r="E34" s="53">
        <f t="shared" si="13"/>
        <v>0.15</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6"/>
      <c r="C35" s="53">
        <f t="shared" si="12"/>
        <v>1</v>
      </c>
      <c r="D35" s="964"/>
      <c r="E35" s="53">
        <f t="shared" si="13"/>
        <v>0.15</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6"/>
      <c r="C36" s="53">
        <f t="shared" si="12"/>
        <v>1</v>
      </c>
      <c r="D36" s="964"/>
      <c r="E36" s="53">
        <f t="shared" si="13"/>
        <v>0.15</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6"/>
      <c r="C37" s="53">
        <f t="shared" si="12"/>
        <v>1</v>
      </c>
      <c r="D37" s="964"/>
      <c r="E37" s="53">
        <f t="shared" si="13"/>
        <v>0.15</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6"/>
      <c r="C38" s="53">
        <f t="shared" si="12"/>
        <v>1</v>
      </c>
      <c r="D38" s="964"/>
      <c r="E38" s="53">
        <f t="shared" si="13"/>
        <v>0.15</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6"/>
      <c r="C39" s="53">
        <f t="shared" si="12"/>
        <v>1</v>
      </c>
      <c r="D39" s="964"/>
      <c r="E39" s="53">
        <f t="shared" si="13"/>
        <v>0.15</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6"/>
      <c r="C40" s="53">
        <f t="shared" si="12"/>
        <v>1</v>
      </c>
      <c r="D40" s="964"/>
      <c r="E40" s="53">
        <f t="shared" si="13"/>
        <v>0.15</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6"/>
      <c r="C41" s="53">
        <f t="shared" si="12"/>
        <v>1</v>
      </c>
      <c r="D41" s="964"/>
      <c r="E41" s="53">
        <f t="shared" si="13"/>
        <v>0.15</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6"/>
      <c r="C42" s="53">
        <f t="shared" si="12"/>
        <v>1</v>
      </c>
      <c r="D42" s="964"/>
      <c r="E42" s="53">
        <f t="shared" si="13"/>
        <v>0.15</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6"/>
      <c r="C43" s="53">
        <f t="shared" si="12"/>
        <v>1</v>
      </c>
      <c r="D43" s="964"/>
      <c r="E43" s="53">
        <f t="shared" si="13"/>
        <v>0.15</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6"/>
      <c r="C44" s="53">
        <f t="shared" si="12"/>
        <v>1</v>
      </c>
      <c r="D44" s="964"/>
      <c r="E44" s="53">
        <f t="shared" si="13"/>
        <v>0.15</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6"/>
      <c r="C45" s="53">
        <f t="shared" si="12"/>
        <v>1</v>
      </c>
      <c r="D45" s="964"/>
      <c r="E45" s="53">
        <f t="shared" si="13"/>
        <v>0.15</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6"/>
      <c r="C46" s="53">
        <f t="shared" si="12"/>
        <v>1</v>
      </c>
      <c r="D46" s="964"/>
      <c r="E46" s="53">
        <f t="shared" si="13"/>
        <v>0.15</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6"/>
      <c r="C47" s="53">
        <f t="shared" si="12"/>
        <v>1</v>
      </c>
      <c r="D47" s="964"/>
      <c r="E47" s="53">
        <f t="shared" si="13"/>
        <v>0.15</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6"/>
      <c r="C48" s="53">
        <f t="shared" si="12"/>
        <v>1</v>
      </c>
      <c r="D48" s="964"/>
      <c r="E48" s="53">
        <f t="shared" si="13"/>
        <v>0.15</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6"/>
      <c r="C49" s="53">
        <f t="shared" si="12"/>
        <v>1</v>
      </c>
      <c r="D49" s="964"/>
      <c r="E49" s="53">
        <f t="shared" si="13"/>
        <v>0.15</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6"/>
      <c r="C50" s="53">
        <f t="shared" si="12"/>
        <v>1</v>
      </c>
      <c r="D50" s="964"/>
      <c r="E50" s="53">
        <f t="shared" si="13"/>
        <v>0.15</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6"/>
      <c r="C51" s="53">
        <f t="shared" si="12"/>
        <v>1</v>
      </c>
      <c r="D51" s="964"/>
      <c r="E51" s="53">
        <f t="shared" si="13"/>
        <v>0.15</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6"/>
      <c r="C52" s="53">
        <f t="shared" si="12"/>
        <v>1</v>
      </c>
      <c r="D52" s="964"/>
      <c r="E52" s="53">
        <f t="shared" si="13"/>
        <v>0.15</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6"/>
      <c r="C53" s="53">
        <f t="shared" si="12"/>
        <v>1</v>
      </c>
      <c r="D53" s="964"/>
      <c r="E53" s="53">
        <f t="shared" si="13"/>
        <v>0.15</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6"/>
      <c r="C54" s="53">
        <f t="shared" si="12"/>
        <v>1</v>
      </c>
      <c r="D54" s="964"/>
      <c r="E54" s="53">
        <f t="shared" si="13"/>
        <v>0.15</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6"/>
      <c r="C55" s="53">
        <f t="shared" si="12"/>
        <v>1</v>
      </c>
      <c r="D55" s="964"/>
      <c r="E55" s="53">
        <f t="shared" si="13"/>
        <v>0.15</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6"/>
      <c r="C56" s="53">
        <f t="shared" si="12"/>
        <v>1</v>
      </c>
      <c r="D56" s="964"/>
      <c r="E56" s="53">
        <f t="shared" si="13"/>
        <v>0.15</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6"/>
      <c r="C57" s="53">
        <f t="shared" si="12"/>
        <v>1</v>
      </c>
      <c r="D57" s="964"/>
      <c r="E57" s="53">
        <f t="shared" si="13"/>
        <v>0.15</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6"/>
      <c r="C58" s="53">
        <f t="shared" si="12"/>
        <v>1</v>
      </c>
      <c r="D58" s="964"/>
      <c r="E58" s="53">
        <f t="shared" si="13"/>
        <v>0.15</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6"/>
      <c r="C59" s="53">
        <f t="shared" si="12"/>
        <v>1</v>
      </c>
      <c r="D59" s="964"/>
      <c r="E59" s="53">
        <f t="shared" si="13"/>
        <v>0.15</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6"/>
      <c r="C60" s="53">
        <f t="shared" si="12"/>
        <v>1</v>
      </c>
      <c r="D60" s="964"/>
      <c r="E60" s="53">
        <f t="shared" si="13"/>
        <v>0.15</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6"/>
      <c r="C61" s="53">
        <f t="shared" si="12"/>
        <v>1</v>
      </c>
      <c r="D61" s="964"/>
      <c r="E61" s="53">
        <f t="shared" si="13"/>
        <v>0.15</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6"/>
      <c r="C62" s="53">
        <f t="shared" si="12"/>
        <v>1</v>
      </c>
      <c r="D62" s="964"/>
      <c r="E62" s="53">
        <f t="shared" si="13"/>
        <v>0.15</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6"/>
      <c r="C63" s="53">
        <f t="shared" si="12"/>
        <v>1</v>
      </c>
      <c r="D63" s="964"/>
      <c r="E63" s="53">
        <f t="shared" si="13"/>
        <v>0.15</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6"/>
      <c r="C64" s="53">
        <f t="shared" si="12"/>
        <v>1</v>
      </c>
      <c r="D64" s="964"/>
      <c r="E64" s="53">
        <f t="shared" si="13"/>
        <v>0.15</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6"/>
      <c r="C65" s="53">
        <f t="shared" si="12"/>
        <v>1</v>
      </c>
      <c r="D65" s="964"/>
      <c r="E65" s="53">
        <f t="shared" si="13"/>
        <v>0.15</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6"/>
      <c r="C66" s="53">
        <f t="shared" si="12"/>
        <v>1</v>
      </c>
      <c r="D66" s="964"/>
      <c r="E66" s="53">
        <f t="shared" si="13"/>
        <v>0.15</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6"/>
      <c r="C67" s="53">
        <f t="shared" si="12"/>
        <v>1</v>
      </c>
      <c r="D67" s="964"/>
      <c r="E67" s="53">
        <f t="shared" si="13"/>
        <v>0.15</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6"/>
      <c r="C68" s="53">
        <f t="shared" si="12"/>
        <v>1</v>
      </c>
      <c r="D68" s="964"/>
      <c r="E68" s="53">
        <f t="shared" si="13"/>
        <v>0.15</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6"/>
      <c r="C69" s="53">
        <f t="shared" si="12"/>
        <v>1</v>
      </c>
      <c r="D69" s="964"/>
      <c r="E69" s="53">
        <f t="shared" si="13"/>
        <v>0.15</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6"/>
      <c r="C70" s="53">
        <f t="shared" si="12"/>
        <v>1</v>
      </c>
      <c r="D70" s="964"/>
      <c r="E70" s="53">
        <f t="shared" si="13"/>
        <v>0.15</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6"/>
      <c r="C71" s="53">
        <f t="shared" si="12"/>
        <v>1</v>
      </c>
      <c r="D71" s="964"/>
      <c r="E71" s="53">
        <f t="shared" si="13"/>
        <v>0.15</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6"/>
      <c r="C72" s="53">
        <f t="shared" si="12"/>
        <v>1</v>
      </c>
      <c r="D72" s="964"/>
      <c r="E72" s="53">
        <f t="shared" si="13"/>
        <v>0.15</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6"/>
      <c r="C73" s="53">
        <f t="shared" si="12"/>
        <v>1</v>
      </c>
      <c r="D73" s="964"/>
      <c r="E73" s="53">
        <f t="shared" si="13"/>
        <v>0.15</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6"/>
      <c r="C74" s="53">
        <f t="shared" si="12"/>
        <v>1</v>
      </c>
      <c r="D74" s="964"/>
      <c r="E74" s="53">
        <f t="shared" si="13"/>
        <v>0.15</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6"/>
      <c r="C75" s="53">
        <f t="shared" si="12"/>
        <v>1</v>
      </c>
      <c r="D75" s="964"/>
      <c r="E75" s="53">
        <f t="shared" si="13"/>
        <v>0.15</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6"/>
      <c r="C76" s="53">
        <f t="shared" si="12"/>
        <v>1</v>
      </c>
      <c r="D76" s="964"/>
      <c r="E76" s="53">
        <f t="shared" si="13"/>
        <v>0.15</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6"/>
      <c r="C77" s="53">
        <f t="shared" si="12"/>
        <v>1</v>
      </c>
      <c r="D77" s="964"/>
      <c r="E77" s="53">
        <f t="shared" si="13"/>
        <v>0.15</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6"/>
      <c r="C78" s="53">
        <f t="shared" si="12"/>
        <v>1</v>
      </c>
      <c r="D78" s="964"/>
      <c r="E78" s="53">
        <f t="shared" si="13"/>
        <v>0.15</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6"/>
      <c r="C79" s="53">
        <f t="shared" si="12"/>
        <v>1</v>
      </c>
      <c r="D79" s="964"/>
      <c r="E79" s="53">
        <f t="shared" si="13"/>
        <v>0.15</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6"/>
      <c r="C80" s="53">
        <f t="shared" si="12"/>
        <v>1</v>
      </c>
      <c r="D80" s="964"/>
      <c r="E80" s="53">
        <f t="shared" si="13"/>
        <v>0.15</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6"/>
      <c r="C81" s="53">
        <f t="shared" si="12"/>
        <v>1</v>
      </c>
      <c r="D81" s="964"/>
      <c r="E81" s="53">
        <f t="shared" si="13"/>
        <v>0.15</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6"/>
      <c r="C82" s="53">
        <f t="shared" si="12"/>
        <v>1</v>
      </c>
      <c r="D82" s="964"/>
      <c r="E82" s="53">
        <f t="shared" si="13"/>
        <v>0.15</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6"/>
      <c r="C83" s="53">
        <f t="shared" si="12"/>
        <v>1</v>
      </c>
      <c r="D83" s="964"/>
      <c r="E83" s="53">
        <f t="shared" si="13"/>
        <v>0.15</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6"/>
      <c r="C84" s="53">
        <f t="shared" si="12"/>
        <v>1</v>
      </c>
      <c r="D84" s="964"/>
      <c r="E84" s="53">
        <f t="shared" si="13"/>
        <v>0.15</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6"/>
      <c r="C85" s="53">
        <f t="shared" si="12"/>
        <v>1</v>
      </c>
      <c r="D85" s="964"/>
      <c r="E85" s="53">
        <f t="shared" si="13"/>
        <v>0.15</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6"/>
      <c r="C86" s="53">
        <f t="shared" si="12"/>
        <v>1</v>
      </c>
      <c r="D86" s="964"/>
      <c r="E86" s="53">
        <f t="shared" si="13"/>
        <v>0.15</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6"/>
      <c r="C87" s="53">
        <f t="shared" si="12"/>
        <v>1</v>
      </c>
      <c r="D87" s="964"/>
      <c r="E87" s="53">
        <f t="shared" si="13"/>
        <v>0.15</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6"/>
      <c r="C88" s="53">
        <f t="shared" si="12"/>
        <v>1</v>
      </c>
      <c r="D88" s="964"/>
      <c r="E88" s="53">
        <f t="shared" si="13"/>
        <v>0.15</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6"/>
      <c r="C89" s="53">
        <f t="shared" si="12"/>
        <v>1</v>
      </c>
      <c r="D89" s="964"/>
      <c r="E89" s="53">
        <f t="shared" si="13"/>
        <v>0.15</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6"/>
      <c r="C90" s="53">
        <f t="shared" ref="C90:C153" si="23">IF(B90="",1,(LOOKUP(B90,$3:$3,$4:$4)-LOOKUP($B$24,$3:$3,$4:$4)+100)/100)</f>
        <v>1</v>
      </c>
      <c r="D90" s="964"/>
      <c r="E90" s="53">
        <f t="shared" ref="E90:E153" si="24">(SUMIF($5:$5,D90,$6:$6)-SUMIF($5:$5,$D$24,$6:$6)+100)/100</f>
        <v>0.15</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6"/>
      <c r="C91" s="53">
        <f t="shared" si="23"/>
        <v>1</v>
      </c>
      <c r="D91" s="964"/>
      <c r="E91" s="53">
        <f t="shared" si="24"/>
        <v>0.15</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6"/>
      <c r="C92" s="53">
        <f t="shared" si="23"/>
        <v>1</v>
      </c>
      <c r="D92" s="964"/>
      <c r="E92" s="53">
        <f t="shared" si="24"/>
        <v>0.15</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6"/>
      <c r="C93" s="53">
        <f t="shared" si="23"/>
        <v>1</v>
      </c>
      <c r="D93" s="964"/>
      <c r="E93" s="53">
        <f t="shared" si="24"/>
        <v>0.15</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6"/>
      <c r="C94" s="53">
        <f t="shared" si="23"/>
        <v>1</v>
      </c>
      <c r="D94" s="964"/>
      <c r="E94" s="53">
        <f t="shared" si="24"/>
        <v>0.15</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6"/>
      <c r="C95" s="53">
        <f t="shared" si="23"/>
        <v>1</v>
      </c>
      <c r="D95" s="964"/>
      <c r="E95" s="53">
        <f t="shared" si="24"/>
        <v>0.15</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6"/>
      <c r="C96" s="53">
        <f t="shared" si="23"/>
        <v>1</v>
      </c>
      <c r="D96" s="964"/>
      <c r="E96" s="53">
        <f t="shared" si="24"/>
        <v>0.15</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6"/>
      <c r="C97" s="53">
        <f t="shared" si="23"/>
        <v>1</v>
      </c>
      <c r="D97" s="964"/>
      <c r="E97" s="53">
        <f t="shared" si="24"/>
        <v>0.15</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6"/>
      <c r="C98" s="53">
        <f t="shared" si="23"/>
        <v>1</v>
      </c>
      <c r="D98" s="964"/>
      <c r="E98" s="53">
        <f t="shared" si="24"/>
        <v>0.15</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6"/>
      <c r="C99" s="53">
        <f t="shared" si="23"/>
        <v>1</v>
      </c>
      <c r="D99" s="964"/>
      <c r="E99" s="53">
        <f t="shared" si="24"/>
        <v>0.15</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6"/>
      <c r="C100" s="53">
        <f t="shared" si="23"/>
        <v>1</v>
      </c>
      <c r="D100" s="964"/>
      <c r="E100" s="53">
        <f t="shared" si="24"/>
        <v>0.15</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6"/>
      <c r="C101" s="53">
        <f t="shared" si="23"/>
        <v>1</v>
      </c>
      <c r="D101" s="964"/>
      <c r="E101" s="53">
        <f t="shared" si="24"/>
        <v>0.15</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6"/>
      <c r="C102" s="53">
        <f t="shared" si="23"/>
        <v>1</v>
      </c>
      <c r="D102" s="964"/>
      <c r="E102" s="53">
        <f t="shared" si="24"/>
        <v>0.15</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6"/>
      <c r="C103" s="53">
        <f t="shared" si="23"/>
        <v>1</v>
      </c>
      <c r="D103" s="964"/>
      <c r="E103" s="53">
        <f t="shared" si="24"/>
        <v>0.15</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6"/>
      <c r="C104" s="53">
        <f t="shared" si="23"/>
        <v>1</v>
      </c>
      <c r="D104" s="964"/>
      <c r="E104" s="53">
        <f t="shared" si="24"/>
        <v>0.15</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6"/>
      <c r="C105" s="53">
        <f t="shared" si="23"/>
        <v>1</v>
      </c>
      <c r="D105" s="964"/>
      <c r="E105" s="53">
        <f t="shared" si="24"/>
        <v>0.15</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6"/>
      <c r="C106" s="53">
        <f t="shared" si="23"/>
        <v>1</v>
      </c>
      <c r="D106" s="964"/>
      <c r="E106" s="53">
        <f t="shared" si="24"/>
        <v>0.15</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6"/>
      <c r="C107" s="53">
        <f t="shared" si="23"/>
        <v>1</v>
      </c>
      <c r="D107" s="964"/>
      <c r="E107" s="53">
        <f t="shared" si="24"/>
        <v>0.15</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6"/>
      <c r="C108" s="53">
        <f t="shared" si="23"/>
        <v>1</v>
      </c>
      <c r="D108" s="964"/>
      <c r="E108" s="53">
        <f t="shared" si="24"/>
        <v>0.15</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6"/>
      <c r="C109" s="53">
        <f t="shared" si="23"/>
        <v>1</v>
      </c>
      <c r="D109" s="964"/>
      <c r="E109" s="53">
        <f t="shared" si="24"/>
        <v>0.15</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6"/>
      <c r="C110" s="53">
        <f t="shared" si="23"/>
        <v>1</v>
      </c>
      <c r="D110" s="964"/>
      <c r="E110" s="53">
        <f t="shared" si="24"/>
        <v>0.15</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6"/>
      <c r="C111" s="53">
        <f t="shared" si="23"/>
        <v>1</v>
      </c>
      <c r="D111" s="964"/>
      <c r="E111" s="53">
        <f t="shared" si="24"/>
        <v>0.15</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6"/>
      <c r="C112" s="53">
        <f t="shared" si="23"/>
        <v>1</v>
      </c>
      <c r="D112" s="964"/>
      <c r="E112" s="53">
        <f t="shared" si="24"/>
        <v>0.15</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6"/>
      <c r="C113" s="53">
        <f t="shared" si="23"/>
        <v>1</v>
      </c>
      <c r="D113" s="964"/>
      <c r="E113" s="53">
        <f t="shared" si="24"/>
        <v>0.15</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6"/>
      <c r="C114" s="53">
        <f t="shared" si="23"/>
        <v>1</v>
      </c>
      <c r="D114" s="964"/>
      <c r="E114" s="53">
        <f t="shared" si="24"/>
        <v>0.15</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6"/>
      <c r="C115" s="53">
        <f t="shared" si="23"/>
        <v>1</v>
      </c>
      <c r="D115" s="964"/>
      <c r="E115" s="53">
        <f t="shared" si="24"/>
        <v>0.15</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6"/>
      <c r="C116" s="53">
        <f t="shared" si="23"/>
        <v>1</v>
      </c>
      <c r="D116" s="964"/>
      <c r="E116" s="53">
        <f t="shared" si="24"/>
        <v>0.15</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6"/>
      <c r="C117" s="53">
        <f t="shared" si="23"/>
        <v>1</v>
      </c>
      <c r="D117" s="964"/>
      <c r="E117" s="53">
        <f t="shared" si="24"/>
        <v>0.15</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6"/>
      <c r="C118" s="53">
        <f t="shared" si="23"/>
        <v>1</v>
      </c>
      <c r="D118" s="964"/>
      <c r="E118" s="53">
        <f t="shared" si="24"/>
        <v>0.15</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6"/>
      <c r="C119" s="53">
        <f t="shared" si="23"/>
        <v>1</v>
      </c>
      <c r="D119" s="964"/>
      <c r="E119" s="53">
        <f t="shared" si="24"/>
        <v>0.15</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6"/>
      <c r="C120" s="53">
        <f t="shared" si="23"/>
        <v>1</v>
      </c>
      <c r="D120" s="964"/>
      <c r="E120" s="53">
        <f t="shared" si="24"/>
        <v>0.15</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6"/>
      <c r="C121" s="53">
        <f t="shared" si="23"/>
        <v>1</v>
      </c>
      <c r="D121" s="964"/>
      <c r="E121" s="53">
        <f t="shared" si="24"/>
        <v>0.15</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6"/>
      <c r="C122" s="53">
        <f t="shared" si="23"/>
        <v>1</v>
      </c>
      <c r="D122" s="964"/>
      <c r="E122" s="53">
        <f t="shared" si="24"/>
        <v>0.15</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6"/>
      <c r="C123" s="53">
        <f t="shared" si="23"/>
        <v>1</v>
      </c>
      <c r="D123" s="964"/>
      <c r="E123" s="53">
        <f t="shared" si="24"/>
        <v>0.15</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6"/>
      <c r="C124" s="53">
        <f t="shared" si="23"/>
        <v>1</v>
      </c>
      <c r="D124" s="964"/>
      <c r="E124" s="53">
        <f t="shared" si="24"/>
        <v>0.15</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6"/>
      <c r="C125" s="53">
        <f t="shared" si="23"/>
        <v>1</v>
      </c>
      <c r="D125" s="964"/>
      <c r="E125" s="53">
        <f t="shared" si="24"/>
        <v>0.15</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6"/>
      <c r="C126" s="53">
        <f t="shared" si="23"/>
        <v>1</v>
      </c>
      <c r="D126" s="964"/>
      <c r="E126" s="53">
        <f t="shared" si="24"/>
        <v>0.15</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6"/>
      <c r="C127" s="53">
        <f t="shared" si="23"/>
        <v>1</v>
      </c>
      <c r="D127" s="964"/>
      <c r="E127" s="53">
        <f t="shared" si="24"/>
        <v>0.15</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6"/>
      <c r="C128" s="53">
        <f t="shared" si="23"/>
        <v>1</v>
      </c>
      <c r="D128" s="964"/>
      <c r="E128" s="53">
        <f t="shared" si="24"/>
        <v>0.15</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6"/>
      <c r="C129" s="53">
        <f t="shared" si="23"/>
        <v>1</v>
      </c>
      <c r="D129" s="964"/>
      <c r="E129" s="53">
        <f t="shared" si="24"/>
        <v>0.15</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6"/>
      <c r="C130" s="53">
        <f t="shared" si="23"/>
        <v>1</v>
      </c>
      <c r="D130" s="964"/>
      <c r="E130" s="53">
        <f t="shared" si="24"/>
        <v>0.15</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6"/>
      <c r="C131" s="53">
        <f t="shared" si="23"/>
        <v>1</v>
      </c>
      <c r="D131" s="964"/>
      <c r="E131" s="53">
        <f t="shared" si="24"/>
        <v>0.15</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6"/>
      <c r="C132" s="53">
        <f t="shared" si="23"/>
        <v>1</v>
      </c>
      <c r="D132" s="964"/>
      <c r="E132" s="53">
        <f t="shared" si="24"/>
        <v>0.15</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6"/>
      <c r="C133" s="53">
        <f t="shared" si="23"/>
        <v>1</v>
      </c>
      <c r="D133" s="964"/>
      <c r="E133" s="53">
        <f t="shared" si="24"/>
        <v>0.15</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6"/>
      <c r="C134" s="53">
        <f t="shared" si="23"/>
        <v>1</v>
      </c>
      <c r="D134" s="964"/>
      <c r="E134" s="53">
        <f t="shared" si="24"/>
        <v>0.15</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6"/>
      <c r="C135" s="53">
        <f t="shared" si="23"/>
        <v>1</v>
      </c>
      <c r="D135" s="964"/>
      <c r="E135" s="53">
        <f t="shared" si="24"/>
        <v>0.15</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6"/>
      <c r="C136" s="53">
        <f t="shared" si="23"/>
        <v>1</v>
      </c>
      <c r="D136" s="964"/>
      <c r="E136" s="53">
        <f t="shared" si="24"/>
        <v>0.15</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6"/>
      <c r="C137" s="53">
        <f t="shared" si="23"/>
        <v>1</v>
      </c>
      <c r="D137" s="964"/>
      <c r="E137" s="53">
        <f t="shared" si="24"/>
        <v>0.15</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6"/>
      <c r="C138" s="53">
        <f t="shared" si="23"/>
        <v>1</v>
      </c>
      <c r="D138" s="964"/>
      <c r="E138" s="53">
        <f t="shared" si="24"/>
        <v>0.15</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6"/>
      <c r="C139" s="53">
        <f t="shared" si="23"/>
        <v>1</v>
      </c>
      <c r="D139" s="964"/>
      <c r="E139" s="53">
        <f t="shared" si="24"/>
        <v>0.15</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6"/>
      <c r="C140" s="53">
        <f t="shared" si="23"/>
        <v>1</v>
      </c>
      <c r="D140" s="964"/>
      <c r="E140" s="53">
        <f t="shared" si="24"/>
        <v>0.15</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6"/>
      <c r="C141" s="53">
        <f t="shared" si="23"/>
        <v>1</v>
      </c>
      <c r="D141" s="964"/>
      <c r="E141" s="53">
        <f t="shared" si="24"/>
        <v>0.15</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6"/>
      <c r="C142" s="53">
        <f t="shared" si="23"/>
        <v>1</v>
      </c>
      <c r="D142" s="964"/>
      <c r="E142" s="53">
        <f t="shared" si="24"/>
        <v>0.15</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6"/>
      <c r="C143" s="53">
        <f t="shared" si="23"/>
        <v>1</v>
      </c>
      <c r="D143" s="964"/>
      <c r="E143" s="53">
        <f t="shared" si="24"/>
        <v>0.15</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6"/>
      <c r="C144" s="53">
        <f t="shared" si="23"/>
        <v>1</v>
      </c>
      <c r="D144" s="964"/>
      <c r="E144" s="53">
        <f t="shared" si="24"/>
        <v>0.15</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6"/>
      <c r="C145" s="53">
        <f t="shared" si="23"/>
        <v>1</v>
      </c>
      <c r="D145" s="964"/>
      <c r="E145" s="53">
        <f t="shared" si="24"/>
        <v>0.15</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6"/>
      <c r="C146" s="53">
        <f t="shared" si="23"/>
        <v>1</v>
      </c>
      <c r="D146" s="964"/>
      <c r="E146" s="53">
        <f t="shared" si="24"/>
        <v>0.15</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6"/>
      <c r="C147" s="53">
        <f t="shared" si="23"/>
        <v>1</v>
      </c>
      <c r="D147" s="964"/>
      <c r="E147" s="53">
        <f t="shared" si="24"/>
        <v>0.15</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6"/>
      <c r="C148" s="53">
        <f t="shared" si="23"/>
        <v>1</v>
      </c>
      <c r="D148" s="964"/>
      <c r="E148" s="53">
        <f t="shared" si="24"/>
        <v>0.15</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6"/>
      <c r="C149" s="53">
        <f t="shared" si="23"/>
        <v>1</v>
      </c>
      <c r="D149" s="964"/>
      <c r="E149" s="53">
        <f t="shared" si="24"/>
        <v>0.15</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6"/>
      <c r="C150" s="53">
        <f t="shared" si="23"/>
        <v>1</v>
      </c>
      <c r="D150" s="964"/>
      <c r="E150" s="53">
        <f t="shared" si="24"/>
        <v>0.15</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6"/>
      <c r="C151" s="53">
        <f t="shared" si="23"/>
        <v>1</v>
      </c>
      <c r="D151" s="964"/>
      <c r="E151" s="53">
        <f t="shared" si="24"/>
        <v>0.15</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6"/>
      <c r="C152" s="53">
        <f t="shared" si="23"/>
        <v>1</v>
      </c>
      <c r="D152" s="964"/>
      <c r="E152" s="53">
        <f t="shared" si="24"/>
        <v>0.15</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6"/>
      <c r="C153" s="53">
        <f t="shared" si="23"/>
        <v>1</v>
      </c>
      <c r="D153" s="964"/>
      <c r="E153" s="53">
        <f t="shared" si="24"/>
        <v>0.15</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6"/>
      <c r="C154" s="53">
        <f t="shared" ref="C154:C217" si="33">IF(B154="",1,(LOOKUP(B154,$3:$3,$4:$4)-LOOKUP($B$24,$3:$3,$4:$4)+100)/100)</f>
        <v>1</v>
      </c>
      <c r="D154" s="964"/>
      <c r="E154" s="53">
        <f t="shared" ref="E154:E217" si="34">(SUMIF($5:$5,D154,$6:$6)-SUMIF($5:$5,$D$24,$6:$6)+100)/100</f>
        <v>0.15</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6"/>
      <c r="C155" s="53">
        <f t="shared" si="33"/>
        <v>1</v>
      </c>
      <c r="D155" s="964"/>
      <c r="E155" s="53">
        <f t="shared" si="34"/>
        <v>0.15</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6"/>
      <c r="C156" s="53">
        <f t="shared" si="33"/>
        <v>1</v>
      </c>
      <c r="D156" s="964"/>
      <c r="E156" s="53">
        <f t="shared" si="34"/>
        <v>0.15</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6"/>
      <c r="C157" s="53">
        <f t="shared" si="33"/>
        <v>1</v>
      </c>
      <c r="D157" s="964"/>
      <c r="E157" s="53">
        <f t="shared" si="34"/>
        <v>0.15</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6"/>
      <c r="C158" s="53">
        <f t="shared" si="33"/>
        <v>1</v>
      </c>
      <c r="D158" s="964"/>
      <c r="E158" s="53">
        <f t="shared" si="34"/>
        <v>0.15</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6"/>
      <c r="C159" s="53">
        <f t="shared" si="33"/>
        <v>1</v>
      </c>
      <c r="D159" s="964"/>
      <c r="E159" s="53">
        <f t="shared" si="34"/>
        <v>0.15</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6"/>
      <c r="C160" s="53">
        <f t="shared" si="33"/>
        <v>1</v>
      </c>
      <c r="D160" s="964"/>
      <c r="E160" s="53">
        <f t="shared" si="34"/>
        <v>0.15</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6"/>
      <c r="C161" s="53">
        <f t="shared" si="33"/>
        <v>1</v>
      </c>
      <c r="D161" s="964"/>
      <c r="E161" s="53">
        <f t="shared" si="34"/>
        <v>0.15</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6"/>
      <c r="C162" s="53">
        <f t="shared" si="33"/>
        <v>1</v>
      </c>
      <c r="D162" s="964"/>
      <c r="E162" s="53">
        <f t="shared" si="34"/>
        <v>0.15</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6"/>
      <c r="C163" s="53">
        <f t="shared" si="33"/>
        <v>1</v>
      </c>
      <c r="D163" s="964"/>
      <c r="E163" s="53">
        <f t="shared" si="34"/>
        <v>0.15</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6"/>
      <c r="C164" s="53">
        <f t="shared" si="33"/>
        <v>1</v>
      </c>
      <c r="D164" s="964"/>
      <c r="E164" s="53">
        <f t="shared" si="34"/>
        <v>0.15</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6"/>
      <c r="C165" s="53">
        <f t="shared" si="33"/>
        <v>1</v>
      </c>
      <c r="D165" s="964"/>
      <c r="E165" s="53">
        <f t="shared" si="34"/>
        <v>0.15</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6"/>
      <c r="C166" s="53">
        <f t="shared" si="33"/>
        <v>1</v>
      </c>
      <c r="D166" s="964"/>
      <c r="E166" s="53">
        <f t="shared" si="34"/>
        <v>0.15</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6"/>
      <c r="C167" s="53">
        <f t="shared" si="33"/>
        <v>1</v>
      </c>
      <c r="D167" s="964"/>
      <c r="E167" s="53">
        <f t="shared" si="34"/>
        <v>0.15</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6"/>
      <c r="C168" s="53">
        <f t="shared" si="33"/>
        <v>1</v>
      </c>
      <c r="D168" s="964"/>
      <c r="E168" s="53">
        <f t="shared" si="34"/>
        <v>0.15</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6"/>
      <c r="C169" s="53">
        <f t="shared" si="33"/>
        <v>1</v>
      </c>
      <c r="D169" s="964"/>
      <c r="E169" s="53">
        <f t="shared" si="34"/>
        <v>0.15</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6"/>
      <c r="C170" s="53">
        <f t="shared" si="33"/>
        <v>1</v>
      </c>
      <c r="D170" s="964"/>
      <c r="E170" s="53">
        <f t="shared" si="34"/>
        <v>0.15</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6"/>
      <c r="C171" s="53">
        <f t="shared" si="33"/>
        <v>1</v>
      </c>
      <c r="D171" s="964"/>
      <c r="E171" s="53">
        <f t="shared" si="34"/>
        <v>0.15</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6"/>
      <c r="C172" s="53">
        <f t="shared" si="33"/>
        <v>1</v>
      </c>
      <c r="D172" s="964"/>
      <c r="E172" s="53">
        <f t="shared" si="34"/>
        <v>0.15</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6"/>
      <c r="C173" s="53">
        <f t="shared" si="33"/>
        <v>1</v>
      </c>
      <c r="D173" s="964"/>
      <c r="E173" s="53">
        <f t="shared" si="34"/>
        <v>0.15</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6"/>
      <c r="C174" s="53">
        <f t="shared" si="33"/>
        <v>1</v>
      </c>
      <c r="D174" s="964"/>
      <c r="E174" s="53">
        <f t="shared" si="34"/>
        <v>0.15</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6"/>
      <c r="C175" s="53">
        <f t="shared" si="33"/>
        <v>1</v>
      </c>
      <c r="D175" s="964"/>
      <c r="E175" s="53">
        <f t="shared" si="34"/>
        <v>0.15</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6"/>
      <c r="C176" s="53">
        <f t="shared" si="33"/>
        <v>1</v>
      </c>
      <c r="D176" s="964"/>
      <c r="E176" s="53">
        <f t="shared" si="34"/>
        <v>0.15</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6"/>
      <c r="C177" s="53">
        <f t="shared" si="33"/>
        <v>1</v>
      </c>
      <c r="D177" s="964"/>
      <c r="E177" s="53">
        <f t="shared" si="34"/>
        <v>0.15</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6"/>
      <c r="C178" s="53">
        <f t="shared" si="33"/>
        <v>1</v>
      </c>
      <c r="D178" s="964"/>
      <c r="E178" s="53">
        <f t="shared" si="34"/>
        <v>0.15</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6"/>
      <c r="C179" s="53">
        <f t="shared" si="33"/>
        <v>1</v>
      </c>
      <c r="D179" s="964"/>
      <c r="E179" s="53">
        <f t="shared" si="34"/>
        <v>0.15</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6"/>
      <c r="C180" s="53">
        <f t="shared" si="33"/>
        <v>1</v>
      </c>
      <c r="D180" s="964"/>
      <c r="E180" s="53">
        <f t="shared" si="34"/>
        <v>0.15</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6"/>
      <c r="C181" s="53">
        <f t="shared" si="33"/>
        <v>1</v>
      </c>
      <c r="D181" s="964"/>
      <c r="E181" s="53">
        <f t="shared" si="34"/>
        <v>0.15</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6"/>
      <c r="C182" s="53">
        <f t="shared" si="33"/>
        <v>1</v>
      </c>
      <c r="D182" s="964"/>
      <c r="E182" s="53">
        <f t="shared" si="34"/>
        <v>0.15</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6"/>
      <c r="C183" s="53">
        <f t="shared" si="33"/>
        <v>1</v>
      </c>
      <c r="D183" s="964"/>
      <c r="E183" s="53">
        <f t="shared" si="34"/>
        <v>0.15</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6"/>
      <c r="C184" s="53">
        <f t="shared" si="33"/>
        <v>1</v>
      </c>
      <c r="D184" s="964"/>
      <c r="E184" s="53">
        <f t="shared" si="34"/>
        <v>0.15</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6"/>
      <c r="C185" s="53">
        <f t="shared" si="33"/>
        <v>1</v>
      </c>
      <c r="D185" s="964"/>
      <c r="E185" s="53">
        <f t="shared" si="34"/>
        <v>0.15</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6"/>
      <c r="C186" s="53">
        <f t="shared" si="33"/>
        <v>1</v>
      </c>
      <c r="D186" s="964"/>
      <c r="E186" s="53">
        <f t="shared" si="34"/>
        <v>0.15</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6"/>
      <c r="C187" s="53">
        <f t="shared" si="33"/>
        <v>1</v>
      </c>
      <c r="D187" s="964"/>
      <c r="E187" s="53">
        <f t="shared" si="34"/>
        <v>0.15</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6"/>
      <c r="C188" s="53">
        <f t="shared" si="33"/>
        <v>1</v>
      </c>
      <c r="D188" s="964"/>
      <c r="E188" s="53">
        <f t="shared" si="34"/>
        <v>0.15</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6"/>
      <c r="C189" s="53">
        <f t="shared" si="33"/>
        <v>1</v>
      </c>
      <c r="D189" s="964"/>
      <c r="E189" s="53">
        <f t="shared" si="34"/>
        <v>0.15</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6"/>
      <c r="C190" s="53">
        <f t="shared" si="33"/>
        <v>1</v>
      </c>
      <c r="D190" s="964"/>
      <c r="E190" s="53">
        <f t="shared" si="34"/>
        <v>0.15</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6"/>
      <c r="C191" s="53">
        <f t="shared" si="33"/>
        <v>1</v>
      </c>
      <c r="D191" s="964"/>
      <c r="E191" s="53">
        <f t="shared" si="34"/>
        <v>0.15</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6"/>
      <c r="C192" s="53">
        <f t="shared" si="33"/>
        <v>1</v>
      </c>
      <c r="D192" s="964"/>
      <c r="E192" s="53">
        <f t="shared" si="34"/>
        <v>0.15</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6"/>
      <c r="C193" s="53">
        <f t="shared" si="33"/>
        <v>1</v>
      </c>
      <c r="D193" s="964"/>
      <c r="E193" s="53">
        <f t="shared" si="34"/>
        <v>0.15</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6"/>
      <c r="C194" s="53">
        <f t="shared" si="33"/>
        <v>1</v>
      </c>
      <c r="D194" s="964"/>
      <c r="E194" s="53">
        <f t="shared" si="34"/>
        <v>0.15</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6"/>
      <c r="C195" s="53">
        <f t="shared" si="33"/>
        <v>1</v>
      </c>
      <c r="D195" s="964"/>
      <c r="E195" s="53">
        <f t="shared" si="34"/>
        <v>0.15</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6"/>
      <c r="C196" s="53">
        <f t="shared" si="33"/>
        <v>1</v>
      </c>
      <c r="D196" s="964"/>
      <c r="E196" s="53">
        <f t="shared" si="34"/>
        <v>0.15</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6"/>
      <c r="C197" s="53">
        <f t="shared" si="33"/>
        <v>1</v>
      </c>
      <c r="D197" s="964"/>
      <c r="E197" s="53">
        <f t="shared" si="34"/>
        <v>0.15</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6"/>
      <c r="C198" s="53">
        <f t="shared" si="33"/>
        <v>1</v>
      </c>
      <c r="D198" s="964"/>
      <c r="E198" s="53">
        <f t="shared" si="34"/>
        <v>0.15</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6"/>
      <c r="C199" s="53">
        <f t="shared" si="33"/>
        <v>1</v>
      </c>
      <c r="D199" s="964"/>
      <c r="E199" s="53">
        <f t="shared" si="34"/>
        <v>0.15</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6"/>
      <c r="C200" s="53">
        <f t="shared" si="33"/>
        <v>1</v>
      </c>
      <c r="D200" s="964"/>
      <c r="E200" s="53">
        <f t="shared" si="34"/>
        <v>0.15</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6"/>
      <c r="C201" s="53">
        <f t="shared" si="33"/>
        <v>1</v>
      </c>
      <c r="D201" s="964"/>
      <c r="E201" s="53">
        <f t="shared" si="34"/>
        <v>0.15</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6"/>
      <c r="C202" s="53">
        <f t="shared" si="33"/>
        <v>1</v>
      </c>
      <c r="D202" s="964"/>
      <c r="E202" s="53">
        <f t="shared" si="34"/>
        <v>0.15</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6"/>
      <c r="C203" s="53">
        <f t="shared" si="33"/>
        <v>1</v>
      </c>
      <c r="D203" s="964"/>
      <c r="E203" s="53">
        <f t="shared" si="34"/>
        <v>0.15</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6"/>
      <c r="C204" s="53">
        <f t="shared" si="33"/>
        <v>1</v>
      </c>
      <c r="D204" s="964"/>
      <c r="E204" s="53">
        <f t="shared" si="34"/>
        <v>0.15</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6"/>
      <c r="C205" s="53">
        <f t="shared" si="33"/>
        <v>1</v>
      </c>
      <c r="D205" s="964"/>
      <c r="E205" s="53">
        <f t="shared" si="34"/>
        <v>0.15</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6"/>
      <c r="C206" s="53">
        <f t="shared" si="33"/>
        <v>1</v>
      </c>
      <c r="D206" s="964"/>
      <c r="E206" s="53">
        <f t="shared" si="34"/>
        <v>0.15</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6"/>
      <c r="C207" s="53">
        <f t="shared" si="33"/>
        <v>1</v>
      </c>
      <c r="D207" s="964"/>
      <c r="E207" s="53">
        <f t="shared" si="34"/>
        <v>0.15</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6"/>
      <c r="C208" s="53">
        <f t="shared" si="33"/>
        <v>1</v>
      </c>
      <c r="D208" s="964"/>
      <c r="E208" s="53">
        <f t="shared" si="34"/>
        <v>0.15</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6"/>
      <c r="C209" s="53">
        <f t="shared" si="33"/>
        <v>1</v>
      </c>
      <c r="D209" s="964"/>
      <c r="E209" s="53">
        <f t="shared" si="34"/>
        <v>0.15</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6"/>
      <c r="C210" s="53">
        <f t="shared" si="33"/>
        <v>1</v>
      </c>
      <c r="D210" s="964"/>
      <c r="E210" s="53">
        <f t="shared" si="34"/>
        <v>0.15</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6"/>
      <c r="C211" s="53">
        <f t="shared" si="33"/>
        <v>1</v>
      </c>
      <c r="D211" s="964"/>
      <c r="E211" s="53">
        <f t="shared" si="34"/>
        <v>0.15</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6"/>
      <c r="C212" s="53">
        <f t="shared" si="33"/>
        <v>1</v>
      </c>
      <c r="D212" s="964"/>
      <c r="E212" s="53">
        <f t="shared" si="34"/>
        <v>0.15</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6"/>
      <c r="C213" s="53">
        <f t="shared" si="33"/>
        <v>1</v>
      </c>
      <c r="D213" s="964"/>
      <c r="E213" s="53">
        <f t="shared" si="34"/>
        <v>0.15</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6"/>
      <c r="C214" s="53">
        <f t="shared" si="33"/>
        <v>1</v>
      </c>
      <c r="D214" s="964"/>
      <c r="E214" s="53">
        <f t="shared" si="34"/>
        <v>0.15</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6"/>
      <c r="C215" s="53">
        <f t="shared" si="33"/>
        <v>1</v>
      </c>
      <c r="D215" s="964"/>
      <c r="E215" s="53">
        <f t="shared" si="34"/>
        <v>0.15</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6"/>
      <c r="C216" s="53">
        <f t="shared" si="33"/>
        <v>1</v>
      </c>
      <c r="D216" s="964"/>
      <c r="E216" s="53">
        <f t="shared" si="34"/>
        <v>0.15</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6"/>
      <c r="C217" s="53">
        <f t="shared" si="33"/>
        <v>1</v>
      </c>
      <c r="D217" s="964"/>
      <c r="E217" s="53">
        <f t="shared" si="34"/>
        <v>0.15</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6"/>
      <c r="C218" s="53">
        <f t="shared" ref="C218:C281" si="43">IF(B218="",1,(LOOKUP(B218,$3:$3,$4:$4)-LOOKUP($B$24,$3:$3,$4:$4)+100)/100)</f>
        <v>1</v>
      </c>
      <c r="D218" s="964"/>
      <c r="E218" s="53">
        <f t="shared" ref="E218:E281" si="44">(SUMIF($5:$5,D218,$6:$6)-SUMIF($5:$5,$D$24,$6:$6)+100)/100</f>
        <v>0.15</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6"/>
      <c r="C219" s="53">
        <f t="shared" si="43"/>
        <v>1</v>
      </c>
      <c r="D219" s="964"/>
      <c r="E219" s="53">
        <f t="shared" si="44"/>
        <v>0.15</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6"/>
      <c r="C220" s="53">
        <f t="shared" si="43"/>
        <v>1</v>
      </c>
      <c r="D220" s="964"/>
      <c r="E220" s="53">
        <f t="shared" si="44"/>
        <v>0.15</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6"/>
      <c r="C221" s="53">
        <f t="shared" si="43"/>
        <v>1</v>
      </c>
      <c r="D221" s="964"/>
      <c r="E221" s="53">
        <f t="shared" si="44"/>
        <v>0.15</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6"/>
      <c r="C222" s="53">
        <f t="shared" si="43"/>
        <v>1</v>
      </c>
      <c r="D222" s="964"/>
      <c r="E222" s="53">
        <f t="shared" si="44"/>
        <v>0.15</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6"/>
      <c r="C223" s="53">
        <f t="shared" si="43"/>
        <v>1</v>
      </c>
      <c r="D223" s="964"/>
      <c r="E223" s="53">
        <f t="shared" si="44"/>
        <v>0.15</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6"/>
      <c r="C224" s="53">
        <f t="shared" si="43"/>
        <v>1</v>
      </c>
      <c r="D224" s="964"/>
      <c r="E224" s="53">
        <f t="shared" si="44"/>
        <v>0.15</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6"/>
      <c r="C225" s="53">
        <f t="shared" si="43"/>
        <v>1</v>
      </c>
      <c r="D225" s="964"/>
      <c r="E225" s="53">
        <f t="shared" si="44"/>
        <v>0.15</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6"/>
      <c r="C226" s="53">
        <f t="shared" si="43"/>
        <v>1</v>
      </c>
      <c r="D226" s="964"/>
      <c r="E226" s="53">
        <f t="shared" si="44"/>
        <v>0.15</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6"/>
      <c r="C227" s="53">
        <f t="shared" si="43"/>
        <v>1</v>
      </c>
      <c r="D227" s="964"/>
      <c r="E227" s="53">
        <f t="shared" si="44"/>
        <v>0.15</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6"/>
      <c r="C228" s="53">
        <f t="shared" si="43"/>
        <v>1</v>
      </c>
      <c r="D228" s="964"/>
      <c r="E228" s="53">
        <f t="shared" si="44"/>
        <v>0.15</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6"/>
      <c r="C229" s="53">
        <f t="shared" si="43"/>
        <v>1</v>
      </c>
      <c r="D229" s="964"/>
      <c r="E229" s="53">
        <f t="shared" si="44"/>
        <v>0.15</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6"/>
      <c r="C230" s="53">
        <f t="shared" si="43"/>
        <v>1</v>
      </c>
      <c r="D230" s="964"/>
      <c r="E230" s="53">
        <f t="shared" si="44"/>
        <v>0.15</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6"/>
      <c r="C231" s="53">
        <f t="shared" si="43"/>
        <v>1</v>
      </c>
      <c r="D231" s="964"/>
      <c r="E231" s="53">
        <f t="shared" si="44"/>
        <v>0.15</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6"/>
      <c r="C232" s="53">
        <f t="shared" si="43"/>
        <v>1</v>
      </c>
      <c r="D232" s="964"/>
      <c r="E232" s="53">
        <f t="shared" si="44"/>
        <v>0.15</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6"/>
      <c r="C233" s="53">
        <f t="shared" si="43"/>
        <v>1</v>
      </c>
      <c r="D233" s="964"/>
      <c r="E233" s="53">
        <f t="shared" si="44"/>
        <v>0.15</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6"/>
      <c r="C234" s="53">
        <f t="shared" si="43"/>
        <v>1</v>
      </c>
      <c r="D234" s="964"/>
      <c r="E234" s="53">
        <f t="shared" si="44"/>
        <v>0.15</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6"/>
      <c r="C235" s="53">
        <f t="shared" si="43"/>
        <v>1</v>
      </c>
      <c r="D235" s="964"/>
      <c r="E235" s="53">
        <f t="shared" si="44"/>
        <v>0.15</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6"/>
      <c r="C236" s="53">
        <f t="shared" si="43"/>
        <v>1</v>
      </c>
      <c r="D236" s="964"/>
      <c r="E236" s="53">
        <f t="shared" si="44"/>
        <v>0.15</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6"/>
      <c r="C237" s="53">
        <f t="shared" si="43"/>
        <v>1</v>
      </c>
      <c r="D237" s="964"/>
      <c r="E237" s="53">
        <f t="shared" si="44"/>
        <v>0.15</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6"/>
      <c r="C238" s="53">
        <f t="shared" si="43"/>
        <v>1</v>
      </c>
      <c r="D238" s="964"/>
      <c r="E238" s="53">
        <f t="shared" si="44"/>
        <v>0.15</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6"/>
      <c r="C239" s="53">
        <f t="shared" si="43"/>
        <v>1</v>
      </c>
      <c r="D239" s="964"/>
      <c r="E239" s="53">
        <f t="shared" si="44"/>
        <v>0.15</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6"/>
      <c r="C240" s="53">
        <f t="shared" si="43"/>
        <v>1</v>
      </c>
      <c r="D240" s="964"/>
      <c r="E240" s="53">
        <f t="shared" si="44"/>
        <v>0.15</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6"/>
      <c r="C241" s="53">
        <f t="shared" si="43"/>
        <v>1</v>
      </c>
      <c r="D241" s="964"/>
      <c r="E241" s="53">
        <f t="shared" si="44"/>
        <v>0.15</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6"/>
      <c r="C242" s="53">
        <f t="shared" si="43"/>
        <v>1</v>
      </c>
      <c r="D242" s="964"/>
      <c r="E242" s="53">
        <f t="shared" si="44"/>
        <v>0.15</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6"/>
      <c r="C243" s="53">
        <f t="shared" si="43"/>
        <v>1</v>
      </c>
      <c r="D243" s="964"/>
      <c r="E243" s="53">
        <f t="shared" si="44"/>
        <v>0.15</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6"/>
      <c r="C244" s="53">
        <f t="shared" si="43"/>
        <v>1</v>
      </c>
      <c r="D244" s="964"/>
      <c r="E244" s="53">
        <f t="shared" si="44"/>
        <v>0.15</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6"/>
      <c r="C245" s="53">
        <f t="shared" si="43"/>
        <v>1</v>
      </c>
      <c r="D245" s="964"/>
      <c r="E245" s="53">
        <f t="shared" si="44"/>
        <v>0.15</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6"/>
      <c r="C246" s="53">
        <f t="shared" si="43"/>
        <v>1</v>
      </c>
      <c r="D246" s="964"/>
      <c r="E246" s="53">
        <f t="shared" si="44"/>
        <v>0.15</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6"/>
      <c r="C247" s="53">
        <f t="shared" si="43"/>
        <v>1</v>
      </c>
      <c r="D247" s="964"/>
      <c r="E247" s="53">
        <f t="shared" si="44"/>
        <v>0.15</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6"/>
      <c r="C248" s="53">
        <f t="shared" si="43"/>
        <v>1</v>
      </c>
      <c r="D248" s="964"/>
      <c r="E248" s="53">
        <f t="shared" si="44"/>
        <v>0.15</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6"/>
      <c r="C249" s="53">
        <f t="shared" si="43"/>
        <v>1</v>
      </c>
      <c r="D249" s="964"/>
      <c r="E249" s="53">
        <f t="shared" si="44"/>
        <v>0.15</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6"/>
      <c r="C250" s="53">
        <f t="shared" si="43"/>
        <v>1</v>
      </c>
      <c r="D250" s="964"/>
      <c r="E250" s="53">
        <f t="shared" si="44"/>
        <v>0.15</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6"/>
      <c r="C251" s="53">
        <f t="shared" si="43"/>
        <v>1</v>
      </c>
      <c r="D251" s="964"/>
      <c r="E251" s="53">
        <f t="shared" si="44"/>
        <v>0.15</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6"/>
      <c r="C252" s="53">
        <f t="shared" si="43"/>
        <v>1</v>
      </c>
      <c r="D252" s="964"/>
      <c r="E252" s="53">
        <f t="shared" si="44"/>
        <v>0.15</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6"/>
      <c r="C253" s="53">
        <f t="shared" si="43"/>
        <v>1</v>
      </c>
      <c r="D253" s="964"/>
      <c r="E253" s="53">
        <f t="shared" si="44"/>
        <v>0.15</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6"/>
      <c r="C254" s="53">
        <f t="shared" si="43"/>
        <v>1</v>
      </c>
      <c r="D254" s="964"/>
      <c r="E254" s="53">
        <f t="shared" si="44"/>
        <v>0.15</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6"/>
      <c r="C255" s="53">
        <f t="shared" si="43"/>
        <v>1</v>
      </c>
      <c r="D255" s="964"/>
      <c r="E255" s="53">
        <f t="shared" si="44"/>
        <v>0.15</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6"/>
      <c r="C256" s="53">
        <f t="shared" si="43"/>
        <v>1</v>
      </c>
      <c r="D256" s="964"/>
      <c r="E256" s="53">
        <f t="shared" si="44"/>
        <v>0.15</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6"/>
      <c r="C257" s="53">
        <f t="shared" si="43"/>
        <v>1</v>
      </c>
      <c r="D257" s="964"/>
      <c r="E257" s="53">
        <f t="shared" si="44"/>
        <v>0.15</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6"/>
      <c r="C258" s="53">
        <f t="shared" si="43"/>
        <v>1</v>
      </c>
      <c r="D258" s="964"/>
      <c r="E258" s="53">
        <f t="shared" si="44"/>
        <v>0.15</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6"/>
      <c r="C259" s="53">
        <f t="shared" si="43"/>
        <v>1</v>
      </c>
      <c r="D259" s="964"/>
      <c r="E259" s="53">
        <f t="shared" si="44"/>
        <v>0.15</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6"/>
      <c r="C260" s="53">
        <f t="shared" si="43"/>
        <v>1</v>
      </c>
      <c r="D260" s="964"/>
      <c r="E260" s="53">
        <f t="shared" si="44"/>
        <v>0.15</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6"/>
      <c r="C261" s="53">
        <f t="shared" si="43"/>
        <v>1</v>
      </c>
      <c r="D261" s="964"/>
      <c r="E261" s="53">
        <f t="shared" si="44"/>
        <v>0.15</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6"/>
      <c r="C262" s="53">
        <f t="shared" si="43"/>
        <v>1</v>
      </c>
      <c r="D262" s="964"/>
      <c r="E262" s="53">
        <f t="shared" si="44"/>
        <v>0.15</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6"/>
      <c r="C263" s="53">
        <f t="shared" si="43"/>
        <v>1</v>
      </c>
      <c r="D263" s="964"/>
      <c r="E263" s="53">
        <f t="shared" si="44"/>
        <v>0.15</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6"/>
      <c r="C264" s="53">
        <f t="shared" si="43"/>
        <v>1</v>
      </c>
      <c r="D264" s="964"/>
      <c r="E264" s="53">
        <f t="shared" si="44"/>
        <v>0.15</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6"/>
      <c r="C265" s="53">
        <f t="shared" si="43"/>
        <v>1</v>
      </c>
      <c r="D265" s="964"/>
      <c r="E265" s="53">
        <f t="shared" si="44"/>
        <v>0.15</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6"/>
      <c r="C266" s="53">
        <f t="shared" si="43"/>
        <v>1</v>
      </c>
      <c r="D266" s="964"/>
      <c r="E266" s="53">
        <f t="shared" si="44"/>
        <v>0.15</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6"/>
      <c r="C267" s="53">
        <f t="shared" si="43"/>
        <v>1</v>
      </c>
      <c r="D267" s="964"/>
      <c r="E267" s="53">
        <f t="shared" si="44"/>
        <v>0.15</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6"/>
      <c r="C268" s="53">
        <f t="shared" si="43"/>
        <v>1</v>
      </c>
      <c r="D268" s="964"/>
      <c r="E268" s="53">
        <f t="shared" si="44"/>
        <v>0.15</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6"/>
      <c r="C269" s="53">
        <f t="shared" si="43"/>
        <v>1</v>
      </c>
      <c r="D269" s="964"/>
      <c r="E269" s="53">
        <f t="shared" si="44"/>
        <v>0.15</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6"/>
      <c r="C270" s="53">
        <f t="shared" si="43"/>
        <v>1</v>
      </c>
      <c r="D270" s="964"/>
      <c r="E270" s="53">
        <f t="shared" si="44"/>
        <v>0.15</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6"/>
      <c r="C271" s="53">
        <f t="shared" si="43"/>
        <v>1</v>
      </c>
      <c r="D271" s="964"/>
      <c r="E271" s="53">
        <f t="shared" si="44"/>
        <v>0.15</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6"/>
      <c r="C272" s="53">
        <f t="shared" si="43"/>
        <v>1</v>
      </c>
      <c r="D272" s="964"/>
      <c r="E272" s="53">
        <f t="shared" si="44"/>
        <v>0.15</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6"/>
      <c r="C273" s="53">
        <f t="shared" si="43"/>
        <v>1</v>
      </c>
      <c r="D273" s="964"/>
      <c r="E273" s="53">
        <f t="shared" si="44"/>
        <v>0.15</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6"/>
      <c r="C274" s="53">
        <f t="shared" si="43"/>
        <v>1</v>
      </c>
      <c r="D274" s="964"/>
      <c r="E274" s="53">
        <f t="shared" si="44"/>
        <v>0.15</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6"/>
      <c r="C275" s="53">
        <f t="shared" si="43"/>
        <v>1</v>
      </c>
      <c r="D275" s="964"/>
      <c r="E275" s="53">
        <f t="shared" si="44"/>
        <v>0.15</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6"/>
      <c r="C276" s="53">
        <f t="shared" si="43"/>
        <v>1</v>
      </c>
      <c r="D276" s="964"/>
      <c r="E276" s="53">
        <f t="shared" si="44"/>
        <v>0.15</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6"/>
      <c r="C277" s="53">
        <f t="shared" si="43"/>
        <v>1</v>
      </c>
      <c r="D277" s="964"/>
      <c r="E277" s="53">
        <f t="shared" si="44"/>
        <v>0.15</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6"/>
      <c r="C278" s="53">
        <f t="shared" si="43"/>
        <v>1</v>
      </c>
      <c r="D278" s="964"/>
      <c r="E278" s="53">
        <f t="shared" si="44"/>
        <v>0.15</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6"/>
      <c r="C279" s="53">
        <f t="shared" si="43"/>
        <v>1</v>
      </c>
      <c r="D279" s="964"/>
      <c r="E279" s="53">
        <f t="shared" si="44"/>
        <v>0.15</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6"/>
      <c r="C280" s="53">
        <f t="shared" si="43"/>
        <v>1</v>
      </c>
      <c r="D280" s="964"/>
      <c r="E280" s="53">
        <f t="shared" si="44"/>
        <v>0.15</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6"/>
      <c r="C281" s="53">
        <f t="shared" si="43"/>
        <v>1</v>
      </c>
      <c r="D281" s="964"/>
      <c r="E281" s="53">
        <f t="shared" si="44"/>
        <v>0.15</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6"/>
      <c r="C282" s="53">
        <f t="shared" ref="C282:C345" si="53">IF(B282="",1,(LOOKUP(B282,$3:$3,$4:$4)-LOOKUP($B$24,$3:$3,$4:$4)+100)/100)</f>
        <v>1</v>
      </c>
      <c r="D282" s="964"/>
      <c r="E282" s="53">
        <f t="shared" ref="E282:E345" si="54">(SUMIF($5:$5,D282,$6:$6)-SUMIF($5:$5,$D$24,$6:$6)+100)/100</f>
        <v>0.15</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6"/>
      <c r="C283" s="53">
        <f t="shared" si="53"/>
        <v>1</v>
      </c>
      <c r="D283" s="964"/>
      <c r="E283" s="53">
        <f t="shared" si="54"/>
        <v>0.15</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6"/>
      <c r="C284" s="53">
        <f t="shared" si="53"/>
        <v>1</v>
      </c>
      <c r="D284" s="964"/>
      <c r="E284" s="53">
        <f t="shared" si="54"/>
        <v>0.15</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6"/>
      <c r="C285" s="53">
        <f t="shared" si="53"/>
        <v>1</v>
      </c>
      <c r="D285" s="964"/>
      <c r="E285" s="53">
        <f t="shared" si="54"/>
        <v>0.15</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6"/>
      <c r="C286" s="53">
        <f t="shared" si="53"/>
        <v>1</v>
      </c>
      <c r="D286" s="964"/>
      <c r="E286" s="53">
        <f t="shared" si="54"/>
        <v>0.15</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6"/>
      <c r="C287" s="53">
        <f t="shared" si="53"/>
        <v>1</v>
      </c>
      <c r="D287" s="964"/>
      <c r="E287" s="53">
        <f t="shared" si="54"/>
        <v>0.15</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6"/>
      <c r="C288" s="53">
        <f t="shared" si="53"/>
        <v>1</v>
      </c>
      <c r="D288" s="964"/>
      <c r="E288" s="53">
        <f t="shared" si="54"/>
        <v>0.15</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6"/>
      <c r="C289" s="53">
        <f t="shared" si="53"/>
        <v>1</v>
      </c>
      <c r="D289" s="964"/>
      <c r="E289" s="53">
        <f t="shared" si="54"/>
        <v>0.15</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6"/>
      <c r="C290" s="53">
        <f t="shared" si="53"/>
        <v>1</v>
      </c>
      <c r="D290" s="964"/>
      <c r="E290" s="53">
        <f t="shared" si="54"/>
        <v>0.15</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6"/>
      <c r="C291" s="53">
        <f t="shared" si="53"/>
        <v>1</v>
      </c>
      <c r="D291" s="964"/>
      <c r="E291" s="53">
        <f t="shared" si="54"/>
        <v>0.15</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6"/>
      <c r="C292" s="53">
        <f t="shared" si="53"/>
        <v>1</v>
      </c>
      <c r="D292" s="964"/>
      <c r="E292" s="53">
        <f t="shared" si="54"/>
        <v>0.15</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6"/>
      <c r="C293" s="53">
        <f t="shared" si="53"/>
        <v>1</v>
      </c>
      <c r="D293" s="964"/>
      <c r="E293" s="53">
        <f t="shared" si="54"/>
        <v>0.15</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6"/>
      <c r="C294" s="53">
        <f t="shared" si="53"/>
        <v>1</v>
      </c>
      <c r="D294" s="964"/>
      <c r="E294" s="53">
        <f t="shared" si="54"/>
        <v>0.15</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6"/>
      <c r="C295" s="53">
        <f t="shared" si="53"/>
        <v>1</v>
      </c>
      <c r="D295" s="964"/>
      <c r="E295" s="53">
        <f t="shared" si="54"/>
        <v>0.15</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6"/>
      <c r="C296" s="53">
        <f t="shared" si="53"/>
        <v>1</v>
      </c>
      <c r="D296" s="964"/>
      <c r="E296" s="53">
        <f t="shared" si="54"/>
        <v>0.15</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6"/>
      <c r="C297" s="53">
        <f t="shared" si="53"/>
        <v>1</v>
      </c>
      <c r="D297" s="964"/>
      <c r="E297" s="53">
        <f t="shared" si="54"/>
        <v>0.15</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6"/>
      <c r="C298" s="53">
        <f t="shared" si="53"/>
        <v>1</v>
      </c>
      <c r="D298" s="964"/>
      <c r="E298" s="53">
        <f t="shared" si="54"/>
        <v>0.15</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6"/>
      <c r="C299" s="53">
        <f t="shared" si="53"/>
        <v>1</v>
      </c>
      <c r="D299" s="964"/>
      <c r="E299" s="53">
        <f t="shared" si="54"/>
        <v>0.15</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6"/>
      <c r="C300" s="53">
        <f t="shared" si="53"/>
        <v>1</v>
      </c>
      <c r="D300" s="964"/>
      <c r="E300" s="53">
        <f t="shared" si="54"/>
        <v>0.15</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6"/>
      <c r="C301" s="53">
        <f t="shared" si="53"/>
        <v>1</v>
      </c>
      <c r="D301" s="964"/>
      <c r="E301" s="53">
        <f t="shared" si="54"/>
        <v>0.15</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6"/>
      <c r="C302" s="53">
        <f t="shared" si="53"/>
        <v>1</v>
      </c>
      <c r="D302" s="964"/>
      <c r="E302" s="53">
        <f t="shared" si="54"/>
        <v>0.15</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6"/>
      <c r="C303" s="53">
        <f t="shared" si="53"/>
        <v>1</v>
      </c>
      <c r="D303" s="964"/>
      <c r="E303" s="53">
        <f t="shared" si="54"/>
        <v>0.15</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6"/>
      <c r="C304" s="53">
        <f t="shared" si="53"/>
        <v>1</v>
      </c>
      <c r="D304" s="964"/>
      <c r="E304" s="53">
        <f t="shared" si="54"/>
        <v>0.15</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6"/>
      <c r="C305" s="53">
        <f t="shared" si="53"/>
        <v>1</v>
      </c>
      <c r="D305" s="964"/>
      <c r="E305" s="53">
        <f t="shared" si="54"/>
        <v>0.15</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6"/>
      <c r="C306" s="53">
        <f t="shared" si="53"/>
        <v>1</v>
      </c>
      <c r="D306" s="964"/>
      <c r="E306" s="53">
        <f t="shared" si="54"/>
        <v>0.15</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6"/>
      <c r="C307" s="53">
        <f t="shared" si="53"/>
        <v>1</v>
      </c>
      <c r="D307" s="964"/>
      <c r="E307" s="53">
        <f t="shared" si="54"/>
        <v>0.15</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6"/>
      <c r="C308" s="53">
        <f t="shared" si="53"/>
        <v>1</v>
      </c>
      <c r="D308" s="964"/>
      <c r="E308" s="53">
        <f t="shared" si="54"/>
        <v>0.15</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6"/>
      <c r="C309" s="53">
        <f t="shared" si="53"/>
        <v>1</v>
      </c>
      <c r="D309" s="964"/>
      <c r="E309" s="53">
        <f t="shared" si="54"/>
        <v>0.15</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6"/>
      <c r="C310" s="53">
        <f t="shared" si="53"/>
        <v>1</v>
      </c>
      <c r="D310" s="964"/>
      <c r="E310" s="53">
        <f t="shared" si="54"/>
        <v>0.15</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6"/>
      <c r="C311" s="53">
        <f t="shared" si="53"/>
        <v>1</v>
      </c>
      <c r="D311" s="964"/>
      <c r="E311" s="53">
        <f t="shared" si="54"/>
        <v>0.15</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6"/>
      <c r="C312" s="53">
        <f t="shared" si="53"/>
        <v>1</v>
      </c>
      <c r="D312" s="964"/>
      <c r="E312" s="53">
        <f t="shared" si="54"/>
        <v>0.15</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6"/>
      <c r="C313" s="53">
        <f t="shared" si="53"/>
        <v>1</v>
      </c>
      <c r="D313" s="964"/>
      <c r="E313" s="53">
        <f t="shared" si="54"/>
        <v>0.15</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6"/>
      <c r="C314" s="53">
        <f t="shared" si="53"/>
        <v>1</v>
      </c>
      <c r="D314" s="964"/>
      <c r="E314" s="53">
        <f t="shared" si="54"/>
        <v>0.15</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6"/>
      <c r="C315" s="53">
        <f t="shared" si="53"/>
        <v>1</v>
      </c>
      <c r="D315" s="964"/>
      <c r="E315" s="53">
        <f t="shared" si="54"/>
        <v>0.15</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6"/>
      <c r="C316" s="53">
        <f t="shared" si="53"/>
        <v>1</v>
      </c>
      <c r="D316" s="964"/>
      <c r="E316" s="53">
        <f t="shared" si="54"/>
        <v>0.15</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6"/>
      <c r="C317" s="53">
        <f t="shared" si="53"/>
        <v>1</v>
      </c>
      <c r="D317" s="964"/>
      <c r="E317" s="53">
        <f t="shared" si="54"/>
        <v>0.15</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6"/>
      <c r="C318" s="53">
        <f t="shared" si="53"/>
        <v>1</v>
      </c>
      <c r="D318" s="964"/>
      <c r="E318" s="53">
        <f t="shared" si="54"/>
        <v>0.15</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6"/>
      <c r="C319" s="53">
        <f t="shared" si="53"/>
        <v>1</v>
      </c>
      <c r="D319" s="964"/>
      <c r="E319" s="53">
        <f t="shared" si="54"/>
        <v>0.15</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6"/>
      <c r="C320" s="53">
        <f t="shared" si="53"/>
        <v>1</v>
      </c>
      <c r="D320" s="964"/>
      <c r="E320" s="53">
        <f t="shared" si="54"/>
        <v>0.15</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6"/>
      <c r="C321" s="53">
        <f t="shared" si="53"/>
        <v>1</v>
      </c>
      <c r="D321" s="964"/>
      <c r="E321" s="53">
        <f t="shared" si="54"/>
        <v>0.15</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6"/>
      <c r="C322" s="53">
        <f t="shared" si="53"/>
        <v>1</v>
      </c>
      <c r="D322" s="964"/>
      <c r="E322" s="53">
        <f t="shared" si="54"/>
        <v>0.15</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6"/>
      <c r="C323" s="53">
        <f t="shared" si="53"/>
        <v>1</v>
      </c>
      <c r="D323" s="964"/>
      <c r="E323" s="53">
        <f t="shared" si="54"/>
        <v>0.15</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6"/>
      <c r="C324" s="53">
        <f t="shared" si="53"/>
        <v>1</v>
      </c>
      <c r="D324" s="964"/>
      <c r="E324" s="53">
        <f t="shared" si="54"/>
        <v>0.15</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6"/>
      <c r="C325" s="53">
        <f t="shared" si="53"/>
        <v>1</v>
      </c>
      <c r="D325" s="964"/>
      <c r="E325" s="53">
        <f t="shared" si="54"/>
        <v>0.15</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6"/>
      <c r="C326" s="53">
        <f t="shared" si="53"/>
        <v>1</v>
      </c>
      <c r="D326" s="964"/>
      <c r="E326" s="53">
        <f t="shared" si="54"/>
        <v>0.15</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6"/>
      <c r="C327" s="53">
        <f t="shared" si="53"/>
        <v>1</v>
      </c>
      <c r="D327" s="964"/>
      <c r="E327" s="53">
        <f t="shared" si="54"/>
        <v>0.15</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6"/>
      <c r="C328" s="53">
        <f t="shared" si="53"/>
        <v>1</v>
      </c>
      <c r="D328" s="964"/>
      <c r="E328" s="53">
        <f t="shared" si="54"/>
        <v>0.15</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6"/>
      <c r="C329" s="53">
        <f t="shared" si="53"/>
        <v>1</v>
      </c>
      <c r="D329" s="964"/>
      <c r="E329" s="53">
        <f t="shared" si="54"/>
        <v>0.15</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6"/>
      <c r="C330" s="53">
        <f t="shared" si="53"/>
        <v>1</v>
      </c>
      <c r="D330" s="964"/>
      <c r="E330" s="53">
        <f t="shared" si="54"/>
        <v>0.15</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6"/>
      <c r="C331" s="53">
        <f t="shared" si="53"/>
        <v>1</v>
      </c>
      <c r="D331" s="964"/>
      <c r="E331" s="53">
        <f t="shared" si="54"/>
        <v>0.15</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6"/>
      <c r="C332" s="53">
        <f t="shared" si="53"/>
        <v>1</v>
      </c>
      <c r="D332" s="964"/>
      <c r="E332" s="53">
        <f t="shared" si="54"/>
        <v>0.15</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6"/>
      <c r="C333" s="53">
        <f t="shared" si="53"/>
        <v>1</v>
      </c>
      <c r="D333" s="964"/>
      <c r="E333" s="53">
        <f t="shared" si="54"/>
        <v>0.15</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6"/>
      <c r="C334" s="53">
        <f t="shared" si="53"/>
        <v>1</v>
      </c>
      <c r="D334" s="964"/>
      <c r="E334" s="53">
        <f t="shared" si="54"/>
        <v>0.15</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6"/>
      <c r="C335" s="53">
        <f t="shared" si="53"/>
        <v>1</v>
      </c>
      <c r="D335" s="964"/>
      <c r="E335" s="53">
        <f t="shared" si="54"/>
        <v>0.15</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6"/>
      <c r="C336" s="53">
        <f t="shared" si="53"/>
        <v>1</v>
      </c>
      <c r="D336" s="964"/>
      <c r="E336" s="53">
        <f t="shared" si="54"/>
        <v>0.15</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6"/>
      <c r="C337" s="53">
        <f t="shared" si="53"/>
        <v>1</v>
      </c>
      <c r="D337" s="964"/>
      <c r="E337" s="53">
        <f t="shared" si="54"/>
        <v>0.15</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6"/>
      <c r="C338" s="53">
        <f t="shared" si="53"/>
        <v>1</v>
      </c>
      <c r="D338" s="964"/>
      <c r="E338" s="53">
        <f t="shared" si="54"/>
        <v>0.15</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6"/>
      <c r="C339" s="53">
        <f t="shared" si="53"/>
        <v>1</v>
      </c>
      <c r="D339" s="964"/>
      <c r="E339" s="53">
        <f t="shared" si="54"/>
        <v>0.15</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6"/>
      <c r="C340" s="53">
        <f t="shared" si="53"/>
        <v>1</v>
      </c>
      <c r="D340" s="964"/>
      <c r="E340" s="53">
        <f t="shared" si="54"/>
        <v>0.15</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6"/>
      <c r="C341" s="53">
        <f t="shared" si="53"/>
        <v>1</v>
      </c>
      <c r="D341" s="964"/>
      <c r="E341" s="53">
        <f t="shared" si="54"/>
        <v>0.15</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6"/>
      <c r="C342" s="53">
        <f t="shared" si="53"/>
        <v>1</v>
      </c>
      <c r="D342" s="964"/>
      <c r="E342" s="53">
        <f t="shared" si="54"/>
        <v>0.15</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6"/>
      <c r="C343" s="53">
        <f t="shared" si="53"/>
        <v>1</v>
      </c>
      <c r="D343" s="964"/>
      <c r="E343" s="53">
        <f t="shared" si="54"/>
        <v>0.15</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6"/>
      <c r="C344" s="53">
        <f t="shared" si="53"/>
        <v>1</v>
      </c>
      <c r="D344" s="964"/>
      <c r="E344" s="53">
        <f t="shared" si="54"/>
        <v>0.15</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6"/>
      <c r="C345" s="53">
        <f t="shared" si="53"/>
        <v>1</v>
      </c>
      <c r="D345" s="964"/>
      <c r="E345" s="53">
        <f t="shared" si="54"/>
        <v>0.15</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6"/>
      <c r="C346" s="53">
        <f t="shared" ref="C346:C409" si="64">IF(B346="",1,(LOOKUP(B346,$3:$3,$4:$4)-LOOKUP($B$24,$3:$3,$4:$4)+100)/100)</f>
        <v>1</v>
      </c>
      <c r="D346" s="964"/>
      <c r="E346" s="53">
        <f t="shared" ref="E346:E409" si="65">(SUMIF($5:$5,D346,$6:$6)-SUMIF($5:$5,$D$24,$6:$6)+100)/100</f>
        <v>0.15</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6"/>
      <c r="C347" s="53">
        <f t="shared" si="64"/>
        <v>1</v>
      </c>
      <c r="D347" s="964"/>
      <c r="E347" s="53">
        <f t="shared" si="65"/>
        <v>0.15</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6"/>
      <c r="C348" s="53">
        <f t="shared" si="64"/>
        <v>1</v>
      </c>
      <c r="D348" s="964"/>
      <c r="E348" s="53">
        <f t="shared" si="65"/>
        <v>0.15</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6"/>
      <c r="C349" s="53">
        <f t="shared" si="64"/>
        <v>1</v>
      </c>
      <c r="D349" s="964"/>
      <c r="E349" s="53">
        <f t="shared" si="65"/>
        <v>0.15</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6"/>
      <c r="C350" s="53">
        <f t="shared" si="64"/>
        <v>1</v>
      </c>
      <c r="D350" s="964"/>
      <c r="E350" s="53">
        <f t="shared" si="65"/>
        <v>0.15</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6"/>
      <c r="C351" s="53">
        <f t="shared" si="64"/>
        <v>1</v>
      </c>
      <c r="D351" s="964"/>
      <c r="E351" s="53">
        <f t="shared" si="65"/>
        <v>0.15</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6"/>
      <c r="C352" s="53">
        <f t="shared" si="64"/>
        <v>1</v>
      </c>
      <c r="D352" s="964"/>
      <c r="E352" s="53">
        <f t="shared" si="65"/>
        <v>0.15</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6"/>
      <c r="C353" s="53">
        <f t="shared" si="64"/>
        <v>1</v>
      </c>
      <c r="D353" s="964"/>
      <c r="E353" s="53">
        <f t="shared" si="65"/>
        <v>0.15</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6"/>
      <c r="C354" s="53">
        <f t="shared" si="64"/>
        <v>1</v>
      </c>
      <c r="D354" s="964"/>
      <c r="E354" s="53">
        <f t="shared" si="65"/>
        <v>0.15</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6"/>
      <c r="C355" s="53">
        <f t="shared" si="64"/>
        <v>1</v>
      </c>
      <c r="D355" s="964"/>
      <c r="E355" s="53">
        <f t="shared" si="65"/>
        <v>0.15</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6"/>
      <c r="C356" s="53">
        <f t="shared" si="64"/>
        <v>1</v>
      </c>
      <c r="D356" s="964"/>
      <c r="E356" s="53">
        <f t="shared" si="65"/>
        <v>0.15</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6"/>
      <c r="C357" s="53">
        <f t="shared" si="64"/>
        <v>1</v>
      </c>
      <c r="D357" s="964"/>
      <c r="E357" s="53">
        <f t="shared" si="65"/>
        <v>0.15</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6"/>
      <c r="C358" s="53">
        <f t="shared" si="64"/>
        <v>1</v>
      </c>
      <c r="D358" s="964"/>
      <c r="E358" s="53">
        <f t="shared" si="65"/>
        <v>0.15</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6"/>
      <c r="C359" s="53">
        <f t="shared" si="64"/>
        <v>1</v>
      </c>
      <c r="D359" s="964"/>
      <c r="E359" s="53">
        <f t="shared" si="65"/>
        <v>0.15</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6"/>
      <c r="C360" s="53">
        <f t="shared" si="64"/>
        <v>1</v>
      </c>
      <c r="D360" s="964"/>
      <c r="E360" s="53">
        <f t="shared" si="65"/>
        <v>0.15</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6"/>
      <c r="C361" s="53">
        <f t="shared" si="64"/>
        <v>1</v>
      </c>
      <c r="D361" s="964"/>
      <c r="E361" s="53">
        <f t="shared" si="65"/>
        <v>0.15</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6"/>
      <c r="C362" s="53">
        <f t="shared" si="64"/>
        <v>1</v>
      </c>
      <c r="D362" s="964"/>
      <c r="E362" s="53">
        <f t="shared" si="65"/>
        <v>0.15</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6"/>
      <c r="C363" s="53">
        <f t="shared" si="64"/>
        <v>1</v>
      </c>
      <c r="D363" s="964"/>
      <c r="E363" s="53">
        <f t="shared" si="65"/>
        <v>0.15</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6"/>
      <c r="C364" s="53">
        <f t="shared" si="64"/>
        <v>1</v>
      </c>
      <c r="D364" s="964"/>
      <c r="E364" s="53">
        <f t="shared" si="65"/>
        <v>0.15</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6"/>
      <c r="C365" s="53">
        <f t="shared" si="64"/>
        <v>1</v>
      </c>
      <c r="D365" s="964"/>
      <c r="E365" s="53">
        <f t="shared" si="65"/>
        <v>0.15</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6"/>
      <c r="C366" s="53">
        <f t="shared" si="64"/>
        <v>1</v>
      </c>
      <c r="D366" s="964"/>
      <c r="E366" s="53">
        <f t="shared" si="65"/>
        <v>0.15</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6"/>
      <c r="C367" s="53">
        <f t="shared" si="64"/>
        <v>1</v>
      </c>
      <c r="D367" s="964"/>
      <c r="E367" s="53">
        <f t="shared" si="65"/>
        <v>0.15</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6"/>
      <c r="C368" s="53">
        <f t="shared" si="64"/>
        <v>1</v>
      </c>
      <c r="D368" s="964"/>
      <c r="E368" s="53">
        <f t="shared" si="65"/>
        <v>0.15</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6"/>
      <c r="C369" s="53">
        <f t="shared" si="64"/>
        <v>1</v>
      </c>
      <c r="D369" s="964"/>
      <c r="E369" s="53">
        <f t="shared" si="65"/>
        <v>0.15</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6"/>
      <c r="C370" s="53">
        <f t="shared" si="64"/>
        <v>1</v>
      </c>
      <c r="D370" s="964"/>
      <c r="E370" s="53">
        <f t="shared" si="65"/>
        <v>0.15</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6"/>
      <c r="C371" s="53">
        <f t="shared" si="64"/>
        <v>1</v>
      </c>
      <c r="D371" s="964"/>
      <c r="E371" s="53">
        <f t="shared" si="65"/>
        <v>0.15</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6"/>
      <c r="C372" s="53">
        <f t="shared" si="64"/>
        <v>1</v>
      </c>
      <c r="D372" s="964"/>
      <c r="E372" s="53">
        <f t="shared" si="65"/>
        <v>0.15</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6"/>
      <c r="C373" s="53">
        <f t="shared" si="64"/>
        <v>1</v>
      </c>
      <c r="D373" s="964"/>
      <c r="E373" s="53">
        <f t="shared" si="65"/>
        <v>0.15</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6"/>
      <c r="C374" s="53">
        <f t="shared" si="64"/>
        <v>1</v>
      </c>
      <c r="D374" s="964"/>
      <c r="E374" s="53">
        <f t="shared" si="65"/>
        <v>0.15</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6"/>
      <c r="C375" s="53">
        <f t="shared" si="64"/>
        <v>1</v>
      </c>
      <c r="D375" s="964"/>
      <c r="E375" s="53">
        <f t="shared" si="65"/>
        <v>0.15</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6"/>
      <c r="C376" s="53">
        <f t="shared" si="64"/>
        <v>1</v>
      </c>
      <c r="D376" s="964"/>
      <c r="E376" s="53">
        <f t="shared" si="65"/>
        <v>0.15</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6"/>
      <c r="C377" s="53">
        <f t="shared" si="64"/>
        <v>1</v>
      </c>
      <c r="D377" s="964"/>
      <c r="E377" s="53">
        <f t="shared" si="65"/>
        <v>0.15</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6"/>
      <c r="C378" s="53">
        <f t="shared" si="64"/>
        <v>1</v>
      </c>
      <c r="D378" s="964"/>
      <c r="E378" s="53">
        <f t="shared" si="65"/>
        <v>0.15</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6"/>
      <c r="C379" s="53">
        <f t="shared" si="64"/>
        <v>1</v>
      </c>
      <c r="D379" s="964"/>
      <c r="E379" s="53">
        <f t="shared" si="65"/>
        <v>0.15</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6"/>
      <c r="C380" s="53">
        <f t="shared" si="64"/>
        <v>1</v>
      </c>
      <c r="D380" s="964"/>
      <c r="E380" s="53">
        <f t="shared" si="65"/>
        <v>0.15</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6"/>
      <c r="C381" s="53">
        <f t="shared" si="64"/>
        <v>1</v>
      </c>
      <c r="D381" s="964"/>
      <c r="E381" s="53">
        <f t="shared" si="65"/>
        <v>0.15</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6"/>
      <c r="C382" s="53">
        <f t="shared" si="64"/>
        <v>1</v>
      </c>
      <c r="D382" s="964"/>
      <c r="E382" s="53">
        <f t="shared" si="65"/>
        <v>0.15</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6"/>
      <c r="C383" s="53">
        <f t="shared" si="64"/>
        <v>1</v>
      </c>
      <c r="D383" s="964"/>
      <c r="E383" s="53">
        <f t="shared" si="65"/>
        <v>0.15</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6"/>
      <c r="C384" s="53">
        <f t="shared" si="64"/>
        <v>1</v>
      </c>
      <c r="D384" s="964"/>
      <c r="E384" s="53">
        <f t="shared" si="65"/>
        <v>0.15</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6"/>
      <c r="C385" s="53">
        <f t="shared" si="64"/>
        <v>1</v>
      </c>
      <c r="D385" s="964"/>
      <c r="E385" s="53">
        <f t="shared" si="65"/>
        <v>0.15</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6"/>
      <c r="C386" s="53">
        <f t="shared" si="64"/>
        <v>1</v>
      </c>
      <c r="D386" s="964"/>
      <c r="E386" s="53">
        <f t="shared" si="65"/>
        <v>0.15</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6"/>
      <c r="C387" s="53">
        <f t="shared" si="64"/>
        <v>1</v>
      </c>
      <c r="D387" s="964"/>
      <c r="E387" s="53">
        <f t="shared" si="65"/>
        <v>0.15</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6"/>
      <c r="C388" s="53">
        <f t="shared" si="64"/>
        <v>1</v>
      </c>
      <c r="D388" s="964"/>
      <c r="E388" s="53">
        <f t="shared" si="65"/>
        <v>0.15</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6"/>
      <c r="C389" s="53">
        <f t="shared" si="64"/>
        <v>1</v>
      </c>
      <c r="D389" s="964"/>
      <c r="E389" s="53">
        <f t="shared" si="65"/>
        <v>0.15</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6"/>
      <c r="C390" s="53">
        <f t="shared" si="64"/>
        <v>1</v>
      </c>
      <c r="D390" s="964"/>
      <c r="E390" s="53">
        <f t="shared" si="65"/>
        <v>0.15</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6"/>
      <c r="C391" s="53">
        <f t="shared" si="64"/>
        <v>1</v>
      </c>
      <c r="D391" s="964"/>
      <c r="E391" s="53">
        <f t="shared" si="65"/>
        <v>0.15</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6"/>
      <c r="C392" s="53">
        <f t="shared" si="64"/>
        <v>1</v>
      </c>
      <c r="D392" s="964"/>
      <c r="E392" s="53">
        <f t="shared" si="65"/>
        <v>0.15</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6"/>
      <c r="C393" s="53">
        <f t="shared" si="64"/>
        <v>1</v>
      </c>
      <c r="D393" s="964"/>
      <c r="E393" s="53">
        <f t="shared" si="65"/>
        <v>0.15</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6"/>
      <c r="C394" s="53">
        <f t="shared" si="64"/>
        <v>1</v>
      </c>
      <c r="D394" s="964"/>
      <c r="E394" s="53">
        <f t="shared" si="65"/>
        <v>0.15</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6"/>
      <c r="C395" s="53">
        <f t="shared" si="64"/>
        <v>1</v>
      </c>
      <c r="D395" s="964"/>
      <c r="E395" s="53">
        <f t="shared" si="65"/>
        <v>0.15</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6"/>
      <c r="C396" s="53">
        <f t="shared" si="64"/>
        <v>1</v>
      </c>
      <c r="D396" s="964"/>
      <c r="E396" s="53">
        <f t="shared" si="65"/>
        <v>0.15</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6"/>
      <c r="C397" s="53">
        <f t="shared" si="64"/>
        <v>1</v>
      </c>
      <c r="D397" s="964"/>
      <c r="E397" s="53">
        <f t="shared" si="65"/>
        <v>0.15</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6"/>
      <c r="C398" s="53">
        <f t="shared" si="64"/>
        <v>1</v>
      </c>
      <c r="D398" s="964"/>
      <c r="E398" s="53">
        <f t="shared" si="65"/>
        <v>0.15</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6"/>
      <c r="C399" s="53">
        <f t="shared" si="64"/>
        <v>1</v>
      </c>
      <c r="D399" s="964"/>
      <c r="E399" s="53">
        <f t="shared" si="65"/>
        <v>0.15</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6"/>
      <c r="C400" s="53">
        <f t="shared" si="64"/>
        <v>1</v>
      </c>
      <c r="D400" s="964"/>
      <c r="E400" s="53">
        <f t="shared" si="65"/>
        <v>0.15</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6"/>
      <c r="C401" s="53">
        <f t="shared" si="64"/>
        <v>1</v>
      </c>
      <c r="D401" s="964"/>
      <c r="E401" s="53">
        <f t="shared" si="65"/>
        <v>0.15</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6"/>
      <c r="C402" s="53">
        <f t="shared" si="64"/>
        <v>1</v>
      </c>
      <c r="D402" s="964"/>
      <c r="E402" s="53">
        <f t="shared" si="65"/>
        <v>0.15</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6"/>
      <c r="C403" s="53">
        <f t="shared" si="64"/>
        <v>1</v>
      </c>
      <c r="D403" s="964"/>
      <c r="E403" s="53">
        <f t="shared" si="65"/>
        <v>0.15</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6"/>
      <c r="C404" s="53">
        <f t="shared" si="64"/>
        <v>1</v>
      </c>
      <c r="D404" s="964"/>
      <c r="E404" s="53">
        <f t="shared" si="65"/>
        <v>0.15</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6"/>
      <c r="C405" s="53">
        <f t="shared" si="64"/>
        <v>1</v>
      </c>
      <c r="D405" s="964"/>
      <c r="E405" s="53">
        <f t="shared" si="65"/>
        <v>0.15</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6"/>
      <c r="C406" s="53">
        <f t="shared" si="64"/>
        <v>1</v>
      </c>
      <c r="D406" s="964"/>
      <c r="E406" s="53">
        <f t="shared" si="65"/>
        <v>0.15</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6"/>
      <c r="C407" s="53">
        <f t="shared" si="64"/>
        <v>1</v>
      </c>
      <c r="D407" s="964"/>
      <c r="E407" s="53">
        <f t="shared" si="65"/>
        <v>0.15</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6"/>
      <c r="C408" s="53">
        <f t="shared" si="64"/>
        <v>1</v>
      </c>
      <c r="D408" s="964"/>
      <c r="E408" s="53">
        <f t="shared" si="65"/>
        <v>0.15</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6"/>
      <c r="C409" s="53">
        <f t="shared" si="64"/>
        <v>1</v>
      </c>
      <c r="D409" s="964"/>
      <c r="E409" s="53">
        <f t="shared" si="65"/>
        <v>0.15</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6"/>
      <c r="C410" s="53">
        <f t="shared" ref="C410:C473" si="74">IF(B410="",1,(LOOKUP(B410,$3:$3,$4:$4)-LOOKUP($B$24,$3:$3,$4:$4)+100)/100)</f>
        <v>1</v>
      </c>
      <c r="D410" s="964"/>
      <c r="E410" s="53">
        <f t="shared" ref="E410:E473" si="75">(SUMIF($5:$5,D410,$6:$6)-SUMIF($5:$5,$D$24,$6:$6)+100)/100</f>
        <v>0.15</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6"/>
      <c r="C411" s="53">
        <f t="shared" si="74"/>
        <v>1</v>
      </c>
      <c r="D411" s="964"/>
      <c r="E411" s="53">
        <f t="shared" si="75"/>
        <v>0.15</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6"/>
      <c r="C412" s="53">
        <f t="shared" si="74"/>
        <v>1</v>
      </c>
      <c r="D412" s="964"/>
      <c r="E412" s="53">
        <f t="shared" si="75"/>
        <v>0.15</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6"/>
      <c r="C413" s="53">
        <f t="shared" si="74"/>
        <v>1</v>
      </c>
      <c r="D413" s="964"/>
      <c r="E413" s="53">
        <f t="shared" si="75"/>
        <v>0.15</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6"/>
      <c r="C414" s="53">
        <f t="shared" si="74"/>
        <v>1</v>
      </c>
      <c r="D414" s="964"/>
      <c r="E414" s="53">
        <f t="shared" si="75"/>
        <v>0.15</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6"/>
      <c r="C415" s="53">
        <f t="shared" si="74"/>
        <v>1</v>
      </c>
      <c r="D415" s="964"/>
      <c r="E415" s="53">
        <f t="shared" si="75"/>
        <v>0.15</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6"/>
      <c r="C416" s="53">
        <f t="shared" si="74"/>
        <v>1</v>
      </c>
      <c r="D416" s="964"/>
      <c r="E416" s="53">
        <f t="shared" si="75"/>
        <v>0.15</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6"/>
      <c r="C417" s="53">
        <f t="shared" si="74"/>
        <v>1</v>
      </c>
      <c r="D417" s="964"/>
      <c r="E417" s="53">
        <f t="shared" si="75"/>
        <v>0.15</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6"/>
      <c r="C418" s="53">
        <f t="shared" si="74"/>
        <v>1</v>
      </c>
      <c r="D418" s="964"/>
      <c r="E418" s="53">
        <f t="shared" si="75"/>
        <v>0.15</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6"/>
      <c r="C419" s="53">
        <f t="shared" si="74"/>
        <v>1</v>
      </c>
      <c r="D419" s="964"/>
      <c r="E419" s="53">
        <f t="shared" si="75"/>
        <v>0.15</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6"/>
      <c r="C420" s="53">
        <f t="shared" si="74"/>
        <v>1</v>
      </c>
      <c r="D420" s="964"/>
      <c r="E420" s="53">
        <f t="shared" si="75"/>
        <v>0.15</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6"/>
      <c r="C421" s="53">
        <f t="shared" si="74"/>
        <v>1</v>
      </c>
      <c r="D421" s="964"/>
      <c r="E421" s="53">
        <f t="shared" si="75"/>
        <v>0.15</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6"/>
      <c r="C422" s="53">
        <f t="shared" si="74"/>
        <v>1</v>
      </c>
      <c r="D422" s="964"/>
      <c r="E422" s="53">
        <f t="shared" si="75"/>
        <v>0.15</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6"/>
      <c r="C423" s="53">
        <f t="shared" si="74"/>
        <v>1</v>
      </c>
      <c r="D423" s="964"/>
      <c r="E423" s="53">
        <f t="shared" si="75"/>
        <v>0.15</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6"/>
      <c r="C424" s="53">
        <f t="shared" si="74"/>
        <v>1</v>
      </c>
      <c r="D424" s="964"/>
      <c r="E424" s="53">
        <f t="shared" si="75"/>
        <v>0.15</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6"/>
      <c r="C425" s="53">
        <f t="shared" si="74"/>
        <v>1</v>
      </c>
      <c r="D425" s="964"/>
      <c r="E425" s="53">
        <f t="shared" si="75"/>
        <v>0.15</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6"/>
      <c r="C426" s="53">
        <f t="shared" si="74"/>
        <v>1</v>
      </c>
      <c r="D426" s="964"/>
      <c r="E426" s="53">
        <f t="shared" si="75"/>
        <v>0.15</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6"/>
      <c r="C427" s="53">
        <f t="shared" si="74"/>
        <v>1</v>
      </c>
      <c r="D427" s="964"/>
      <c r="E427" s="53">
        <f t="shared" si="75"/>
        <v>0.15</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6"/>
      <c r="C428" s="53">
        <f t="shared" si="74"/>
        <v>1</v>
      </c>
      <c r="D428" s="964"/>
      <c r="E428" s="53">
        <f t="shared" si="75"/>
        <v>0.15</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6"/>
      <c r="C429" s="53">
        <f t="shared" si="74"/>
        <v>1</v>
      </c>
      <c r="D429" s="964"/>
      <c r="E429" s="53">
        <f t="shared" si="75"/>
        <v>0.15</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6"/>
      <c r="C430" s="53">
        <f t="shared" si="74"/>
        <v>1</v>
      </c>
      <c r="D430" s="964"/>
      <c r="E430" s="53">
        <f t="shared" si="75"/>
        <v>0.15</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6"/>
      <c r="C431" s="53">
        <f t="shared" si="74"/>
        <v>1</v>
      </c>
      <c r="D431" s="964"/>
      <c r="E431" s="53">
        <f t="shared" si="75"/>
        <v>0.15</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6"/>
      <c r="C432" s="53">
        <f t="shared" si="74"/>
        <v>1</v>
      </c>
      <c r="D432" s="964"/>
      <c r="E432" s="53">
        <f t="shared" si="75"/>
        <v>0.15</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6"/>
      <c r="C433" s="53">
        <f t="shared" si="74"/>
        <v>1</v>
      </c>
      <c r="D433" s="964"/>
      <c r="E433" s="53">
        <f t="shared" si="75"/>
        <v>0.15</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6"/>
      <c r="C434" s="53">
        <f t="shared" si="74"/>
        <v>1</v>
      </c>
      <c r="D434" s="964"/>
      <c r="E434" s="53">
        <f t="shared" si="75"/>
        <v>0.15</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6"/>
      <c r="C435" s="53">
        <f t="shared" si="74"/>
        <v>1</v>
      </c>
      <c r="D435" s="964"/>
      <c r="E435" s="53">
        <f t="shared" si="75"/>
        <v>0.15</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6"/>
      <c r="C436" s="53">
        <f t="shared" si="74"/>
        <v>1</v>
      </c>
      <c r="D436" s="964"/>
      <c r="E436" s="53">
        <f t="shared" si="75"/>
        <v>0.15</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6"/>
      <c r="C437" s="53">
        <f t="shared" si="74"/>
        <v>1</v>
      </c>
      <c r="D437" s="964"/>
      <c r="E437" s="53">
        <f t="shared" si="75"/>
        <v>0.15</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6"/>
      <c r="C438" s="53">
        <f t="shared" si="74"/>
        <v>1</v>
      </c>
      <c r="D438" s="964"/>
      <c r="E438" s="53">
        <f t="shared" si="75"/>
        <v>0.15</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6"/>
      <c r="C439" s="53">
        <f t="shared" si="74"/>
        <v>1</v>
      </c>
      <c r="D439" s="964"/>
      <c r="E439" s="53">
        <f t="shared" si="75"/>
        <v>0.15</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6"/>
      <c r="C440" s="53">
        <f t="shared" si="74"/>
        <v>1</v>
      </c>
      <c r="D440" s="964"/>
      <c r="E440" s="53">
        <f t="shared" si="75"/>
        <v>0.15</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6"/>
      <c r="C441" s="53">
        <f t="shared" si="74"/>
        <v>1</v>
      </c>
      <c r="D441" s="964"/>
      <c r="E441" s="53">
        <f t="shared" si="75"/>
        <v>0.15</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6"/>
      <c r="C442" s="53">
        <f t="shared" si="74"/>
        <v>1</v>
      </c>
      <c r="D442" s="964"/>
      <c r="E442" s="53">
        <f t="shared" si="75"/>
        <v>0.15</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6"/>
      <c r="C443" s="53">
        <f t="shared" si="74"/>
        <v>1</v>
      </c>
      <c r="D443" s="964"/>
      <c r="E443" s="53">
        <f t="shared" si="75"/>
        <v>0.15</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6"/>
      <c r="C444" s="53">
        <f t="shared" si="74"/>
        <v>1</v>
      </c>
      <c r="D444" s="964"/>
      <c r="E444" s="53">
        <f t="shared" si="75"/>
        <v>0.15</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6"/>
      <c r="C445" s="53">
        <f t="shared" si="74"/>
        <v>1</v>
      </c>
      <c r="D445" s="964"/>
      <c r="E445" s="53">
        <f t="shared" si="75"/>
        <v>0.15</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6"/>
      <c r="C446" s="53">
        <f t="shared" si="74"/>
        <v>1</v>
      </c>
      <c r="D446" s="964"/>
      <c r="E446" s="53">
        <f t="shared" si="75"/>
        <v>0.15</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6"/>
      <c r="C447" s="53">
        <f t="shared" si="74"/>
        <v>1</v>
      </c>
      <c r="D447" s="964"/>
      <c r="E447" s="53">
        <f t="shared" si="75"/>
        <v>0.15</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6"/>
      <c r="C448" s="53">
        <f t="shared" si="74"/>
        <v>1</v>
      </c>
      <c r="D448" s="964"/>
      <c r="E448" s="53">
        <f t="shared" si="75"/>
        <v>0.15</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6"/>
      <c r="C449" s="53">
        <f t="shared" si="74"/>
        <v>1</v>
      </c>
      <c r="D449" s="964"/>
      <c r="E449" s="53">
        <f t="shared" si="75"/>
        <v>0.15</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6"/>
      <c r="C450" s="53">
        <f t="shared" si="74"/>
        <v>1</v>
      </c>
      <c r="D450" s="964"/>
      <c r="E450" s="53">
        <f t="shared" si="75"/>
        <v>0.15</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6"/>
      <c r="C451" s="53">
        <f t="shared" si="74"/>
        <v>1</v>
      </c>
      <c r="D451" s="964"/>
      <c r="E451" s="53">
        <f t="shared" si="75"/>
        <v>0.15</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6"/>
      <c r="C452" s="53">
        <f t="shared" si="74"/>
        <v>1</v>
      </c>
      <c r="D452" s="964"/>
      <c r="E452" s="53">
        <f t="shared" si="75"/>
        <v>0.15</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6"/>
      <c r="C453" s="53">
        <f t="shared" si="74"/>
        <v>1</v>
      </c>
      <c r="D453" s="964"/>
      <c r="E453" s="53">
        <f t="shared" si="75"/>
        <v>0.15</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6"/>
      <c r="C454" s="53">
        <f t="shared" si="74"/>
        <v>1</v>
      </c>
      <c r="D454" s="964"/>
      <c r="E454" s="53">
        <f t="shared" si="75"/>
        <v>0.15</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6"/>
      <c r="C455" s="53">
        <f t="shared" si="74"/>
        <v>1</v>
      </c>
      <c r="D455" s="964"/>
      <c r="E455" s="53">
        <f t="shared" si="75"/>
        <v>0.15</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6"/>
      <c r="C456" s="53">
        <f t="shared" si="74"/>
        <v>1</v>
      </c>
      <c r="D456" s="964"/>
      <c r="E456" s="53">
        <f t="shared" si="75"/>
        <v>0.15</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6"/>
      <c r="C457" s="53">
        <f t="shared" si="74"/>
        <v>1</v>
      </c>
      <c r="D457" s="964"/>
      <c r="E457" s="53">
        <f t="shared" si="75"/>
        <v>0.15</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6"/>
      <c r="C458" s="53">
        <f t="shared" si="74"/>
        <v>1</v>
      </c>
      <c r="D458" s="964"/>
      <c r="E458" s="53">
        <f t="shared" si="75"/>
        <v>0.15</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6"/>
      <c r="C459" s="53">
        <f t="shared" si="74"/>
        <v>1</v>
      </c>
      <c r="D459" s="964"/>
      <c r="E459" s="53">
        <f t="shared" si="75"/>
        <v>0.15</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6"/>
      <c r="C460" s="53">
        <f t="shared" si="74"/>
        <v>1</v>
      </c>
      <c r="D460" s="964"/>
      <c r="E460" s="53">
        <f t="shared" si="75"/>
        <v>0.15</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6"/>
      <c r="C461" s="53">
        <f t="shared" si="74"/>
        <v>1</v>
      </c>
      <c r="D461" s="964"/>
      <c r="E461" s="53">
        <f t="shared" si="75"/>
        <v>0.15</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6"/>
      <c r="C462" s="53">
        <f t="shared" si="74"/>
        <v>1</v>
      </c>
      <c r="D462" s="964"/>
      <c r="E462" s="53">
        <f t="shared" si="75"/>
        <v>0.15</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6"/>
      <c r="C463" s="53">
        <f t="shared" si="74"/>
        <v>1</v>
      </c>
      <c r="D463" s="964"/>
      <c r="E463" s="53">
        <f t="shared" si="75"/>
        <v>0.15</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6"/>
      <c r="C464" s="53">
        <f t="shared" si="74"/>
        <v>1</v>
      </c>
      <c r="D464" s="964"/>
      <c r="E464" s="53">
        <f t="shared" si="75"/>
        <v>0.15</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6"/>
      <c r="C465" s="53">
        <f t="shared" si="74"/>
        <v>1</v>
      </c>
      <c r="D465" s="964"/>
      <c r="E465" s="53">
        <f t="shared" si="75"/>
        <v>0.15</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6"/>
      <c r="C466" s="53">
        <f t="shared" si="74"/>
        <v>1</v>
      </c>
      <c r="D466" s="964"/>
      <c r="E466" s="53">
        <f t="shared" si="75"/>
        <v>0.15</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6"/>
      <c r="C467" s="53">
        <f t="shared" si="74"/>
        <v>1</v>
      </c>
      <c r="D467" s="964"/>
      <c r="E467" s="53">
        <f t="shared" si="75"/>
        <v>0.15</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6"/>
      <c r="C468" s="53">
        <f t="shared" si="74"/>
        <v>1</v>
      </c>
      <c r="D468" s="964"/>
      <c r="E468" s="53">
        <f t="shared" si="75"/>
        <v>0.15</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6"/>
      <c r="C469" s="53">
        <f t="shared" si="74"/>
        <v>1</v>
      </c>
      <c r="D469" s="964"/>
      <c r="E469" s="53">
        <f t="shared" si="75"/>
        <v>0.15</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6"/>
      <c r="C470" s="53">
        <f t="shared" si="74"/>
        <v>1</v>
      </c>
      <c r="D470" s="964"/>
      <c r="E470" s="53">
        <f t="shared" si="75"/>
        <v>0.15</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6"/>
      <c r="C471" s="53">
        <f t="shared" si="74"/>
        <v>1</v>
      </c>
      <c r="D471" s="964"/>
      <c r="E471" s="53">
        <f t="shared" si="75"/>
        <v>0.15</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6"/>
      <c r="C472" s="53">
        <f t="shared" si="74"/>
        <v>1</v>
      </c>
      <c r="D472" s="964"/>
      <c r="E472" s="53">
        <f t="shared" si="75"/>
        <v>0.15</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6"/>
      <c r="C473" s="53">
        <f t="shared" si="74"/>
        <v>1</v>
      </c>
      <c r="D473" s="964"/>
      <c r="E473" s="53">
        <f t="shared" si="75"/>
        <v>0.15</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6"/>
      <c r="C474" s="53">
        <f t="shared" ref="C474:C524" si="85">IF(B474="",1,(LOOKUP(B474,$3:$3,$4:$4)-LOOKUP($B$24,$3:$3,$4:$4)+100)/100)</f>
        <v>1</v>
      </c>
      <c r="D474" s="964"/>
      <c r="E474" s="53">
        <f t="shared" ref="E474:E524" si="86">(SUMIF($5:$5,D474,$6:$6)-SUMIF($5:$5,$D$24,$6:$6)+100)/100</f>
        <v>0.15</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6"/>
      <c r="C475" s="53">
        <f t="shared" si="85"/>
        <v>1</v>
      </c>
      <c r="D475" s="964"/>
      <c r="E475" s="53">
        <f t="shared" si="86"/>
        <v>0.15</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6"/>
      <c r="C476" s="53">
        <f t="shared" si="85"/>
        <v>1</v>
      </c>
      <c r="D476" s="964"/>
      <c r="E476" s="53">
        <f t="shared" si="86"/>
        <v>0.15</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6"/>
      <c r="C477" s="53">
        <f t="shared" si="85"/>
        <v>1</v>
      </c>
      <c r="D477" s="964"/>
      <c r="E477" s="53">
        <f t="shared" si="86"/>
        <v>0.15</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6"/>
      <c r="C478" s="53">
        <f t="shared" si="85"/>
        <v>1</v>
      </c>
      <c r="D478" s="964"/>
      <c r="E478" s="53">
        <f t="shared" si="86"/>
        <v>0.15</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6"/>
      <c r="C479" s="53">
        <f t="shared" si="85"/>
        <v>1</v>
      </c>
      <c r="D479" s="964"/>
      <c r="E479" s="53">
        <f t="shared" si="86"/>
        <v>0.15</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6"/>
      <c r="C480" s="53">
        <f t="shared" si="85"/>
        <v>1</v>
      </c>
      <c r="D480" s="964"/>
      <c r="E480" s="53">
        <f t="shared" si="86"/>
        <v>0.15</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6"/>
      <c r="C481" s="53">
        <f t="shared" si="85"/>
        <v>1</v>
      </c>
      <c r="D481" s="964"/>
      <c r="E481" s="53">
        <f t="shared" si="86"/>
        <v>0.15</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6"/>
      <c r="C482" s="53">
        <f t="shared" si="85"/>
        <v>1</v>
      </c>
      <c r="D482" s="964"/>
      <c r="E482" s="53">
        <f t="shared" si="86"/>
        <v>0.15</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6"/>
      <c r="C483" s="53">
        <f t="shared" si="85"/>
        <v>1</v>
      </c>
      <c r="D483" s="964"/>
      <c r="E483" s="53">
        <f t="shared" si="86"/>
        <v>0.15</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6"/>
      <c r="C484" s="53">
        <f t="shared" si="85"/>
        <v>1</v>
      </c>
      <c r="D484" s="964"/>
      <c r="E484" s="53">
        <f t="shared" si="86"/>
        <v>0.15</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6"/>
      <c r="C485" s="53">
        <f t="shared" si="85"/>
        <v>1</v>
      </c>
      <c r="D485" s="964"/>
      <c r="E485" s="53">
        <f t="shared" si="86"/>
        <v>0.15</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6"/>
      <c r="C486" s="53">
        <f t="shared" si="85"/>
        <v>1</v>
      </c>
      <c r="D486" s="964"/>
      <c r="E486" s="53">
        <f t="shared" si="86"/>
        <v>0.15</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6"/>
      <c r="C487" s="53">
        <f t="shared" si="85"/>
        <v>1</v>
      </c>
      <c r="D487" s="964"/>
      <c r="E487" s="53">
        <f t="shared" si="86"/>
        <v>0.15</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6"/>
      <c r="C488" s="53">
        <f t="shared" si="85"/>
        <v>1</v>
      </c>
      <c r="D488" s="964"/>
      <c r="E488" s="53">
        <f t="shared" si="86"/>
        <v>0.15</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6"/>
      <c r="C489" s="53">
        <f t="shared" si="85"/>
        <v>1</v>
      </c>
      <c r="D489" s="964"/>
      <c r="E489" s="53">
        <f t="shared" si="86"/>
        <v>0.15</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6"/>
      <c r="C490" s="53">
        <f t="shared" si="85"/>
        <v>1</v>
      </c>
      <c r="D490" s="964"/>
      <c r="E490" s="53">
        <f t="shared" si="86"/>
        <v>0.15</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6"/>
      <c r="C491" s="53">
        <f t="shared" si="85"/>
        <v>1</v>
      </c>
      <c r="D491" s="964"/>
      <c r="E491" s="53">
        <f t="shared" si="86"/>
        <v>0.15</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6"/>
      <c r="C492" s="53">
        <f t="shared" si="85"/>
        <v>1</v>
      </c>
      <c r="D492" s="964"/>
      <c r="E492" s="53">
        <f t="shared" si="86"/>
        <v>0.15</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6"/>
      <c r="C493" s="53">
        <f t="shared" si="85"/>
        <v>1</v>
      </c>
      <c r="D493" s="964"/>
      <c r="E493" s="53">
        <f t="shared" si="86"/>
        <v>0.15</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6"/>
      <c r="C494" s="53">
        <f t="shared" si="85"/>
        <v>1</v>
      </c>
      <c r="D494" s="964"/>
      <c r="E494" s="53">
        <f t="shared" si="86"/>
        <v>0.15</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6"/>
      <c r="C495" s="53">
        <f t="shared" si="85"/>
        <v>1</v>
      </c>
      <c r="D495" s="964"/>
      <c r="E495" s="53">
        <f t="shared" si="86"/>
        <v>0.15</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6"/>
      <c r="C496" s="53">
        <f t="shared" si="85"/>
        <v>1</v>
      </c>
      <c r="D496" s="964"/>
      <c r="E496" s="53">
        <f t="shared" si="86"/>
        <v>0.15</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6"/>
      <c r="C497" s="53">
        <f t="shared" si="85"/>
        <v>1</v>
      </c>
      <c r="D497" s="964"/>
      <c r="E497" s="53">
        <f t="shared" si="86"/>
        <v>0.15</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6"/>
      <c r="C498" s="53">
        <f t="shared" si="85"/>
        <v>1</v>
      </c>
      <c r="D498" s="964"/>
      <c r="E498" s="53">
        <f t="shared" si="86"/>
        <v>0.15</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6"/>
      <c r="C499" s="53">
        <f t="shared" si="85"/>
        <v>1</v>
      </c>
      <c r="D499" s="964"/>
      <c r="E499" s="53">
        <f t="shared" si="86"/>
        <v>0.15</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6"/>
      <c r="C500" s="53">
        <f t="shared" si="85"/>
        <v>1</v>
      </c>
      <c r="D500" s="964"/>
      <c r="E500" s="53">
        <f t="shared" si="86"/>
        <v>0.15</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6"/>
      <c r="C501" s="53">
        <f t="shared" si="85"/>
        <v>1</v>
      </c>
      <c r="D501" s="964"/>
      <c r="E501" s="53">
        <f t="shared" si="86"/>
        <v>0.15</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6"/>
      <c r="C502" s="53">
        <f t="shared" si="85"/>
        <v>1</v>
      </c>
      <c r="D502" s="964"/>
      <c r="E502" s="53">
        <f t="shared" si="86"/>
        <v>0.15</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6"/>
      <c r="C503" s="53">
        <f t="shared" si="85"/>
        <v>1</v>
      </c>
      <c r="D503" s="964"/>
      <c r="E503" s="53">
        <f t="shared" si="86"/>
        <v>0.15</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6"/>
      <c r="C504" s="53">
        <f t="shared" si="85"/>
        <v>1</v>
      </c>
      <c r="D504" s="964"/>
      <c r="E504" s="53">
        <f t="shared" si="86"/>
        <v>0.15</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6"/>
      <c r="C505" s="53">
        <f t="shared" si="85"/>
        <v>1</v>
      </c>
      <c r="D505" s="964"/>
      <c r="E505" s="53">
        <f t="shared" si="86"/>
        <v>0.15</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6"/>
      <c r="C506" s="53">
        <f t="shared" si="85"/>
        <v>1</v>
      </c>
      <c r="D506" s="964"/>
      <c r="E506" s="53">
        <f t="shared" si="86"/>
        <v>0.15</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6"/>
      <c r="C507" s="53">
        <f t="shared" si="85"/>
        <v>1</v>
      </c>
      <c r="D507" s="964"/>
      <c r="E507" s="53">
        <f t="shared" si="86"/>
        <v>0.15</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6"/>
      <c r="C508" s="53">
        <f t="shared" si="85"/>
        <v>1</v>
      </c>
      <c r="D508" s="964"/>
      <c r="E508" s="53">
        <f t="shared" si="86"/>
        <v>0.15</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6"/>
      <c r="C509" s="53">
        <f t="shared" si="85"/>
        <v>1</v>
      </c>
      <c r="D509" s="964"/>
      <c r="E509" s="53">
        <f t="shared" si="86"/>
        <v>0.15</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6"/>
      <c r="C510" s="53">
        <f t="shared" si="85"/>
        <v>1</v>
      </c>
      <c r="D510" s="964"/>
      <c r="E510" s="53">
        <f t="shared" si="86"/>
        <v>0.15</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6"/>
      <c r="C511" s="53">
        <f t="shared" si="85"/>
        <v>1</v>
      </c>
      <c r="D511" s="964"/>
      <c r="E511" s="53">
        <f t="shared" si="86"/>
        <v>0.15</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6"/>
      <c r="C512" s="53">
        <f t="shared" si="85"/>
        <v>1</v>
      </c>
      <c r="D512" s="964"/>
      <c r="E512" s="53">
        <f t="shared" si="86"/>
        <v>0.15</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6"/>
      <c r="C513" s="53">
        <f t="shared" si="85"/>
        <v>1</v>
      </c>
      <c r="D513" s="964"/>
      <c r="E513" s="53">
        <f t="shared" si="86"/>
        <v>0.15</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6"/>
      <c r="C514" s="53">
        <f t="shared" si="85"/>
        <v>1</v>
      </c>
      <c r="D514" s="964"/>
      <c r="E514" s="53">
        <f t="shared" si="86"/>
        <v>0.15</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6"/>
      <c r="C515" s="53">
        <f t="shared" si="85"/>
        <v>1</v>
      </c>
      <c r="D515" s="964"/>
      <c r="E515" s="53">
        <f t="shared" si="86"/>
        <v>0.15</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6"/>
      <c r="C516" s="53">
        <f t="shared" si="85"/>
        <v>1</v>
      </c>
      <c r="D516" s="964"/>
      <c r="E516" s="53">
        <f t="shared" si="86"/>
        <v>0.15</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6"/>
      <c r="C517" s="53">
        <f t="shared" si="85"/>
        <v>1</v>
      </c>
      <c r="D517" s="964"/>
      <c r="E517" s="53">
        <f t="shared" si="86"/>
        <v>0.15</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6"/>
      <c r="C518" s="53">
        <f t="shared" si="85"/>
        <v>1</v>
      </c>
      <c r="D518" s="964"/>
      <c r="E518" s="53">
        <f t="shared" si="86"/>
        <v>0.15</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6"/>
      <c r="C519" s="53">
        <f t="shared" si="85"/>
        <v>1</v>
      </c>
      <c r="D519" s="964"/>
      <c r="E519" s="53">
        <f t="shared" si="86"/>
        <v>0.15</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6"/>
      <c r="C520" s="53">
        <f t="shared" si="85"/>
        <v>1</v>
      </c>
      <c r="D520" s="964"/>
      <c r="E520" s="53">
        <f t="shared" si="86"/>
        <v>0.15</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6"/>
      <c r="C521" s="53">
        <f t="shared" si="85"/>
        <v>1</v>
      </c>
      <c r="D521" s="964"/>
      <c r="E521" s="53">
        <f t="shared" si="86"/>
        <v>0.15</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6"/>
      <c r="C522" s="53">
        <f t="shared" si="85"/>
        <v>1</v>
      </c>
      <c r="D522" s="964"/>
      <c r="E522" s="53">
        <f t="shared" si="86"/>
        <v>0.15</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6"/>
      <c r="C523" s="53">
        <f t="shared" si="85"/>
        <v>1</v>
      </c>
      <c r="D523" s="964"/>
      <c r="E523" s="53">
        <f t="shared" si="86"/>
        <v>0.15</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6"/>
      <c r="C524" s="53">
        <f t="shared" si="85"/>
        <v>1</v>
      </c>
      <c r="D524" s="964"/>
      <c r="E524" s="53">
        <f t="shared" si="86"/>
        <v>0.15</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2984</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2990</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2991</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7">
      <formula>$L$48&gt;$J$51</formula>
    </cfRule>
  </conditionalFormatting>
  <conditionalFormatting sqref="I55">
    <cfRule type="expression" dxfId="123" priority="6">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42" sqref="F4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2981</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2990</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2991</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7">
      <formula>$L$48&gt;$J$51</formula>
    </cfRule>
  </conditionalFormatting>
  <conditionalFormatting sqref="I55">
    <cfRule type="expression" dxfId="116" priority="6">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2039</v>
      </c>
      <c r="B1" s="3243"/>
      <c r="C1" s="3243"/>
      <c r="D1" s="3243"/>
      <c r="E1" s="3243"/>
      <c r="F1" s="3243"/>
      <c r="G1" s="3243"/>
      <c r="H1" s="3243"/>
      <c r="I1" s="3243"/>
      <c r="J1" s="3243"/>
      <c r="K1" s="3243"/>
      <c r="L1" s="3243"/>
      <c r="M1" s="3243"/>
      <c r="N1" s="3243"/>
      <c r="O1" s="3243"/>
      <c r="P1" s="3243"/>
      <c r="Q1" s="3243"/>
      <c r="R1" s="3243"/>
    </row>
    <row r="2" spans="1:18">
      <c r="A2" s="1808" t="s">
        <v>2041</v>
      </c>
      <c r="B2" s="1808"/>
      <c r="C2" s="1808"/>
      <c r="D2" s="1808"/>
      <c r="E2" s="1808"/>
      <c r="F2" s="1808"/>
      <c r="G2" s="1808"/>
      <c r="H2" s="1808"/>
      <c r="I2" s="1809"/>
      <c r="J2" s="1809"/>
      <c r="K2" s="1810" t="str">
        <f>"估价期日："&amp;TEXT(项目基本情况!D3,"yyyy年m月d日;;")</f>
        <v>估价期日：2017年12月20日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4" t="s">
        <v>2030</v>
      </c>
      <c r="B3" s="3244" t="s">
        <v>2737</v>
      </c>
      <c r="C3" s="3245" t="s">
        <v>2031</v>
      </c>
      <c r="D3" s="3244" t="s">
        <v>2741</v>
      </c>
      <c r="E3" s="3239" t="s">
        <v>2032</v>
      </c>
      <c r="F3" s="3239"/>
      <c r="G3" s="3239"/>
      <c r="H3" s="3239" t="s">
        <v>2033</v>
      </c>
      <c r="I3" s="3239"/>
      <c r="J3" s="3239"/>
      <c r="K3" s="3245" t="s">
        <v>2034</v>
      </c>
      <c r="L3" s="3245" t="s">
        <v>2035</v>
      </c>
      <c r="M3" s="3244" t="s">
        <v>2738</v>
      </c>
      <c r="N3" s="3246" t="str">
        <f>"（分摊）"&amp;项目基本情况!B16&amp;"国有建设用地使用权面积/㎡"</f>
        <v>（分摊）出让国有建设用地使用权面积/㎡</v>
      </c>
      <c r="O3" s="3244" t="s">
        <v>2064</v>
      </c>
      <c r="P3" s="3245" t="s">
        <v>2044</v>
      </c>
      <c r="Q3" s="3245" t="s">
        <v>2065</v>
      </c>
      <c r="R3" s="3245" t="s">
        <v>2036</v>
      </c>
    </row>
    <row r="4" spans="1:18" ht="36.75" customHeight="1">
      <c r="A4" s="3244"/>
      <c r="B4" s="3244"/>
      <c r="C4" s="3245"/>
      <c r="D4" s="3244"/>
      <c r="E4" s="2674" t="s">
        <v>2043</v>
      </c>
      <c r="F4" s="2674" t="s">
        <v>2750</v>
      </c>
      <c r="G4" s="2674" t="s">
        <v>2037</v>
      </c>
      <c r="H4" s="2674" t="s">
        <v>2038</v>
      </c>
      <c r="I4" s="2674" t="s">
        <v>2751</v>
      </c>
      <c r="J4" s="2674" t="s">
        <v>2037</v>
      </c>
      <c r="K4" s="3245"/>
      <c r="L4" s="3245"/>
      <c r="M4" s="3244"/>
      <c r="N4" s="3246"/>
      <c r="O4" s="3244"/>
      <c r="P4" s="3245"/>
      <c r="Q4" s="3245"/>
      <c r="R4" s="3245"/>
    </row>
    <row r="5" spans="1:18" ht="135" customHeight="1">
      <c r="A5" s="1943" t="s">
        <v>2661</v>
      </c>
      <c r="B5" s="2893" t="s">
        <v>2659</v>
      </c>
      <c r="C5" s="2673">
        <v>22</v>
      </c>
      <c r="D5" s="2672" t="s">
        <v>2660</v>
      </c>
      <c r="E5" s="1811" t="str">
        <f>项目基本情况!B12</f>
        <v>城镇住宅用地</v>
      </c>
      <c r="F5" s="2672">
        <v>258</v>
      </c>
      <c r="G5" s="1811" t="str">
        <f>项目基本情况!B13</f>
        <v>住宅</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163507.1</v>
      </c>
      <c r="O5" s="1811">
        <f>项目基本情况!C21</f>
        <v>294706.12</v>
      </c>
      <c r="P5" s="1811">
        <f ca="1">结果表!E42</f>
        <v>13063</v>
      </c>
      <c r="Q5" s="1811">
        <f ca="1">结果表!D42</f>
        <v>7248</v>
      </c>
      <c r="R5" s="1812">
        <f ca="1">结果表!C42</f>
        <v>213593</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3">
        <f ca="1">结果表!O39</f>
        <v>188593</v>
      </c>
    </row>
    <row r="7" spans="1:18">
      <c r="A7" s="3240" t="str">
        <f>IF(项目基本情况!B9="市场价格","——",IF(项目基本情况!E8="已注销及未注销","抵押担保权已注销时的抵押价格","——"))</f>
        <v>抵押担保权已注销时的抵押价格</v>
      </c>
      <c r="B7" s="3241"/>
      <c r="C7" s="3241"/>
      <c r="D7" s="3241"/>
      <c r="E7" s="3241"/>
      <c r="F7" s="3241"/>
      <c r="G7" s="3241"/>
      <c r="H7" s="3241"/>
      <c r="I7" s="3241"/>
      <c r="J7" s="3241"/>
      <c r="K7" s="3241"/>
      <c r="L7" s="3241"/>
      <c r="M7" s="3241"/>
      <c r="N7" s="3241"/>
      <c r="O7" s="3241"/>
      <c r="P7" s="3241"/>
      <c r="Q7" s="3242"/>
      <c r="R7" s="1813">
        <f ca="1">结果表!O40</f>
        <v>213593</v>
      </c>
    </row>
    <row r="8" spans="1:18">
      <c r="A8" s="3240">
        <f>IF(项目基本情况!B9="市场价格","——",项目基本情况!E9)</f>
        <v>0</v>
      </c>
      <c r="B8" s="3241"/>
      <c r="C8" s="3241"/>
      <c r="D8" s="3241"/>
      <c r="E8" s="3241"/>
      <c r="F8" s="3241"/>
      <c r="G8" s="3241"/>
      <c r="H8" s="3241"/>
      <c r="I8" s="3241"/>
      <c r="J8" s="3241"/>
      <c r="K8" s="3241"/>
      <c r="L8" s="3241"/>
      <c r="M8" s="3241"/>
      <c r="N8" s="3241"/>
      <c r="O8" s="3241"/>
      <c r="P8" s="3241"/>
      <c r="Q8" s="3242"/>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Q32" sqref="Q32"/>
    </sheetView>
  </sheetViews>
  <sheetFormatPr defaultRowHeight="14.25"/>
  <cols>
    <col min="1" max="1" width="10.5" style="1338" customWidth="1"/>
    <col min="2" max="2" width="15.75" style="1338" customWidth="1"/>
    <col min="3" max="3" width="15.125" style="1338" customWidth="1"/>
    <col min="4" max="4" width="12.25" style="1338" customWidth="1"/>
    <col min="5" max="5" width="17.625" style="1338" customWidth="1"/>
    <col min="6" max="6" width="12.25" style="1338" customWidth="1"/>
    <col min="7" max="7" width="16.125" style="1338" customWidth="1"/>
    <col min="8" max="8" width="12.25" style="1338" customWidth="1"/>
    <col min="9" max="9" width="17"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3094</v>
      </c>
      <c r="E1" s="2650"/>
      <c r="F1" s="2833" t="s">
        <v>3089</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86577</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10000</v>
      </c>
      <c r="C3" s="853" t="s">
        <v>723</v>
      </c>
      <c r="D3" s="852">
        <f>SUMIF('数据-汇总表'!$C19:$C33,D1,'数据-汇总表'!$E19:$E33)</f>
        <v>86576.849999999991</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15" t="s">
        <v>523</v>
      </c>
      <c r="D4" s="3416"/>
      <c r="E4" s="3449" t="s">
        <v>524</v>
      </c>
      <c r="F4" s="3450"/>
      <c r="G4" s="3415" t="s">
        <v>525</v>
      </c>
      <c r="H4" s="3416"/>
      <c r="I4" s="3415" t="s">
        <v>526</v>
      </c>
      <c r="J4" s="3416"/>
      <c r="K4" s="854" t="s">
        <v>527</v>
      </c>
      <c r="L4" s="2133"/>
      <c r="M4" s="2134"/>
      <c r="N4" s="2134"/>
      <c r="O4" s="2134"/>
      <c r="P4" s="3417" t="s">
        <v>528</v>
      </c>
      <c r="Q4" s="3418"/>
      <c r="R4" s="3423" t="s">
        <v>524</v>
      </c>
      <c r="S4" s="3424"/>
      <c r="T4" s="3423" t="s">
        <v>525</v>
      </c>
      <c r="U4" s="3424"/>
      <c r="V4" s="3410" t="s">
        <v>526</v>
      </c>
      <c r="W4" s="3410"/>
      <c r="X4" s="1568"/>
      <c r="Y4" s="3423" t="s">
        <v>528</v>
      </c>
      <c r="Z4" s="3424"/>
      <c r="AA4" s="3412" t="s">
        <v>524</v>
      </c>
      <c r="AB4" s="3412" t="s">
        <v>525</v>
      </c>
      <c r="AC4" s="3412" t="s">
        <v>526</v>
      </c>
    </row>
    <row r="5" spans="1:29" ht="15">
      <c r="A5" s="516"/>
      <c r="B5" s="517"/>
      <c r="C5" s="3431" t="s">
        <v>2928</v>
      </c>
      <c r="D5" s="3432"/>
      <c r="E5" s="3451" t="str">
        <f>Sheet2!A1</f>
        <v>钱隆学府</v>
      </c>
      <c r="F5" s="3452"/>
      <c r="G5" s="3431" t="str">
        <f>Sheet2!A2</f>
        <v>天山龙玺</v>
      </c>
      <c r="H5" s="3432"/>
      <c r="I5" s="3431" t="str">
        <f>Sheet2!A3</f>
        <v>大唐盛世</v>
      </c>
      <c r="J5" s="3432"/>
      <c r="K5" s="855"/>
      <c r="L5" s="2133"/>
      <c r="M5" s="2134"/>
      <c r="N5" s="2134"/>
      <c r="O5" s="2134"/>
      <c r="P5" s="3419"/>
      <c r="Q5" s="3420"/>
      <c r="R5" s="3425"/>
      <c r="S5" s="3426"/>
      <c r="T5" s="3425"/>
      <c r="U5" s="3426"/>
      <c r="V5" s="3410"/>
      <c r="W5" s="3410"/>
      <c r="X5" s="1568"/>
      <c r="Y5" s="3425"/>
      <c r="Z5" s="3426"/>
      <c r="AA5" s="3413"/>
      <c r="AB5" s="3413"/>
      <c r="AC5" s="3413"/>
    </row>
    <row r="6" spans="1:29" ht="15.75" thickBot="1">
      <c r="A6" s="518"/>
      <c r="B6" s="519"/>
      <c r="C6" s="3429" t="s">
        <v>2932</v>
      </c>
      <c r="D6" s="3430"/>
      <c r="E6" s="3447" t="s">
        <v>2932</v>
      </c>
      <c r="F6" s="3448"/>
      <c r="G6" s="3429" t="s">
        <v>2932</v>
      </c>
      <c r="H6" s="3430"/>
      <c r="I6" s="3429" t="s">
        <v>2932</v>
      </c>
      <c r="J6" s="3430"/>
      <c r="K6" s="855" t="s">
        <v>529</v>
      </c>
      <c r="L6" s="2133"/>
      <c r="M6" s="2134"/>
      <c r="N6" s="2134"/>
      <c r="O6" s="2134"/>
      <c r="P6" s="3421"/>
      <c r="Q6" s="3422"/>
      <c r="R6" s="3425"/>
      <c r="S6" s="3426"/>
      <c r="T6" s="3427"/>
      <c r="U6" s="3428"/>
      <c r="V6" s="3410"/>
      <c r="W6" s="3410"/>
      <c r="X6" s="1568"/>
      <c r="Y6" s="3427"/>
      <c r="Z6" s="3428"/>
      <c r="AA6" s="3414"/>
      <c r="AB6" s="3414"/>
      <c r="AC6" s="3414"/>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40" t="s">
        <v>531</v>
      </c>
      <c r="Q7" s="3442"/>
      <c r="R7" s="1569" t="s">
        <v>13</v>
      </c>
      <c r="S7" s="1570">
        <f t="shared" ref="S7:S15" si="0">F7</f>
        <v>100</v>
      </c>
      <c r="T7" s="1569" t="s">
        <v>13</v>
      </c>
      <c r="U7" s="1570">
        <f t="shared" ref="U7:U15" si="1">H7</f>
        <v>100</v>
      </c>
      <c r="V7" s="1569" t="s">
        <v>13</v>
      </c>
      <c r="W7" s="1570">
        <f t="shared" ref="W7:W15" si="2">J7</f>
        <v>100</v>
      </c>
      <c r="X7" s="1571"/>
      <c r="Y7" s="3440" t="s">
        <v>531</v>
      </c>
      <c r="Z7" s="3441"/>
      <c r="AA7" s="1572">
        <f>D7/F7</f>
        <v>1</v>
      </c>
      <c r="AB7" s="1572">
        <f>D7/H7</f>
        <v>1</v>
      </c>
      <c r="AC7" s="1572">
        <f>D7/J7</f>
        <v>1</v>
      </c>
    </row>
    <row r="8" spans="1:29" s="1221" customFormat="1" ht="15.75" thickBot="1">
      <c r="A8" s="2939"/>
      <c r="B8" s="2946" t="s">
        <v>532</v>
      </c>
      <c r="C8" s="526" t="s">
        <v>577</v>
      </c>
      <c r="D8" s="521">
        <v>100</v>
      </c>
      <c r="E8" s="3192" t="s">
        <v>3087</v>
      </c>
      <c r="F8" s="523">
        <f>SUMIF(61:61,E8,62:62)-SUMIF(61:61,C8,62:62)+100</f>
        <v>100</v>
      </c>
      <c r="G8" s="3193" t="s">
        <v>3088</v>
      </c>
      <c r="H8" s="521">
        <f>SUMIF(61:61,G8,62:62)-SUMIF(61:61,C8,62:62)+100</f>
        <v>100</v>
      </c>
      <c r="I8" s="3192" t="s">
        <v>3087</v>
      </c>
      <c r="J8" s="521">
        <f>SUMIF(61:61,I8,62:62)-SUMIF(61:61,C8,62:62)+100</f>
        <v>100</v>
      </c>
      <c r="K8" s="856"/>
      <c r="L8" s="2135"/>
      <c r="M8" s="2136"/>
      <c r="N8" s="2136"/>
      <c r="O8" s="2136"/>
      <c r="P8" s="3440" t="s">
        <v>534</v>
      </c>
      <c r="Q8" s="3441"/>
      <c r="R8" s="1569" t="s">
        <v>13</v>
      </c>
      <c r="S8" s="1570">
        <f t="shared" si="0"/>
        <v>100</v>
      </c>
      <c r="T8" s="1569" t="s">
        <v>13</v>
      </c>
      <c r="U8" s="1570">
        <f t="shared" si="1"/>
        <v>100</v>
      </c>
      <c r="V8" s="1569" t="s">
        <v>13</v>
      </c>
      <c r="W8" s="1570">
        <f t="shared" si="2"/>
        <v>100</v>
      </c>
      <c r="X8" s="1571"/>
      <c r="Y8" s="3440" t="s">
        <v>534</v>
      </c>
      <c r="Z8" s="3441"/>
      <c r="AA8" s="1572">
        <f t="shared" ref="AA8:AA46" si="3">D8/F8</f>
        <v>1</v>
      </c>
      <c r="AB8" s="1572">
        <f t="shared" ref="AB8:AB46" si="4">D8/H8</f>
        <v>1</v>
      </c>
      <c r="AC8" s="1572">
        <f t="shared" ref="AC8:AC46" si="5">D8/J8</f>
        <v>1</v>
      </c>
    </row>
    <row r="9" spans="1:29" s="1221" customFormat="1" ht="15">
      <c r="A9" s="2940"/>
      <c r="B9" s="2947" t="s">
        <v>2762</v>
      </c>
      <c r="C9" s="3223" t="s">
        <v>3171</v>
      </c>
      <c r="D9" s="252">
        <v>100</v>
      </c>
      <c r="E9" s="3224" t="s">
        <v>3172</v>
      </c>
      <c r="F9" s="860">
        <f>SUMIF(63:63,E9,64:64)-SUMIF(63:63,C9,64:64)+100</f>
        <v>100</v>
      </c>
      <c r="G9" s="3225" t="s">
        <v>3172</v>
      </c>
      <c r="H9" s="252">
        <f>SUMIF(63:63,G9,64:64)-SUMIF(63:63,C9,64:64)+100</f>
        <v>100</v>
      </c>
      <c r="I9" s="3225" t="s">
        <v>3171</v>
      </c>
      <c r="J9" s="252">
        <f>SUMIF(63:63,I9,64:64)-SUMIF(63:63,C9,64:64)+100</f>
        <v>100</v>
      </c>
      <c r="K9" s="856"/>
      <c r="L9" s="2135"/>
      <c r="M9" s="2136"/>
      <c r="N9" s="2136"/>
      <c r="O9" s="2137"/>
      <c r="P9" s="3409" t="s">
        <v>536</v>
      </c>
      <c r="Q9" s="1152" t="str">
        <f t="shared" ref="Q9:Q15" si="6">B9</f>
        <v>用途</v>
      </c>
      <c r="R9" s="1569" t="s">
        <v>8</v>
      </c>
      <c r="S9" s="1570">
        <f t="shared" si="0"/>
        <v>100</v>
      </c>
      <c r="T9" s="1569" t="s">
        <v>8</v>
      </c>
      <c r="U9" s="1570">
        <f t="shared" si="1"/>
        <v>100</v>
      </c>
      <c r="V9" s="1569" t="s">
        <v>8</v>
      </c>
      <c r="W9" s="1570">
        <f t="shared" si="2"/>
        <v>100</v>
      </c>
      <c r="X9" s="1571"/>
      <c r="Y9" s="3355" t="s">
        <v>537</v>
      </c>
      <c r="Z9" s="1151" t="str">
        <f t="shared" ref="Z9:Z15" si="7">Q9</f>
        <v>用途</v>
      </c>
      <c r="AA9" s="1572">
        <f t="shared" si="3"/>
        <v>1</v>
      </c>
      <c r="AB9" s="1572">
        <f t="shared" si="4"/>
        <v>1</v>
      </c>
      <c r="AC9" s="1572">
        <f t="shared" si="5"/>
        <v>1</v>
      </c>
    </row>
    <row r="10" spans="1:29" s="1339" customFormat="1" ht="27">
      <c r="A10" s="2941"/>
      <c r="B10" s="2946" t="s">
        <v>2763</v>
      </c>
      <c r="C10" s="862" t="s">
        <v>3135</v>
      </c>
      <c r="D10" s="253">
        <v>100</v>
      </c>
      <c r="E10" s="863" t="s">
        <v>3135</v>
      </c>
      <c r="F10" s="864">
        <f>SUMIF(65:65,E10,66:66)-SUMIF(65:65,C10,66:66)+100</f>
        <v>100</v>
      </c>
      <c r="G10" s="862" t="s">
        <v>3135</v>
      </c>
      <c r="H10" s="253">
        <f>SUMIF(65:65,G10,66:66)-SUMIF(65:65,C10,66:66)+100</f>
        <v>100</v>
      </c>
      <c r="I10" s="862" t="s">
        <v>3135</v>
      </c>
      <c r="J10" s="253">
        <f>SUMIF(65:65,I10,66:66)-SUMIF(65:65,C10,66:66)+100</f>
        <v>100</v>
      </c>
      <c r="K10" s="865"/>
      <c r="L10" s="2138"/>
      <c r="M10" s="2178"/>
      <c r="N10" s="2178"/>
      <c r="O10" s="2139"/>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v>1.9</v>
      </c>
      <c r="F11" s="864">
        <f>LOOKUP(E11,68:68,69:69)-LOOKUP(C11,68:68,69:69)+100</f>
        <v>100</v>
      </c>
      <c r="G11" s="534">
        <v>1.3</v>
      </c>
      <c r="H11" s="253">
        <f>LOOKUP(G11,68:68,69:69)-LOOKUP(C11,68:68,69:69)+100</f>
        <v>100</v>
      </c>
      <c r="I11" s="534">
        <v>3.61</v>
      </c>
      <c r="J11" s="253">
        <f>LOOKUP(I11,68:68,69:69)-LOOKUP(C11,68:68,69:69)+100</f>
        <v>96</v>
      </c>
      <c r="K11" s="865">
        <v>2</v>
      </c>
      <c r="L11" s="2140"/>
      <c r="M11" s="2134"/>
      <c r="N11" s="2134"/>
      <c r="O11" s="2141"/>
      <c r="P11" s="3409"/>
      <c r="Q11" s="1152" t="str">
        <f t="shared" si="6"/>
        <v>容积率</v>
      </c>
      <c r="R11" s="1569" t="s">
        <v>11</v>
      </c>
      <c r="S11" s="1570">
        <f t="shared" si="0"/>
        <v>100</v>
      </c>
      <c r="T11" s="1569" t="s">
        <v>11</v>
      </c>
      <c r="U11" s="1570">
        <f t="shared" si="1"/>
        <v>100</v>
      </c>
      <c r="V11" s="1569" t="s">
        <v>11</v>
      </c>
      <c r="W11" s="1570">
        <f t="shared" si="2"/>
        <v>96</v>
      </c>
      <c r="X11" s="1571"/>
      <c r="Y11" s="3355"/>
      <c r="Z11" s="1151" t="str">
        <f t="shared" si="7"/>
        <v>容积率</v>
      </c>
      <c r="AA11" s="1572">
        <f t="shared" si="3"/>
        <v>1</v>
      </c>
      <c r="AB11" s="1572">
        <f t="shared" si="4"/>
        <v>1</v>
      </c>
      <c r="AC11" s="1572">
        <f t="shared" si="5"/>
        <v>1.0416666666666667</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09"/>
      <c r="Q12" s="1152">
        <f t="shared" si="6"/>
        <v>111</v>
      </c>
      <c r="R12" s="1569" t="s">
        <v>11</v>
      </c>
      <c r="S12" s="1570">
        <f t="shared" si="0"/>
        <v>100</v>
      </c>
      <c r="T12" s="1569" t="s">
        <v>11</v>
      </c>
      <c r="U12" s="1570">
        <f t="shared" si="1"/>
        <v>100</v>
      </c>
      <c r="V12" s="1569" t="s">
        <v>11</v>
      </c>
      <c r="W12" s="1570">
        <f t="shared" si="2"/>
        <v>100</v>
      </c>
      <c r="X12" s="1571"/>
      <c r="Y12" s="3355"/>
      <c r="Z12" s="1151">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09"/>
      <c r="Q13" s="1152">
        <f t="shared" si="6"/>
        <v>111</v>
      </c>
      <c r="R13" s="1569" t="s">
        <v>11</v>
      </c>
      <c r="S13" s="1570">
        <f t="shared" si="0"/>
        <v>100</v>
      </c>
      <c r="T13" s="1569" t="s">
        <v>11</v>
      </c>
      <c r="U13" s="1570">
        <f t="shared" si="1"/>
        <v>100</v>
      </c>
      <c r="V13" s="1569" t="s">
        <v>11</v>
      </c>
      <c r="W13" s="1570">
        <f t="shared" si="2"/>
        <v>100</v>
      </c>
      <c r="X13" s="1571"/>
      <c r="Y13" s="3355"/>
      <c r="Z13" s="1151">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09"/>
      <c r="Q14" s="1152">
        <f t="shared" si="6"/>
        <v>111</v>
      </c>
      <c r="R14" s="1569" t="s">
        <v>11</v>
      </c>
      <c r="S14" s="1570">
        <f t="shared" si="0"/>
        <v>100</v>
      </c>
      <c r="T14" s="1569" t="s">
        <v>11</v>
      </c>
      <c r="U14" s="1570">
        <f t="shared" si="1"/>
        <v>100</v>
      </c>
      <c r="V14" s="1569" t="s">
        <v>11</v>
      </c>
      <c r="W14" s="1570">
        <f t="shared" si="2"/>
        <v>100</v>
      </c>
      <c r="X14" s="1571"/>
      <c r="Y14" s="3355"/>
      <c r="Z14" s="1151">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102</v>
      </c>
      <c r="I15" s="551"/>
      <c r="J15" s="550">
        <f>SUMIF(76:76,I16,77:77)-SUMIF(76:76,C16,77:77)+100</f>
        <v>100</v>
      </c>
      <c r="K15" s="869">
        <v>2</v>
      </c>
      <c r="L15" s="2142"/>
      <c r="M15" s="2134"/>
      <c r="N15" s="2134"/>
      <c r="O15" s="2141"/>
      <c r="P15" s="3443" t="s">
        <v>541</v>
      </c>
      <c r="Q15" s="1573" t="str">
        <f t="shared" si="6"/>
        <v>居住社区成熟度</v>
      </c>
      <c r="R15" s="1574" t="s">
        <v>11</v>
      </c>
      <c r="S15" s="1575">
        <f t="shared" si="0"/>
        <v>102</v>
      </c>
      <c r="T15" s="1574" t="s">
        <v>11</v>
      </c>
      <c r="U15" s="1575">
        <f t="shared" si="1"/>
        <v>102</v>
      </c>
      <c r="V15" s="1574" t="s">
        <v>11</v>
      </c>
      <c r="W15" s="1575">
        <f t="shared" si="2"/>
        <v>100</v>
      </c>
      <c r="X15" s="1568"/>
      <c r="Y15" s="3443" t="s">
        <v>541</v>
      </c>
      <c r="Z15" s="1576" t="str">
        <f t="shared" si="7"/>
        <v>居住社区成熟度</v>
      </c>
      <c r="AA15" s="1577">
        <f t="shared" si="3"/>
        <v>0.98039215686274506</v>
      </c>
      <c r="AB15" s="1577">
        <f t="shared" si="4"/>
        <v>0.98039215686274506</v>
      </c>
      <c r="AC15" s="1577">
        <f t="shared" si="5"/>
        <v>1</v>
      </c>
    </row>
    <row r="16" spans="1:29" ht="15">
      <c r="A16" s="533"/>
      <c r="B16" s="870"/>
      <c r="C16" s="577" t="s">
        <v>3122</v>
      </c>
      <c r="D16" s="556"/>
      <c r="E16" s="557" t="s">
        <v>3010</v>
      </c>
      <c r="F16" s="558"/>
      <c r="G16" s="559" t="s">
        <v>3010</v>
      </c>
      <c r="H16" s="560"/>
      <c r="I16" s="557" t="s">
        <v>3122</v>
      </c>
      <c r="J16" s="556"/>
      <c r="K16" s="871"/>
      <c r="L16" s="2142"/>
      <c r="M16" s="2134"/>
      <c r="N16" s="2134"/>
      <c r="O16" s="2141"/>
      <c r="P16" s="3444"/>
      <c r="Q16" s="1573"/>
      <c r="R16" s="1574"/>
      <c r="S16" s="1575"/>
      <c r="T16" s="1574"/>
      <c r="U16" s="1575"/>
      <c r="V16" s="1574"/>
      <c r="W16" s="1575"/>
      <c r="X16" s="1568"/>
      <c r="Y16" s="3444"/>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98</v>
      </c>
      <c r="K17" s="869">
        <v>2</v>
      </c>
      <c r="L17" s="2142"/>
      <c r="M17" s="2134"/>
      <c r="N17" s="2134"/>
      <c r="O17" s="2141"/>
      <c r="P17" s="3444"/>
      <c r="Q17" s="1573" t="str">
        <f>B17</f>
        <v>交通便捷度</v>
      </c>
      <c r="R17" s="1574" t="s">
        <v>11</v>
      </c>
      <c r="S17" s="1575">
        <f>F17</f>
        <v>100</v>
      </c>
      <c r="T17" s="1574" t="s">
        <v>11</v>
      </c>
      <c r="U17" s="1575">
        <f>H17</f>
        <v>100</v>
      </c>
      <c r="V17" s="1574" t="s">
        <v>11</v>
      </c>
      <c r="W17" s="1575">
        <f>J17</f>
        <v>98</v>
      </c>
      <c r="X17" s="1568"/>
      <c r="Y17" s="3444"/>
      <c r="Z17" s="1576" t="str">
        <f>Q17</f>
        <v>交通便捷度</v>
      </c>
      <c r="AA17" s="1577">
        <f t="shared" si="3"/>
        <v>1</v>
      </c>
      <c r="AB17" s="1577">
        <f t="shared" si="4"/>
        <v>1</v>
      </c>
      <c r="AC17" s="1577">
        <f t="shared" si="5"/>
        <v>1.0204081632653061</v>
      </c>
    </row>
    <row r="18" spans="1:29" ht="15">
      <c r="A18" s="533"/>
      <c r="B18" s="596"/>
      <c r="C18" s="874" t="s">
        <v>3010</v>
      </c>
      <c r="D18" s="560"/>
      <c r="E18" s="569" t="s">
        <v>3010</v>
      </c>
      <c r="F18" s="564"/>
      <c r="G18" s="570" t="s">
        <v>3010</v>
      </c>
      <c r="H18" s="556"/>
      <c r="I18" s="569" t="s">
        <v>3122</v>
      </c>
      <c r="J18" s="556"/>
      <c r="K18" s="871"/>
      <c r="L18" s="2142"/>
      <c r="M18" s="2134"/>
      <c r="N18" s="2134"/>
      <c r="O18" s="2141"/>
      <c r="P18" s="3444"/>
      <c r="Q18" s="1573"/>
      <c r="R18" s="1574"/>
      <c r="S18" s="1575"/>
      <c r="T18" s="1574"/>
      <c r="U18" s="1575"/>
      <c r="V18" s="1574"/>
      <c r="W18" s="1575"/>
      <c r="X18" s="1568"/>
      <c r="Y18" s="3444"/>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c r="L19" s="2142"/>
      <c r="M19" s="2134"/>
      <c r="N19" s="2134"/>
      <c r="O19" s="2141"/>
      <c r="P19" s="3444"/>
      <c r="Q19" s="1573" t="str">
        <f>B19</f>
        <v>公共配套设施</v>
      </c>
      <c r="R19" s="1574" t="s">
        <v>11</v>
      </c>
      <c r="S19" s="1575">
        <f>F19</f>
        <v>100</v>
      </c>
      <c r="T19" s="1574" t="s">
        <v>11</v>
      </c>
      <c r="U19" s="1575">
        <f>H19</f>
        <v>100</v>
      </c>
      <c r="V19" s="1574" t="s">
        <v>11</v>
      </c>
      <c r="W19" s="1575">
        <f>J19</f>
        <v>100</v>
      </c>
      <c r="X19" s="1568"/>
      <c r="Y19" s="3444"/>
      <c r="Z19" s="1576" t="str">
        <f>Q19</f>
        <v>公共配套设施</v>
      </c>
      <c r="AA19" s="1577">
        <f t="shared" si="3"/>
        <v>1</v>
      </c>
      <c r="AB19" s="1577">
        <f t="shared" si="4"/>
        <v>1</v>
      </c>
      <c r="AC19" s="1577">
        <f t="shared" si="5"/>
        <v>1</v>
      </c>
    </row>
    <row r="20" spans="1:29" ht="15">
      <c r="A20" s="533"/>
      <c r="B20" s="596"/>
      <c r="C20" s="577" t="s">
        <v>3010</v>
      </c>
      <c r="D20" s="556"/>
      <c r="E20" s="557" t="s">
        <v>3010</v>
      </c>
      <c r="F20" s="558"/>
      <c r="G20" s="559" t="s">
        <v>3010</v>
      </c>
      <c r="H20" s="556"/>
      <c r="I20" s="557" t="s">
        <v>3010</v>
      </c>
      <c r="J20" s="556"/>
      <c r="K20" s="871"/>
      <c r="L20" s="2142"/>
      <c r="M20" s="2134"/>
      <c r="N20" s="2134"/>
      <c r="O20" s="2141"/>
      <c r="P20" s="3444"/>
      <c r="Q20" s="1573"/>
      <c r="R20" s="1574"/>
      <c r="S20" s="1575"/>
      <c r="T20" s="1574"/>
      <c r="U20" s="1575"/>
      <c r="V20" s="1574"/>
      <c r="W20" s="1575"/>
      <c r="X20" s="1568"/>
      <c r="Y20" s="3444"/>
      <c r="Z20" s="1576"/>
      <c r="AA20" s="1577">
        <v>1</v>
      </c>
      <c r="AB20" s="1577">
        <v>1</v>
      </c>
      <c r="AC20" s="1577">
        <v>1</v>
      </c>
    </row>
    <row r="21" spans="1:29" ht="15">
      <c r="A21" s="533"/>
      <c r="B21" s="2617" t="s">
        <v>2562</v>
      </c>
      <c r="C21" s="873" t="str">
        <f>估价对象房地状况!C8</f>
        <v>七通一平</v>
      </c>
      <c r="D21" s="566">
        <v>100</v>
      </c>
      <c r="E21" s="3188" t="s">
        <v>3133</v>
      </c>
      <c r="F21" s="572">
        <f>SUMIF(82:82,E22,83:83)-SUMIF(82:82,C22,83:83)+100</f>
        <v>100</v>
      </c>
      <c r="G21" s="3188" t="s">
        <v>3133</v>
      </c>
      <c r="H21" s="566">
        <f>SUMIF(82:82,G22,83:83)-SUMIF(82:82,C22,83:83)+100</f>
        <v>100</v>
      </c>
      <c r="I21" s="3188" t="s">
        <v>3133</v>
      </c>
      <c r="J21" s="566">
        <f>SUMIF(82:82,I22,83:83)-SUMIF(82:82,C22,83:83)+100</f>
        <v>100</v>
      </c>
      <c r="K21" s="869"/>
      <c r="L21" s="2142"/>
      <c r="M21" s="2134"/>
      <c r="N21" s="2134"/>
      <c r="O21" s="2141"/>
      <c r="P21" s="3444"/>
      <c r="Q21" s="2603" t="str">
        <f>B21</f>
        <v>基础设施水平</v>
      </c>
      <c r="R21" s="1574" t="s">
        <v>11</v>
      </c>
      <c r="S21" s="1575">
        <f>F21</f>
        <v>100</v>
      </c>
      <c r="T21" s="1574" t="s">
        <v>11</v>
      </c>
      <c r="U21" s="1575">
        <f>H21</f>
        <v>100</v>
      </c>
      <c r="V21" s="1574" t="s">
        <v>11</v>
      </c>
      <c r="W21" s="1575">
        <f>J21</f>
        <v>100</v>
      </c>
      <c r="X21" s="2605"/>
      <c r="Y21" s="3444"/>
      <c r="Z21" s="2604" t="str">
        <f>Q21</f>
        <v>基础设施水平</v>
      </c>
      <c r="AA21" s="1577">
        <f t="shared" ref="AA21" si="8">D21/F21</f>
        <v>1</v>
      </c>
      <c r="AB21" s="1577">
        <f t="shared" ref="AB21" si="9">D21/H21</f>
        <v>1</v>
      </c>
      <c r="AC21" s="1577">
        <f t="shared" ref="AC21" si="10">D21/J21</f>
        <v>1</v>
      </c>
    </row>
    <row r="22" spans="1:29" ht="15">
      <c r="A22" s="533"/>
      <c r="B22" s="923"/>
      <c r="C22" s="874" t="s">
        <v>3134</v>
      </c>
      <c r="D22" s="556"/>
      <c r="E22" s="577" t="s">
        <v>3134</v>
      </c>
      <c r="F22" s="558"/>
      <c r="G22" s="577" t="s">
        <v>3134</v>
      </c>
      <c r="H22" s="556"/>
      <c r="I22" s="577" t="s">
        <v>3134</v>
      </c>
      <c r="J22" s="556"/>
      <c r="K22" s="2623"/>
      <c r="L22" s="2142"/>
      <c r="M22" s="2134"/>
      <c r="N22" s="2134"/>
      <c r="O22" s="2141"/>
      <c r="P22" s="3444"/>
      <c r="Q22" s="2603"/>
      <c r="R22" s="1574"/>
      <c r="S22" s="1575"/>
      <c r="T22" s="1574"/>
      <c r="U22" s="1575"/>
      <c r="V22" s="1574"/>
      <c r="W22" s="1575"/>
      <c r="X22" s="2605"/>
      <c r="Y22" s="3444"/>
      <c r="Z22" s="2604"/>
      <c r="AA22" s="1577">
        <v>1</v>
      </c>
      <c r="AB22" s="1577">
        <v>1</v>
      </c>
      <c r="AC22" s="1577">
        <v>1</v>
      </c>
    </row>
    <row r="23" spans="1:29" ht="57">
      <c r="A23" s="533"/>
      <c r="B23" s="872" t="s">
        <v>297</v>
      </c>
      <c r="C23" s="873" t="str">
        <f>估价对象房地状况!C9</f>
        <v>区域内无特殊自然环境及大学，综合评价环境状况一般</v>
      </c>
      <c r="D23" s="560">
        <v>100</v>
      </c>
      <c r="E23" s="3181" t="s">
        <v>3130</v>
      </c>
      <c r="F23" s="564">
        <f>SUMIF(84:84,E24,85:85)-SUMIF(84:84,C24,85:85)+100</f>
        <v>100</v>
      </c>
      <c r="G23" s="3180" t="s">
        <v>3130</v>
      </c>
      <c r="H23" s="560">
        <f>SUMIF(84:84,G24,85:85)-SUMIF(84:84,C24,85:85)+100</f>
        <v>100</v>
      </c>
      <c r="I23" s="3181" t="s">
        <v>3130</v>
      </c>
      <c r="J23" s="560">
        <f>SUMIF(84:84,I24,85:85)-SUMIF(84:84,C24,85:85)+100</f>
        <v>100</v>
      </c>
      <c r="K23" s="869"/>
      <c r="L23" s="2142"/>
      <c r="M23" s="2134"/>
      <c r="N23" s="2134"/>
      <c r="O23" s="2141"/>
      <c r="P23" s="3444"/>
      <c r="Q23" s="1573" t="str">
        <f>B23</f>
        <v>自然及人文环境</v>
      </c>
      <c r="R23" s="1574" t="s">
        <v>11</v>
      </c>
      <c r="S23" s="1575">
        <f>F23</f>
        <v>100</v>
      </c>
      <c r="T23" s="1574" t="s">
        <v>11</v>
      </c>
      <c r="U23" s="1575">
        <f>H23</f>
        <v>100</v>
      </c>
      <c r="V23" s="1574" t="s">
        <v>11</v>
      </c>
      <c r="W23" s="1575">
        <f>J23</f>
        <v>100</v>
      </c>
      <c r="X23" s="1568"/>
      <c r="Y23" s="3444"/>
      <c r="Z23" s="1576" t="str">
        <f>Q23</f>
        <v>自然及人文环境</v>
      </c>
      <c r="AA23" s="1577">
        <f t="shared" si="3"/>
        <v>1</v>
      </c>
      <c r="AB23" s="1577">
        <f t="shared" si="4"/>
        <v>1</v>
      </c>
      <c r="AC23" s="1577">
        <f t="shared" si="5"/>
        <v>1</v>
      </c>
    </row>
    <row r="24" spans="1:29" ht="15">
      <c r="A24" s="533"/>
      <c r="B24" s="596"/>
      <c r="C24" s="577" t="s">
        <v>3122</v>
      </c>
      <c r="D24" s="556"/>
      <c r="E24" s="557" t="s">
        <v>3122</v>
      </c>
      <c r="F24" s="558"/>
      <c r="G24" s="559" t="s">
        <v>3122</v>
      </c>
      <c r="H24" s="556"/>
      <c r="I24" s="557" t="s">
        <v>3122</v>
      </c>
      <c r="J24" s="556"/>
      <c r="K24" s="871"/>
      <c r="L24" s="2142"/>
      <c r="M24" s="2134"/>
      <c r="N24" s="2134"/>
      <c r="O24" s="2141"/>
      <c r="P24" s="3444"/>
      <c r="Q24" s="1573"/>
      <c r="R24" s="1574"/>
      <c r="S24" s="1575"/>
      <c r="T24" s="1574"/>
      <c r="U24" s="1575"/>
      <c r="V24" s="1574"/>
      <c r="W24" s="1575"/>
      <c r="X24" s="1568"/>
      <c r="Y24" s="3444"/>
      <c r="Z24" s="1576"/>
      <c r="AA24" s="1577">
        <v>1</v>
      </c>
      <c r="AB24" s="1577">
        <v>1</v>
      </c>
      <c r="AC24" s="1577">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44"/>
      <c r="Q25" s="1573" t="str">
        <f t="shared" ref="Q25:Q46" si="11">B25</f>
        <v>楼层-1</v>
      </c>
      <c r="R25" s="1574" t="s">
        <v>11</v>
      </c>
      <c r="S25" s="1575">
        <f>F25</f>
        <v>100</v>
      </c>
      <c r="T25" s="1574" t="s">
        <v>11</v>
      </c>
      <c r="U25" s="1575">
        <f>H25</f>
        <v>100</v>
      </c>
      <c r="V25" s="1574" t="s">
        <v>11</v>
      </c>
      <c r="W25" s="1575">
        <f>J25</f>
        <v>100</v>
      </c>
      <c r="X25" s="1568"/>
      <c r="Y25" s="3444"/>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44"/>
      <c r="Q26" s="1573" t="str">
        <f t="shared" si="11"/>
        <v>朝向</v>
      </c>
      <c r="R26" s="1574" t="s">
        <v>11</v>
      </c>
      <c r="S26" s="1575">
        <f>F26</f>
        <v>100</v>
      </c>
      <c r="T26" s="1574" t="s">
        <v>11</v>
      </c>
      <c r="U26" s="1575">
        <f>H26</f>
        <v>100</v>
      </c>
      <c r="V26" s="1574" t="s">
        <v>11</v>
      </c>
      <c r="W26" s="1575">
        <f>J26</f>
        <v>100</v>
      </c>
      <c r="X26" s="1568"/>
      <c r="Y26" s="3444"/>
      <c r="Z26" s="1576" t="str">
        <f>Q26</f>
        <v>朝向</v>
      </c>
      <c r="AA26" s="1577">
        <f t="shared" si="3"/>
        <v>1</v>
      </c>
      <c r="AB26" s="1577">
        <f t="shared" si="4"/>
        <v>1</v>
      </c>
      <c r="AC26" s="1577">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44"/>
      <c r="Q27" s="1152" t="str">
        <f t="shared" si="11"/>
        <v>道路级别</v>
      </c>
      <c r="R27" s="1569" t="s">
        <v>11</v>
      </c>
      <c r="S27" s="1570">
        <f>F27</f>
        <v>100</v>
      </c>
      <c r="T27" s="1569" t="s">
        <v>11</v>
      </c>
      <c r="U27" s="1570">
        <f>H27</f>
        <v>100</v>
      </c>
      <c r="V27" s="1569" t="s">
        <v>11</v>
      </c>
      <c r="W27" s="1570">
        <f>J27</f>
        <v>100</v>
      </c>
      <c r="X27" s="1571"/>
      <c r="Y27" s="3444"/>
      <c r="Z27" s="1151" t="str">
        <f>Q27</f>
        <v>道路级别</v>
      </c>
      <c r="AA27" s="1577">
        <f>D27/F27</f>
        <v>1</v>
      </c>
      <c r="AB27" s="1577">
        <f>D27/H27</f>
        <v>1</v>
      </c>
      <c r="AC27" s="1577">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4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4"/>
      <c r="Z28" s="1576">
        <f t="shared" ref="Z28:Z46" si="15">Q28</f>
        <v>111</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44"/>
      <c r="Q29" s="1573">
        <f t="shared" si="11"/>
        <v>111</v>
      </c>
      <c r="R29" s="1574" t="s">
        <v>11</v>
      </c>
      <c r="S29" s="1575">
        <f t="shared" si="12"/>
        <v>100</v>
      </c>
      <c r="T29" s="1574" t="s">
        <v>11</v>
      </c>
      <c r="U29" s="1575">
        <f t="shared" si="13"/>
        <v>100</v>
      </c>
      <c r="V29" s="1574" t="s">
        <v>11</v>
      </c>
      <c r="W29" s="1575">
        <f t="shared" si="14"/>
        <v>100</v>
      </c>
      <c r="X29" s="1568"/>
      <c r="Y29" s="3444"/>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44"/>
      <c r="Q30" s="1573">
        <f t="shared" si="11"/>
        <v>111</v>
      </c>
      <c r="R30" s="1574" t="s">
        <v>11</v>
      </c>
      <c r="S30" s="1575">
        <f t="shared" si="12"/>
        <v>100</v>
      </c>
      <c r="T30" s="1574" t="s">
        <v>11</v>
      </c>
      <c r="U30" s="1575">
        <f t="shared" si="13"/>
        <v>100</v>
      </c>
      <c r="V30" s="1574" t="s">
        <v>11</v>
      </c>
      <c r="W30" s="1575">
        <f t="shared" si="14"/>
        <v>100</v>
      </c>
      <c r="X30" s="1568"/>
      <c r="Y30" s="3444"/>
      <c r="Z30" s="1576">
        <f t="shared" si="15"/>
        <v>111</v>
      </c>
      <c r="AA30" s="1577">
        <f t="shared" si="3"/>
        <v>1</v>
      </c>
      <c r="AB30" s="1577">
        <f t="shared" si="4"/>
        <v>1</v>
      </c>
      <c r="AC30" s="1577">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44"/>
      <c r="Q31" s="1573">
        <f t="shared" si="11"/>
        <v>111</v>
      </c>
      <c r="R31" s="1574" t="s">
        <v>11</v>
      </c>
      <c r="S31" s="1575">
        <f t="shared" si="12"/>
        <v>100</v>
      </c>
      <c r="T31" s="1574" t="s">
        <v>11</v>
      </c>
      <c r="U31" s="1575">
        <f t="shared" si="13"/>
        <v>100</v>
      </c>
      <c r="V31" s="1574" t="s">
        <v>11</v>
      </c>
      <c r="W31" s="1575">
        <f t="shared" si="14"/>
        <v>100</v>
      </c>
      <c r="X31" s="1568"/>
      <c r="Y31" s="3444"/>
      <c r="Z31" s="1576">
        <f t="shared" si="15"/>
        <v>111</v>
      </c>
      <c r="AA31" s="1577">
        <f t="shared" si="3"/>
        <v>1</v>
      </c>
      <c r="AB31" s="1577">
        <f t="shared" si="4"/>
        <v>1</v>
      </c>
      <c r="AC31" s="1577">
        <f t="shared" si="5"/>
        <v>1</v>
      </c>
    </row>
    <row r="32" spans="1:29" ht="15">
      <c r="A32" s="2933" t="s">
        <v>2761</v>
      </c>
      <c r="B32" s="171" t="s">
        <v>726</v>
      </c>
      <c r="C32" s="879" t="s">
        <v>3094</v>
      </c>
      <c r="D32" s="598">
        <v>100</v>
      </c>
      <c r="E32" s="880" t="s">
        <v>3189</v>
      </c>
      <c r="F32" s="576">
        <f>SUMIF(100:100,E32,101:101)-SUMIF(100:100,C32,101:101)+100</f>
        <v>98</v>
      </c>
      <c r="G32" s="879" t="s">
        <v>3189</v>
      </c>
      <c r="H32" s="598">
        <f>SUMIF(100:100,G32,101:101)-SUMIF(100:100,C32,101:101)+100</f>
        <v>98</v>
      </c>
      <c r="I32" s="880" t="s">
        <v>3189</v>
      </c>
      <c r="J32" s="541">
        <f>SUMIF(100:100,I32,101:101)-SUMIF(100:100,C32,101:101)+100</f>
        <v>98</v>
      </c>
      <c r="K32" s="865">
        <v>2</v>
      </c>
      <c r="L32" s="2142"/>
      <c r="M32" s="2134"/>
      <c r="N32" s="2134"/>
      <c r="O32" s="2141"/>
      <c r="P32" s="3445" t="s">
        <v>551</v>
      </c>
      <c r="Q32" s="1573" t="str">
        <f t="shared" si="11"/>
        <v>建筑类型</v>
      </c>
      <c r="R32" s="1574" t="s">
        <v>11</v>
      </c>
      <c r="S32" s="1575">
        <f t="shared" si="12"/>
        <v>98</v>
      </c>
      <c r="T32" s="1574" t="s">
        <v>11</v>
      </c>
      <c r="U32" s="1575">
        <f t="shared" si="13"/>
        <v>98</v>
      </c>
      <c r="V32" s="1574" t="s">
        <v>11</v>
      </c>
      <c r="W32" s="1575">
        <f t="shared" si="14"/>
        <v>98</v>
      </c>
      <c r="X32" s="1568"/>
      <c r="Y32" s="3446" t="s">
        <v>551</v>
      </c>
      <c r="Z32" s="1576" t="str">
        <f t="shared" si="15"/>
        <v>建筑类型</v>
      </c>
      <c r="AA32" s="1577">
        <f t="shared" si="3"/>
        <v>1.0204081632653061</v>
      </c>
      <c r="AB32" s="1577">
        <f t="shared" si="4"/>
        <v>1.0204081632653061</v>
      </c>
      <c r="AC32" s="1577">
        <f t="shared" si="5"/>
        <v>1.0204081632653061</v>
      </c>
    </row>
    <row r="33" spans="1:29" s="1340" customFormat="1" ht="15">
      <c r="A33" s="604"/>
      <c r="B33" s="528" t="s">
        <v>727</v>
      </c>
      <c r="C33" s="881">
        <f>'数据-基础表'!B3</f>
        <v>294706.12</v>
      </c>
      <c r="D33" s="253">
        <v>100</v>
      </c>
      <c r="E33" s="535">
        <f>Sheet2!C1</f>
        <v>265000</v>
      </c>
      <c r="F33" s="864">
        <f>LOOKUP(E33,103:103,104:104)-LOOKUP(C33,103:103,104:104)+100</f>
        <v>100</v>
      </c>
      <c r="G33" s="534">
        <f>Sheet2!C2</f>
        <v>260000</v>
      </c>
      <c r="H33" s="253">
        <f>LOOKUP(G33,103:103,104:104)-LOOKUP(C33,103:103,104:104)+100</f>
        <v>100</v>
      </c>
      <c r="I33" s="535">
        <f>Sheet2!C3</f>
        <v>133777</v>
      </c>
      <c r="J33" s="253">
        <f>LOOKUP(I33,103:103,104:104)-LOOKUP(C33,103:103,104:104)+100</f>
        <v>96</v>
      </c>
      <c r="K33" s="866"/>
      <c r="L33" s="2140"/>
      <c r="M33" s="2171"/>
      <c r="N33" s="2171"/>
      <c r="O33" s="2143"/>
      <c r="P33" s="3446"/>
      <c r="Q33" s="1606" t="str">
        <f t="shared" si="11"/>
        <v>项目建筑规模</v>
      </c>
      <c r="R33" s="1578" t="s">
        <v>11</v>
      </c>
      <c r="S33" s="1579">
        <f t="shared" si="12"/>
        <v>100</v>
      </c>
      <c r="T33" s="1578" t="s">
        <v>11</v>
      </c>
      <c r="U33" s="1579">
        <f t="shared" si="13"/>
        <v>100</v>
      </c>
      <c r="V33" s="1578" t="s">
        <v>11</v>
      </c>
      <c r="W33" s="1579">
        <f t="shared" si="14"/>
        <v>96</v>
      </c>
      <c r="X33" s="1580"/>
      <c r="Y33" s="3446"/>
      <c r="Z33" s="1581" t="str">
        <f t="shared" si="15"/>
        <v>项目建筑规模</v>
      </c>
      <c r="AA33" s="1577">
        <f t="shared" si="3"/>
        <v>1</v>
      </c>
      <c r="AB33" s="1577">
        <f t="shared" si="4"/>
        <v>1</v>
      </c>
      <c r="AC33" s="1577">
        <f t="shared" si="5"/>
        <v>1.0416666666666667</v>
      </c>
    </row>
    <row r="34" spans="1:29" ht="15">
      <c r="A34" s="595"/>
      <c r="B34" s="528" t="s">
        <v>728</v>
      </c>
      <c r="C34" s="882" t="s">
        <v>2991</v>
      </c>
      <c r="D34" s="541">
        <v>100</v>
      </c>
      <c r="E34" s="883" t="s">
        <v>2991</v>
      </c>
      <c r="F34" s="576">
        <f>SUMIF(105:105,E34,106:106)-SUMIF(105:105,C34,106:106)+100</f>
        <v>100</v>
      </c>
      <c r="G34" s="882" t="s">
        <v>2991</v>
      </c>
      <c r="H34" s="541">
        <f>SUMIF(105:105,G34,106:106)-SUMIF(105:105,C34,106:106)+100</f>
        <v>100</v>
      </c>
      <c r="I34" s="883" t="s">
        <v>2991</v>
      </c>
      <c r="J34" s="541">
        <f>SUMIF(105:105,I34,106:106)-SUMIF(105:105,C34,106:106)+100</f>
        <v>100</v>
      </c>
      <c r="K34" s="865"/>
      <c r="L34" s="2142"/>
      <c r="M34" s="2134"/>
      <c r="N34" s="2134"/>
      <c r="O34" s="2141"/>
      <c r="P34" s="3446"/>
      <c r="Q34" s="1573" t="str">
        <f t="shared" si="11"/>
        <v>建筑结构</v>
      </c>
      <c r="R34" s="1574" t="s">
        <v>11</v>
      </c>
      <c r="S34" s="1575">
        <f t="shared" si="12"/>
        <v>100</v>
      </c>
      <c r="T34" s="1574" t="s">
        <v>11</v>
      </c>
      <c r="U34" s="1575">
        <f t="shared" si="13"/>
        <v>100</v>
      </c>
      <c r="V34" s="1574" t="s">
        <v>11</v>
      </c>
      <c r="W34" s="1575">
        <f t="shared" si="14"/>
        <v>100</v>
      </c>
      <c r="X34" s="1568"/>
      <c r="Y34" s="3446"/>
      <c r="Z34" s="1576" t="str">
        <f t="shared" si="15"/>
        <v>建筑结构</v>
      </c>
      <c r="AA34" s="1577">
        <f t="shared" si="3"/>
        <v>1</v>
      </c>
      <c r="AB34" s="1577">
        <f t="shared" si="4"/>
        <v>1</v>
      </c>
      <c r="AC34" s="1577">
        <f t="shared" si="5"/>
        <v>1</v>
      </c>
    </row>
    <row r="35" spans="1:29" ht="15">
      <c r="A35" s="595"/>
      <c r="B35" s="528" t="s">
        <v>729</v>
      </c>
      <c r="C35" s="600" t="s">
        <v>3010</v>
      </c>
      <c r="D35" s="541">
        <v>100</v>
      </c>
      <c r="E35" s="875" t="s">
        <v>3010</v>
      </c>
      <c r="F35" s="576">
        <f>SUMIF(107:107,E35,108:108)-SUMIF(107:107,C35,108:108)+100</f>
        <v>100</v>
      </c>
      <c r="G35" s="600" t="s">
        <v>3010</v>
      </c>
      <c r="H35" s="541">
        <f>SUMIF(107:107,G35,108:108)-SUMIF(107:107,C35,108:108)+100</f>
        <v>100</v>
      </c>
      <c r="I35" s="875" t="s">
        <v>3010</v>
      </c>
      <c r="J35" s="541">
        <f>SUMIF(107:107,I35,108:108)-SUMIF(107:107,C35,108:108)+100</f>
        <v>100</v>
      </c>
      <c r="K35" s="865"/>
      <c r="L35" s="2142"/>
      <c r="M35" s="2134"/>
      <c r="N35" s="2134"/>
      <c r="O35" s="2141"/>
      <c r="P35" s="3446"/>
      <c r="Q35" s="1573" t="str">
        <f t="shared" si="11"/>
        <v>建筑品质</v>
      </c>
      <c r="R35" s="1574" t="s">
        <v>11</v>
      </c>
      <c r="S35" s="1575">
        <f t="shared" si="12"/>
        <v>100</v>
      </c>
      <c r="T35" s="1574" t="s">
        <v>11</v>
      </c>
      <c r="U35" s="1575">
        <f t="shared" si="13"/>
        <v>100</v>
      </c>
      <c r="V35" s="1574" t="s">
        <v>11</v>
      </c>
      <c r="W35" s="1575">
        <f t="shared" si="14"/>
        <v>100</v>
      </c>
      <c r="X35" s="1568"/>
      <c r="Y35" s="3446"/>
      <c r="Z35" s="1576" t="str">
        <f t="shared" si="15"/>
        <v>建筑品质</v>
      </c>
      <c r="AA35" s="1577">
        <f t="shared" si="3"/>
        <v>1</v>
      </c>
      <c r="AB35" s="1577">
        <f t="shared" si="4"/>
        <v>1</v>
      </c>
      <c r="AC35" s="1577">
        <f t="shared" si="5"/>
        <v>1</v>
      </c>
    </row>
    <row r="36" spans="1:29" ht="15">
      <c r="A36" s="595"/>
      <c r="B36" s="528" t="s">
        <v>730</v>
      </c>
      <c r="C36" s="3215" t="s">
        <v>3139</v>
      </c>
      <c r="D36" s="541">
        <v>100</v>
      </c>
      <c r="E36" s="3216" t="s">
        <v>3143</v>
      </c>
      <c r="F36" s="576">
        <f>SUMIF(109:109,E36,110:110)-SUMIF(109:109,C36,110:110)+100</f>
        <v>100</v>
      </c>
      <c r="G36" s="3215" t="s">
        <v>3139</v>
      </c>
      <c r="H36" s="541">
        <f>SUMIF(109:109,G36,110:110)-SUMIF(109:109,C36,110:110)+100</f>
        <v>100</v>
      </c>
      <c r="I36" s="3216" t="s">
        <v>3143</v>
      </c>
      <c r="J36" s="541">
        <f>SUMIF(109:109,I36,110:110)-SUMIF(109:109,C36,110:110)+100</f>
        <v>100</v>
      </c>
      <c r="K36" s="865"/>
      <c r="L36" s="2142"/>
      <c r="M36" s="2134"/>
      <c r="N36" s="2134"/>
      <c r="O36" s="2141"/>
      <c r="P36" s="3446"/>
      <c r="Q36" s="1573" t="str">
        <f t="shared" si="11"/>
        <v>公共部分装修</v>
      </c>
      <c r="R36" s="1574" t="s">
        <v>11</v>
      </c>
      <c r="S36" s="1575">
        <f t="shared" si="12"/>
        <v>100</v>
      </c>
      <c r="T36" s="1574" t="s">
        <v>11</v>
      </c>
      <c r="U36" s="1575">
        <f t="shared" si="13"/>
        <v>100</v>
      </c>
      <c r="V36" s="1574" t="s">
        <v>11</v>
      </c>
      <c r="W36" s="1575">
        <f t="shared" si="14"/>
        <v>100</v>
      </c>
      <c r="X36" s="1568"/>
      <c r="Y36" s="3446"/>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5"/>
      <c r="M37" s="2136"/>
      <c r="N37" s="2136"/>
      <c r="O37" s="2137"/>
      <c r="P37" s="3446"/>
      <c r="Q37" s="1152" t="str">
        <f t="shared" si="11"/>
        <v>成新度</v>
      </c>
      <c r="R37" s="1569" t="s">
        <v>11</v>
      </c>
      <c r="S37" s="1570">
        <f t="shared" si="12"/>
        <v>100</v>
      </c>
      <c r="T37" s="1569" t="s">
        <v>11</v>
      </c>
      <c r="U37" s="1570">
        <f t="shared" si="13"/>
        <v>100</v>
      </c>
      <c r="V37" s="1569" t="s">
        <v>11</v>
      </c>
      <c r="W37" s="1570">
        <f t="shared" si="14"/>
        <v>100</v>
      </c>
      <c r="X37" s="1571"/>
      <c r="Y37" s="3446"/>
      <c r="Z37" s="1151" t="str">
        <f t="shared" si="15"/>
        <v>成新度</v>
      </c>
      <c r="AA37" s="1572">
        <f t="shared" si="3"/>
        <v>1</v>
      </c>
      <c r="AB37" s="1572">
        <f t="shared" si="4"/>
        <v>1</v>
      </c>
      <c r="AC37" s="1572">
        <f t="shared" si="5"/>
        <v>1</v>
      </c>
    </row>
    <row r="38" spans="1:29" ht="15">
      <c r="A38" s="595"/>
      <c r="B38" s="528" t="s">
        <v>732</v>
      </c>
      <c r="C38" s="3215" t="s">
        <v>3140</v>
      </c>
      <c r="D38" s="541">
        <v>100</v>
      </c>
      <c r="E38" s="3216" t="s">
        <v>3144</v>
      </c>
      <c r="F38" s="576">
        <f>SUMIF(114:114,E38,115:115)-SUMIF(114:114,C38,115:115)+100</f>
        <v>100</v>
      </c>
      <c r="G38" s="3215" t="s">
        <v>3140</v>
      </c>
      <c r="H38" s="541">
        <f>SUMIF(114:114,G38,115:115)-SUMIF(114:114,C38,115:115)+100</f>
        <v>100</v>
      </c>
      <c r="I38" s="3216" t="s">
        <v>3140</v>
      </c>
      <c r="J38" s="541">
        <f>SUMIF(114:114,I38,115:115)-SUMIF(114:114,C38,115:115)+100</f>
        <v>100</v>
      </c>
      <c r="K38" s="865"/>
      <c r="L38" s="2142"/>
      <c r="M38" s="2134"/>
      <c r="N38" s="2134"/>
      <c r="O38" s="2141"/>
      <c r="P38" s="3446" t="s">
        <v>551</v>
      </c>
      <c r="Q38" s="1573" t="str">
        <f t="shared" si="11"/>
        <v>物业管理</v>
      </c>
      <c r="R38" s="1574" t="s">
        <v>11</v>
      </c>
      <c r="S38" s="1575">
        <f t="shared" si="12"/>
        <v>100</v>
      </c>
      <c r="T38" s="1574" t="s">
        <v>11</v>
      </c>
      <c r="U38" s="1575">
        <f t="shared" si="13"/>
        <v>100</v>
      </c>
      <c r="V38" s="1574" t="s">
        <v>11</v>
      </c>
      <c r="W38" s="1575">
        <f t="shared" si="14"/>
        <v>100</v>
      </c>
      <c r="X38" s="1568"/>
      <c r="Y38" s="3446" t="s">
        <v>551</v>
      </c>
      <c r="Z38" s="1576" t="str">
        <f t="shared" si="15"/>
        <v>物业管理</v>
      </c>
      <c r="AA38" s="1577">
        <f t="shared" si="3"/>
        <v>1</v>
      </c>
      <c r="AB38" s="1577">
        <f t="shared" si="4"/>
        <v>1</v>
      </c>
      <c r="AC38" s="1577">
        <f t="shared" si="5"/>
        <v>1</v>
      </c>
    </row>
    <row r="39" spans="1:29" ht="15">
      <c r="A39" s="595"/>
      <c r="B39" s="1895" t="s">
        <v>2568</v>
      </c>
      <c r="C39" s="3215" t="s">
        <v>3131</v>
      </c>
      <c r="D39" s="541">
        <v>100</v>
      </c>
      <c r="E39" s="3216" t="s">
        <v>3131</v>
      </c>
      <c r="F39" s="576">
        <f>SUMIF(116:116,E39,117:117)-SUMIF(116:116,C39,117:117)+100</f>
        <v>100</v>
      </c>
      <c r="G39" s="3215" t="s">
        <v>3131</v>
      </c>
      <c r="H39" s="541">
        <f>SUMIF(116:116,G39,117:117)-SUMIF(116:116,C39,117:117)+100</f>
        <v>100</v>
      </c>
      <c r="I39" s="875" t="s">
        <v>3131</v>
      </c>
      <c r="J39" s="541">
        <f>SUMIF(116:116,I39,117:117)-SUMIF(116:116,C39,117:117)+100</f>
        <v>100</v>
      </c>
      <c r="K39" s="865"/>
      <c r="L39" s="2142"/>
      <c r="M39" s="2134"/>
      <c r="N39" s="2134"/>
      <c r="O39" s="2141"/>
      <c r="P39" s="3446"/>
      <c r="Q39" s="1573" t="str">
        <f t="shared" si="11"/>
        <v>市政基础设施</v>
      </c>
      <c r="R39" s="1574" t="s">
        <v>11</v>
      </c>
      <c r="S39" s="1575">
        <f t="shared" si="12"/>
        <v>100</v>
      </c>
      <c r="T39" s="1574" t="s">
        <v>11</v>
      </c>
      <c r="U39" s="1575">
        <f t="shared" si="13"/>
        <v>100</v>
      </c>
      <c r="V39" s="1574" t="s">
        <v>11</v>
      </c>
      <c r="W39" s="1575">
        <f t="shared" si="14"/>
        <v>100</v>
      </c>
      <c r="X39" s="1568"/>
      <c r="Y39" s="3446"/>
      <c r="Z39" s="1576" t="str">
        <f t="shared" si="15"/>
        <v>市政基础设施</v>
      </c>
      <c r="AA39" s="1577">
        <f t="shared" si="3"/>
        <v>1</v>
      </c>
      <c r="AB39" s="1577">
        <f t="shared" si="4"/>
        <v>1</v>
      </c>
      <c r="AC39" s="1577">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46"/>
      <c r="Q40" s="1573" t="str">
        <f t="shared" si="11"/>
        <v>房型</v>
      </c>
      <c r="R40" s="1574" t="s">
        <v>11</v>
      </c>
      <c r="S40" s="1575">
        <f t="shared" si="12"/>
        <v>100</v>
      </c>
      <c r="T40" s="1574" t="s">
        <v>11</v>
      </c>
      <c r="U40" s="1575">
        <f t="shared" si="13"/>
        <v>100</v>
      </c>
      <c r="V40" s="1574" t="s">
        <v>11</v>
      </c>
      <c r="W40" s="1575">
        <f t="shared" si="14"/>
        <v>100</v>
      </c>
      <c r="X40" s="1568"/>
      <c r="Y40" s="3446"/>
      <c r="Z40" s="1576" t="str">
        <f t="shared" si="15"/>
        <v>房型</v>
      </c>
      <c r="AA40" s="1577">
        <f t="shared" si="3"/>
        <v>1</v>
      </c>
      <c r="AB40" s="1577">
        <f t="shared" si="4"/>
        <v>1</v>
      </c>
      <c r="AC40" s="1577">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46"/>
      <c r="Q41" s="1606" t="str">
        <f t="shared" si="11"/>
        <v>单套/主力户型建筑面积</v>
      </c>
      <c r="R41" s="1578" t="s">
        <v>11</v>
      </c>
      <c r="S41" s="1579">
        <f t="shared" si="12"/>
        <v>100</v>
      </c>
      <c r="T41" s="1578" t="s">
        <v>11</v>
      </c>
      <c r="U41" s="1579">
        <f t="shared" si="13"/>
        <v>100</v>
      </c>
      <c r="V41" s="1578" t="s">
        <v>11</v>
      </c>
      <c r="W41" s="1579">
        <f t="shared" si="14"/>
        <v>100</v>
      </c>
      <c r="X41" s="1580"/>
      <c r="Y41" s="3446"/>
      <c r="Z41" s="1581" t="str">
        <f t="shared" si="15"/>
        <v>单套/主力户型建筑面积</v>
      </c>
      <c r="AA41" s="1577">
        <f t="shared" si="3"/>
        <v>1</v>
      </c>
      <c r="AB41" s="1577">
        <f t="shared" si="4"/>
        <v>1</v>
      </c>
      <c r="AC41" s="1577">
        <f t="shared" si="5"/>
        <v>1</v>
      </c>
    </row>
    <row r="42" spans="1:29" ht="15">
      <c r="A42" s="595"/>
      <c r="B42" s="528" t="s">
        <v>735</v>
      </c>
      <c r="C42" s="3215" t="s">
        <v>3145</v>
      </c>
      <c r="D42" s="541">
        <v>100</v>
      </c>
      <c r="E42" s="3216" t="s">
        <v>3142</v>
      </c>
      <c r="F42" s="576">
        <f>SUMIF(122:122,E42,123:123)-SUMIF(122:122,C42,123:123)+100</f>
        <v>100</v>
      </c>
      <c r="G42" s="3215" t="s">
        <v>3142</v>
      </c>
      <c r="H42" s="541">
        <f>SUMIF(122:122,G42,123:123)-SUMIF(122:122,C42,123:123)+100</f>
        <v>100</v>
      </c>
      <c r="I42" s="3216" t="s">
        <v>3142</v>
      </c>
      <c r="J42" s="541">
        <f>SUMIF(122:122,I42,123:123)-SUMIF(122:122,C42,123:123)+100</f>
        <v>100</v>
      </c>
      <c r="K42" s="865">
        <v>2</v>
      </c>
      <c r="L42" s="2142"/>
      <c r="M42" s="2134"/>
      <c r="N42" s="2134"/>
      <c r="O42" s="2141"/>
      <c r="P42" s="3446"/>
      <c r="Q42" s="1573" t="str">
        <f t="shared" si="11"/>
        <v>内部装修</v>
      </c>
      <c r="R42" s="1574" t="s">
        <v>11</v>
      </c>
      <c r="S42" s="1575">
        <f t="shared" si="12"/>
        <v>100</v>
      </c>
      <c r="T42" s="1574" t="s">
        <v>11</v>
      </c>
      <c r="U42" s="1575">
        <f t="shared" si="13"/>
        <v>100</v>
      </c>
      <c r="V42" s="1574" t="s">
        <v>11</v>
      </c>
      <c r="W42" s="1575">
        <f t="shared" si="14"/>
        <v>100</v>
      </c>
      <c r="X42" s="1568"/>
      <c r="Y42" s="3446"/>
      <c r="Z42" s="1576" t="str">
        <f t="shared" si="15"/>
        <v>内部装修</v>
      </c>
      <c r="AA42" s="1577">
        <f t="shared" si="3"/>
        <v>1</v>
      </c>
      <c r="AB42" s="1577">
        <f t="shared" si="4"/>
        <v>1</v>
      </c>
      <c r="AC42" s="1577">
        <f t="shared" si="5"/>
        <v>1</v>
      </c>
    </row>
    <row r="43" spans="1:29" ht="27">
      <c r="A43" s="595"/>
      <c r="B43" s="528" t="s">
        <v>736</v>
      </c>
      <c r="C43" s="3215" t="s">
        <v>3146</v>
      </c>
      <c r="D43" s="541">
        <v>100</v>
      </c>
      <c r="E43" s="3216" t="s">
        <v>3138</v>
      </c>
      <c r="F43" s="576">
        <f>SUMIF(124:124,E43,125:125)-SUMIF(124:124,C43,125:125)+100</f>
        <v>100</v>
      </c>
      <c r="G43" s="3215" t="s">
        <v>3138</v>
      </c>
      <c r="H43" s="541">
        <f>SUMIF(124:124,G43,125:125)-SUMIF(124:124,C43,125:125)+100</f>
        <v>100</v>
      </c>
      <c r="I43" s="3216" t="s">
        <v>3138</v>
      </c>
      <c r="J43" s="541">
        <f>SUMIF(124:124,I43,125:125)-SUMIF(124:124,C43,125:125)+100</f>
        <v>100</v>
      </c>
      <c r="K43" s="865">
        <v>2</v>
      </c>
      <c r="L43" s="2142"/>
      <c r="M43" s="2134"/>
      <c r="N43" s="2134"/>
      <c r="O43" s="2141"/>
      <c r="P43" s="3446"/>
      <c r="Q43" s="1573" t="str">
        <f t="shared" si="11"/>
        <v>内部装修维护情况</v>
      </c>
      <c r="R43" s="1574" t="s">
        <v>11</v>
      </c>
      <c r="S43" s="1575">
        <f t="shared" si="12"/>
        <v>100</v>
      </c>
      <c r="T43" s="1574" t="s">
        <v>11</v>
      </c>
      <c r="U43" s="1575">
        <f t="shared" si="13"/>
        <v>100</v>
      </c>
      <c r="V43" s="1574" t="s">
        <v>11</v>
      </c>
      <c r="W43" s="1575">
        <f t="shared" si="14"/>
        <v>100</v>
      </c>
      <c r="X43" s="1568"/>
      <c r="Y43" s="3446"/>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46"/>
      <c r="Q44" s="1152">
        <f t="shared" si="11"/>
        <v>111</v>
      </c>
      <c r="R44" s="1569" t="s">
        <v>11</v>
      </c>
      <c r="S44" s="1570">
        <f t="shared" si="12"/>
        <v>100</v>
      </c>
      <c r="T44" s="1569" t="s">
        <v>11</v>
      </c>
      <c r="U44" s="1570">
        <f t="shared" si="13"/>
        <v>100</v>
      </c>
      <c r="V44" s="1569" t="s">
        <v>11</v>
      </c>
      <c r="W44" s="1570">
        <f t="shared" si="14"/>
        <v>100</v>
      </c>
      <c r="X44" s="1571"/>
      <c r="Y44" s="3446"/>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46"/>
      <c r="Q45" s="1573">
        <f t="shared" si="11"/>
        <v>111</v>
      </c>
      <c r="R45" s="1574" t="s">
        <v>11</v>
      </c>
      <c r="S45" s="1575">
        <f t="shared" si="12"/>
        <v>100</v>
      </c>
      <c r="T45" s="1574" t="s">
        <v>11</v>
      </c>
      <c r="U45" s="1575">
        <f t="shared" si="13"/>
        <v>100</v>
      </c>
      <c r="V45" s="1574" t="s">
        <v>11</v>
      </c>
      <c r="W45" s="1575">
        <f t="shared" si="14"/>
        <v>100</v>
      </c>
      <c r="X45" s="1568"/>
      <c r="Y45" s="3446"/>
      <c r="Z45" s="1576">
        <f t="shared" si="15"/>
        <v>111</v>
      </c>
      <c r="AA45" s="1577">
        <f t="shared" si="3"/>
        <v>1</v>
      </c>
      <c r="AB45" s="1577">
        <f t="shared" si="4"/>
        <v>1</v>
      </c>
      <c r="AC45" s="1577">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9"/>
      <c r="Q46" s="1573">
        <f t="shared" si="11"/>
        <v>111</v>
      </c>
      <c r="R46" s="1574" t="s">
        <v>10</v>
      </c>
      <c r="S46" s="1575">
        <f t="shared" si="12"/>
        <v>100</v>
      </c>
      <c r="T46" s="1574" t="s">
        <v>10</v>
      </c>
      <c r="U46" s="1575">
        <f t="shared" si="13"/>
        <v>100</v>
      </c>
      <c r="V46" s="1574" t="s">
        <v>10</v>
      </c>
      <c r="W46" s="1575">
        <f t="shared" si="14"/>
        <v>100</v>
      </c>
      <c r="X46" s="1568"/>
      <c r="Y46" s="3529"/>
      <c r="Z46" s="1576">
        <f t="shared" si="15"/>
        <v>111</v>
      </c>
      <c r="AA46" s="1577">
        <f t="shared" si="3"/>
        <v>1</v>
      </c>
      <c r="AB46" s="1577">
        <f t="shared" si="4"/>
        <v>1</v>
      </c>
      <c r="AC46" s="1577">
        <f t="shared" si="5"/>
        <v>1</v>
      </c>
    </row>
    <row r="47" spans="1:29" ht="15">
      <c r="A47" s="608" t="s">
        <v>737</v>
      </c>
      <c r="B47" s="888"/>
      <c r="C47" s="2651" t="s">
        <v>9</v>
      </c>
      <c r="D47" s="2652"/>
      <c r="E47" s="2653">
        <f>Sheet2!B1*0.92</f>
        <v>9752</v>
      </c>
      <c r="F47" s="2654"/>
      <c r="G47" s="2655">
        <f>Sheet2!B2*0.92</f>
        <v>10580</v>
      </c>
      <c r="H47" s="2656"/>
      <c r="I47" s="2653">
        <f>Sheet2!B3*0.95</f>
        <v>8550</v>
      </c>
      <c r="J47" s="2656"/>
      <c r="K47" s="1607"/>
      <c r="L47" s="2144"/>
      <c r="M47" s="2145"/>
      <c r="N47" s="2134"/>
      <c r="O47" s="2145"/>
      <c r="P47" s="3409" t="str">
        <f>A47</f>
        <v>成交单价（元/平方米）</v>
      </c>
      <c r="Q47" s="3409"/>
      <c r="R47" s="3528">
        <f>E47</f>
        <v>9752</v>
      </c>
      <c r="S47" s="3528"/>
      <c r="T47" s="3528">
        <f>G47</f>
        <v>10580</v>
      </c>
      <c r="U47" s="3528"/>
      <c r="V47" s="3528">
        <f>I47</f>
        <v>8550</v>
      </c>
      <c r="W47" s="3528"/>
      <c r="X47" s="1560"/>
      <c r="Y47" s="1582"/>
      <c r="Z47" s="1560"/>
      <c r="AA47" s="1560"/>
      <c r="AB47" s="1560"/>
      <c r="AC47" s="1560"/>
    </row>
    <row r="48" spans="1:29" ht="15.75" thickBot="1">
      <c r="A48" s="616" t="s">
        <v>2766</v>
      </c>
      <c r="B48" s="889"/>
      <c r="C48" s="2657">
        <f>R49</f>
        <v>10000</v>
      </c>
      <c r="D48" s="2658"/>
      <c r="E48" s="2659">
        <f>R48</f>
        <v>9756</v>
      </c>
      <c r="F48" s="2659"/>
      <c r="G48" s="2657">
        <f>T48</f>
        <v>10584</v>
      </c>
      <c r="H48" s="2658"/>
      <c r="I48" s="2659">
        <f>V48</f>
        <v>9660</v>
      </c>
      <c r="J48" s="2658"/>
      <c r="K48" s="1608"/>
      <c r="L48" s="2144"/>
      <c r="M48" s="2145"/>
      <c r="N48" s="2145"/>
      <c r="O48" s="2145"/>
      <c r="P48" s="3409" t="str">
        <f>A48</f>
        <v>比较价格（元/平方米）</v>
      </c>
      <c r="Q48" s="3409"/>
      <c r="R48" s="3528">
        <f>IF(F1="售价",ROUND(PRODUCT(R47,AA7:AA46),0),ROUND(PRODUCT(R47,AA7:AA46),1))</f>
        <v>9756</v>
      </c>
      <c r="S48" s="3528"/>
      <c r="T48" s="3528">
        <f>IF(F1="售价",ROUND(PRODUCT(T47,AB7:AB46),0),ROUND(PRODUCT(T47,AB7:AB46),1))</f>
        <v>10584</v>
      </c>
      <c r="U48" s="3528"/>
      <c r="V48" s="3528">
        <f>IF(F1="售价",ROUND(PRODUCT(V47,AC7:AC46),0),ROUND(PRODUCT(V47,AC7:AC46),1))</f>
        <v>9660</v>
      </c>
      <c r="W48" s="3528"/>
      <c r="X48" s="1560"/>
      <c r="Y48" s="1560"/>
      <c r="Z48" s="1560"/>
      <c r="AA48" s="1560"/>
      <c r="AB48" s="1560"/>
      <c r="AC48" s="1560"/>
    </row>
    <row r="49" spans="1:29" ht="15.75" thickBot="1">
      <c r="A49" s="622" t="s">
        <v>2934</v>
      </c>
      <c r="B49" s="623"/>
      <c r="C49" s="2660">
        <f>R49</f>
        <v>10000</v>
      </c>
      <c r="D49" s="2660"/>
      <c r="E49" s="2660"/>
      <c r="F49" s="2660"/>
      <c r="G49" s="2660"/>
      <c r="H49" s="2660"/>
      <c r="I49" s="2660"/>
      <c r="J49" s="2660"/>
      <c r="K49" s="1609"/>
      <c r="L49" s="2144"/>
      <c r="M49" s="2145"/>
      <c r="N49" s="2145"/>
      <c r="O49" s="2145"/>
      <c r="P49" s="3406" t="str">
        <f>A49</f>
        <v>估价对象XX用房的比较价格（楼面单价，元/平方米）</v>
      </c>
      <c r="Q49" s="3407"/>
      <c r="R49" s="3527">
        <f>IF(F1="售价",ROUND(AVERAGE(R48:V48),0),ROUND(AVERAGE(R48:V48),1))</f>
        <v>10000</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4.1017227235440323E-4</v>
      </c>
      <c r="F52" s="628" t="str">
        <f>IF(OR(E52&gt;=0.3,E52&lt;=-0.3),"超过30%","")</f>
        <v/>
      </c>
      <c r="G52" s="627">
        <f>IF(G47&lt;G48,G48/G47-1,G47/G48-1)</f>
        <v>3.780718336483524E-4</v>
      </c>
      <c r="H52" s="628" t="str">
        <f>IF(OR(G52&gt;=0.3,G52&lt;=-0.3),"超过30%","")</f>
        <v/>
      </c>
      <c r="I52" s="627">
        <f>IF(I47&lt;I48,I48/I47-1,I47/I48-1)</f>
        <v>0.12982456140350873</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8.4870848708487046E-2</v>
      </c>
      <c r="F53" s="628" t="str">
        <f>IF(OR(E53&gt;=0.2,E53&lt;=-0.2),"超过20%","")</f>
        <v/>
      </c>
      <c r="G53" s="627">
        <f>IF(G48&lt;I48,I48/G48-1,G48/I48-1)</f>
        <v>9.565217391304337E-2</v>
      </c>
      <c r="H53" s="628" t="str">
        <f>IF(OR(G53&gt;=0.2,G53&lt;=-0.2),"超过20%","")</f>
        <v/>
      </c>
      <c r="I53" s="627">
        <f>IF(I48&lt;E48,E48/I48-1,I48/E48-1)</f>
        <v>9.9378881987577383E-3</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8.4905660377358583E-2</v>
      </c>
      <c r="F54" s="628" t="str">
        <f>IF(OR(E54&gt;=0.3,E54&lt;=-0.3),"超过30%","")</f>
        <v/>
      </c>
      <c r="G54" s="627">
        <f>IF(G47&lt;I47,I47/G47-1,G47/I47-1)</f>
        <v>0.23742690058479532</v>
      </c>
      <c r="H54" s="628" t="str">
        <f>IF(OR(G54&gt;=0.3,G54&lt;=-0.3),"超过30%","")</f>
        <v/>
      </c>
      <c r="I54" s="627">
        <f>IF(I47&lt;E47,E47/I47-1,I47/E47-1)</f>
        <v>0.14058479532163748</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3136</v>
      </c>
      <c r="D100" s="3179" t="s">
        <v>3190</v>
      </c>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3137</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3138</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3139</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3140</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3141</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3182" t="s">
        <v>3142</v>
      </c>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98</v>
      </c>
      <c r="E125" s="680">
        <f>D125-$K43</f>
        <v>96</v>
      </c>
      <c r="F125" s="680">
        <f>E125-$K43</f>
        <v>94</v>
      </c>
      <c r="G125" s="680">
        <f>F125-$K43</f>
        <v>92</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9"/>
    </row>
    <row r="4" spans="1:29" ht="15">
      <c r="A4" s="513" t="s">
        <v>522</v>
      </c>
      <c r="B4" s="514"/>
      <c r="C4" s="3415" t="s">
        <v>523</v>
      </c>
      <c r="D4" s="3416"/>
      <c r="E4" s="3449" t="s">
        <v>524</v>
      </c>
      <c r="F4" s="3450"/>
      <c r="G4" s="3415" t="s">
        <v>525</v>
      </c>
      <c r="H4" s="3416"/>
      <c r="I4" s="3415" t="s">
        <v>526</v>
      </c>
      <c r="J4" s="3416"/>
      <c r="K4" s="515" t="s">
        <v>527</v>
      </c>
      <c r="L4" s="2133"/>
      <c r="M4" s="2134"/>
      <c r="N4" s="2134"/>
      <c r="O4" s="2134"/>
      <c r="P4" s="3417" t="s">
        <v>528</v>
      </c>
      <c r="Q4" s="3418"/>
      <c r="R4" s="3423" t="s">
        <v>524</v>
      </c>
      <c r="S4" s="3424"/>
      <c r="T4" s="3423" t="s">
        <v>525</v>
      </c>
      <c r="U4" s="3424"/>
      <c r="V4" s="3410" t="s">
        <v>526</v>
      </c>
      <c r="W4" s="3410"/>
      <c r="X4" s="1568"/>
      <c r="Y4" s="3423" t="s">
        <v>528</v>
      </c>
      <c r="Z4" s="3424"/>
      <c r="AA4" s="3412" t="s">
        <v>524</v>
      </c>
      <c r="AB4" s="3410" t="s">
        <v>525</v>
      </c>
      <c r="AC4" s="3412" t="s">
        <v>526</v>
      </c>
    </row>
    <row r="5" spans="1:29" ht="15">
      <c r="A5" s="516"/>
      <c r="B5" s="517"/>
      <c r="C5" s="3431" t="s">
        <v>2928</v>
      </c>
      <c r="D5" s="3432"/>
      <c r="E5" s="3451" t="s">
        <v>2929</v>
      </c>
      <c r="F5" s="3452"/>
      <c r="G5" s="3431" t="s">
        <v>2930</v>
      </c>
      <c r="H5" s="3432"/>
      <c r="I5" s="3431" t="s">
        <v>2931</v>
      </c>
      <c r="J5" s="3432"/>
      <c r="K5" s="515"/>
      <c r="L5" s="2133"/>
      <c r="M5" s="2134"/>
      <c r="N5" s="2134"/>
      <c r="O5" s="2134"/>
      <c r="P5" s="3419"/>
      <c r="Q5" s="3420"/>
      <c r="R5" s="3425"/>
      <c r="S5" s="3426"/>
      <c r="T5" s="3425"/>
      <c r="U5" s="3426"/>
      <c r="V5" s="3410"/>
      <c r="W5" s="3410"/>
      <c r="X5" s="1568"/>
      <c r="Y5" s="3425"/>
      <c r="Z5" s="3426"/>
      <c r="AA5" s="3413"/>
      <c r="AB5" s="3410"/>
      <c r="AC5" s="3413"/>
    </row>
    <row r="6" spans="1:29" ht="15.75" thickBot="1">
      <c r="A6" s="518"/>
      <c r="B6" s="519"/>
      <c r="C6" s="3429" t="s">
        <v>2932</v>
      </c>
      <c r="D6" s="3430"/>
      <c r="E6" s="3447" t="s">
        <v>2932</v>
      </c>
      <c r="F6" s="3448"/>
      <c r="G6" s="3429" t="s">
        <v>2932</v>
      </c>
      <c r="H6" s="3430"/>
      <c r="I6" s="3429" t="s">
        <v>2932</v>
      </c>
      <c r="J6" s="3430"/>
      <c r="K6" s="515" t="s">
        <v>529</v>
      </c>
      <c r="L6" s="2133"/>
      <c r="M6" s="2134"/>
      <c r="N6" s="2134"/>
      <c r="O6" s="2134"/>
      <c r="P6" s="3421"/>
      <c r="Q6" s="3422"/>
      <c r="R6" s="3425"/>
      <c r="S6" s="3426"/>
      <c r="T6" s="3427"/>
      <c r="U6" s="3428"/>
      <c r="V6" s="3410"/>
      <c r="W6" s="3410"/>
      <c r="X6" s="1568"/>
      <c r="Y6" s="3427"/>
      <c r="Z6" s="3428"/>
      <c r="AA6" s="3414"/>
      <c r="AB6" s="3410"/>
      <c r="AC6" s="3414"/>
    </row>
    <row r="7" spans="1:29" s="1221" customFormat="1" ht="15.75" thickBot="1">
      <c r="A7" s="2938"/>
      <c r="B7" s="2945" t="s">
        <v>530</v>
      </c>
      <c r="C7" s="520">
        <f>'数据-取费表'!B2</f>
        <v>43089</v>
      </c>
      <c r="D7" s="521">
        <v>100</v>
      </c>
      <c r="E7" s="522"/>
      <c r="F7" s="523">
        <f>SUMIF(58:58,YEAR(E7)&amp;"-"&amp;MONTH(E7),59:59)</f>
        <v>0</v>
      </c>
      <c r="G7" s="522"/>
      <c r="H7" s="521">
        <f>SUMIF(58:58,YEAR(G7)&amp;"-"&amp;MONTH(G7),59:59)</f>
        <v>0</v>
      </c>
      <c r="I7" s="522"/>
      <c r="J7" s="521">
        <f>SUMIF(58:58,YEAR(I7)&amp;"-"&amp;MONTH(I7),59:59)</f>
        <v>0</v>
      </c>
      <c r="K7" s="525"/>
      <c r="L7" s="2135"/>
      <c r="M7" s="2136"/>
      <c r="N7" s="2136"/>
      <c r="O7" s="2136"/>
      <c r="P7" s="3440" t="s">
        <v>531</v>
      </c>
      <c r="Q7" s="3442"/>
      <c r="R7" s="1569" t="s">
        <v>8</v>
      </c>
      <c r="S7" s="1570">
        <f t="shared" ref="S7:S15" si="0">F7</f>
        <v>0</v>
      </c>
      <c r="T7" s="1569" t="s">
        <v>8</v>
      </c>
      <c r="U7" s="1570">
        <f t="shared" ref="U7:U15" si="1">H7</f>
        <v>0</v>
      </c>
      <c r="V7" s="1569" t="s">
        <v>8</v>
      </c>
      <c r="W7" s="1570">
        <f t="shared" ref="W7:W15" si="2">J7</f>
        <v>0</v>
      </c>
      <c r="X7" s="1571"/>
      <c r="Y7" s="3440" t="s">
        <v>531</v>
      </c>
      <c r="Z7" s="3441"/>
      <c r="AA7" s="1572" t="e">
        <f>D7/F7</f>
        <v>#DIV/0!</v>
      </c>
      <c r="AB7" s="1572" t="e">
        <f>D7/H7</f>
        <v>#DIV/0!</v>
      </c>
      <c r="AC7" s="1572" t="e">
        <f>D7/J7</f>
        <v>#DIV/0!</v>
      </c>
    </row>
    <row r="8" spans="1:29" s="1221" customFormat="1" ht="15.75" thickBot="1">
      <c r="A8" s="2939"/>
      <c r="B8" s="2946" t="s">
        <v>532</v>
      </c>
      <c r="C8" s="526" t="s">
        <v>577</v>
      </c>
      <c r="D8" s="521">
        <v>100</v>
      </c>
      <c r="E8" s="526"/>
      <c r="F8" s="523">
        <f>SUMIF(61:61,E8,62:62)-SUMIF(61:61,C8,62:62)+100</f>
        <v>0</v>
      </c>
      <c r="G8" s="526"/>
      <c r="H8" s="521">
        <f>SUMIF(61:61,G8,62:62)-SUMIF(61:61,C8,62:62)+100</f>
        <v>0</v>
      </c>
      <c r="I8" s="526"/>
      <c r="J8" s="521">
        <f>SUMIF(61:61,I8,62:62)-SUMIF(61:61,C8,62:62)+100</f>
        <v>0</v>
      </c>
      <c r="K8" s="525"/>
      <c r="L8" s="2135"/>
      <c r="M8" s="2136"/>
      <c r="N8" s="2136"/>
      <c r="O8" s="2136"/>
      <c r="P8" s="3440" t="s">
        <v>534</v>
      </c>
      <c r="Q8" s="3441"/>
      <c r="R8" s="1569" t="s">
        <v>8</v>
      </c>
      <c r="S8" s="1570">
        <f t="shared" si="0"/>
        <v>0</v>
      </c>
      <c r="T8" s="1569" t="s">
        <v>8</v>
      </c>
      <c r="U8" s="1570">
        <f t="shared" si="1"/>
        <v>0</v>
      </c>
      <c r="V8" s="1569" t="s">
        <v>8</v>
      </c>
      <c r="W8" s="1570">
        <f t="shared" si="2"/>
        <v>0</v>
      </c>
      <c r="X8" s="1571"/>
      <c r="Y8" s="3440" t="s">
        <v>534</v>
      </c>
      <c r="Z8" s="3441"/>
      <c r="AA8" s="1572" t="e">
        <f t="shared" ref="AA8:AA46" si="3">D8/F8</f>
        <v>#DIV/0!</v>
      </c>
      <c r="AB8" s="1572" t="e">
        <f t="shared" ref="AB8:AB46" si="4">D8/H8</f>
        <v>#DIV/0!</v>
      </c>
      <c r="AC8" s="1572" t="e">
        <f t="shared" ref="AC8:AC46" si="5">D8/J8</f>
        <v>#DIV/0!</v>
      </c>
    </row>
    <row r="9" spans="1:29" s="1221" customFormat="1" ht="15">
      <c r="A9" s="2940"/>
      <c r="B9" s="2947" t="s">
        <v>2762</v>
      </c>
      <c r="C9" s="858"/>
      <c r="D9" s="252">
        <v>100</v>
      </c>
      <c r="E9" s="861"/>
      <c r="F9" s="252">
        <f>SUMIF(63:63,E9,64:64)-SUMIF(63:63,C9,64:64)+100</f>
        <v>100</v>
      </c>
      <c r="G9" s="859"/>
      <c r="H9" s="252">
        <f>SUMIF(63:63,G9,64:64)-SUMIF(63:63,C9,64:64)+100</f>
        <v>100</v>
      </c>
      <c r="I9" s="859"/>
      <c r="J9" s="252">
        <f>SUMIF(63:63,I9,64:64)-SUMIF(63:63,C9,64:64)+100</f>
        <v>100</v>
      </c>
      <c r="K9" s="525"/>
      <c r="L9" s="2135"/>
      <c r="M9" s="2136"/>
      <c r="N9" s="2136"/>
      <c r="O9" s="2137"/>
      <c r="P9" s="3409" t="s">
        <v>536</v>
      </c>
      <c r="Q9" s="1152" t="str">
        <f t="shared" ref="Q9:Q15" si="6">B9</f>
        <v>用途</v>
      </c>
      <c r="R9" s="1569" t="s">
        <v>8</v>
      </c>
      <c r="S9" s="1570">
        <f t="shared" si="0"/>
        <v>100</v>
      </c>
      <c r="T9" s="1569" t="s">
        <v>8</v>
      </c>
      <c r="U9" s="1570">
        <f t="shared" si="1"/>
        <v>100</v>
      </c>
      <c r="V9" s="1569" t="s">
        <v>8</v>
      </c>
      <c r="W9" s="1570">
        <f t="shared" si="2"/>
        <v>100</v>
      </c>
      <c r="X9" s="1571"/>
      <c r="Y9" s="3355"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SUMIF(65:65,E10,66:66)-SUMIF(65:65,C10,66:66)+100</f>
        <v>100</v>
      </c>
      <c r="G10" s="863"/>
      <c r="H10" s="253">
        <f>SUMIF(65:65,G10,66:66)-SUMIF(65:65,C10,66:66)+100</f>
        <v>100</v>
      </c>
      <c r="I10" s="862"/>
      <c r="J10" s="253">
        <f>SUMIF(65:65,I10,66:66)-SUMIF(65:65,C10,66:66)+100</f>
        <v>100</v>
      </c>
      <c r="K10" s="585"/>
      <c r="L10" s="2138"/>
      <c r="M10" s="2178"/>
      <c r="N10" s="2178"/>
      <c r="O10" s="2139"/>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0"/>
      <c r="M11" s="2134"/>
      <c r="N11" s="2134"/>
      <c r="O11" s="2141"/>
      <c r="P11" s="3409"/>
      <c r="Q11" s="1152" t="str">
        <f t="shared" si="6"/>
        <v>容积率</v>
      </c>
      <c r="R11" s="1569" t="s">
        <v>8</v>
      </c>
      <c r="S11" s="1570" t="e">
        <f t="shared" si="0"/>
        <v>#N/A</v>
      </c>
      <c r="T11" s="1569" t="s">
        <v>8</v>
      </c>
      <c r="U11" s="1570" t="e">
        <f t="shared" si="1"/>
        <v>#N/A</v>
      </c>
      <c r="V11" s="1569" t="s">
        <v>8</v>
      </c>
      <c r="W11" s="1570" t="e">
        <f t="shared" si="2"/>
        <v>#N/A</v>
      </c>
      <c r="X11" s="1571"/>
      <c r="Y11" s="3355"/>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SUMIF(70:70,E12,71:71)-SUMIF(70:70,C12,71:71)+100</f>
        <v>100</v>
      </c>
      <c r="G12" s="913"/>
      <c r="H12" s="253">
        <f>SUMIF(70:70,G12,71:71)-SUMIF(70:70,C12,71:71)+100</f>
        <v>100</v>
      </c>
      <c r="I12" s="540"/>
      <c r="J12" s="253">
        <f>SUMIF(70:70,I12,71:71)-SUMIF(70:70,C12,71:71)+100</f>
        <v>100</v>
      </c>
      <c r="K12" s="582"/>
      <c r="L12" s="2135"/>
      <c r="M12" s="2136"/>
      <c r="N12" s="2136"/>
      <c r="O12" s="2137"/>
      <c r="P12" s="3409"/>
      <c r="Q12" s="1152">
        <f t="shared" si="6"/>
        <v>111</v>
      </c>
      <c r="R12" s="1569" t="s">
        <v>8</v>
      </c>
      <c r="S12" s="1570">
        <f t="shared" si="0"/>
        <v>100</v>
      </c>
      <c r="T12" s="1569" t="s">
        <v>8</v>
      </c>
      <c r="U12" s="1570">
        <f t="shared" si="1"/>
        <v>100</v>
      </c>
      <c r="V12" s="1569" t="s">
        <v>8</v>
      </c>
      <c r="W12" s="1570">
        <f t="shared" si="2"/>
        <v>100</v>
      </c>
      <c r="X12" s="1571"/>
      <c r="Y12" s="3355"/>
      <c r="Z12" s="1151">
        <f t="shared" si="7"/>
        <v>111</v>
      </c>
      <c r="AA12" s="1572">
        <f>D12/F12</f>
        <v>1</v>
      </c>
      <c r="AB12" s="1572">
        <f>D12/H12</f>
        <v>1</v>
      </c>
      <c r="AC12" s="1572">
        <f>D12/J12</f>
        <v>1</v>
      </c>
    </row>
    <row r="13" spans="1:29" ht="15">
      <c r="A13" s="2943"/>
      <c r="B13" s="2949">
        <v>111</v>
      </c>
      <c r="C13" s="540"/>
      <c r="D13" s="541">
        <v>100</v>
      </c>
      <c r="E13" s="540"/>
      <c r="F13" s="253">
        <f>SUMIF(72:72,E13,73:73)-SUMIF(72:72,C13,73:73)+100</f>
        <v>100</v>
      </c>
      <c r="G13" s="913"/>
      <c r="H13" s="541">
        <f>SUMIF(72:72,G13,73:73)-SUMIF(72:72,C13,73:73)+100</f>
        <v>100</v>
      </c>
      <c r="I13" s="540"/>
      <c r="J13" s="541">
        <f>SUMIF(72:72,I13,73:73)-SUMIF(72:72,C13,73:73)+100</f>
        <v>100</v>
      </c>
      <c r="K13" s="582"/>
      <c r="L13" s="2142"/>
      <c r="M13" s="2134"/>
      <c r="N13" s="2134"/>
      <c r="O13" s="2141"/>
      <c r="P13" s="3409"/>
      <c r="Q13" s="1152">
        <f t="shared" si="6"/>
        <v>111</v>
      </c>
      <c r="R13" s="1569" t="s">
        <v>8</v>
      </c>
      <c r="S13" s="1570">
        <f t="shared" si="0"/>
        <v>100</v>
      </c>
      <c r="T13" s="1569" t="s">
        <v>8</v>
      </c>
      <c r="U13" s="1570">
        <f t="shared" si="1"/>
        <v>100</v>
      </c>
      <c r="V13" s="1569" t="s">
        <v>8</v>
      </c>
      <c r="W13" s="1570">
        <f t="shared" si="2"/>
        <v>100</v>
      </c>
      <c r="X13" s="1571"/>
      <c r="Y13" s="3355"/>
      <c r="Z13" s="1151">
        <f t="shared" si="7"/>
        <v>111</v>
      </c>
      <c r="AA13" s="1572">
        <f t="shared" si="3"/>
        <v>1</v>
      </c>
      <c r="AB13" s="1572">
        <f t="shared" si="4"/>
        <v>1</v>
      </c>
      <c r="AC13" s="1572">
        <f t="shared" si="5"/>
        <v>1</v>
      </c>
    </row>
    <row r="14" spans="1:29" ht="15.75" thickBot="1">
      <c r="A14" s="2944"/>
      <c r="B14" s="2950">
        <v>111</v>
      </c>
      <c r="C14" s="546"/>
      <c r="D14" s="547">
        <v>100</v>
      </c>
      <c r="E14" s="546"/>
      <c r="F14" s="547">
        <f>SUMIF(74:74,E14,75:75)-SUMIF(74:74,C14,75:75)+100</f>
        <v>100</v>
      </c>
      <c r="G14" s="913"/>
      <c r="H14" s="547">
        <f>SUMIF(74:74,G14,75:75)-SUMIF(74:74,C14,75:75)+100</f>
        <v>100</v>
      </c>
      <c r="I14" s="540"/>
      <c r="J14" s="547">
        <f>SUMIF(74:74,I14,75:75)-SUMIF(74:74,C14,75:75)+100</f>
        <v>100</v>
      </c>
      <c r="K14" s="582"/>
      <c r="L14" s="2142"/>
      <c r="M14" s="2134"/>
      <c r="N14" s="2134"/>
      <c r="O14" s="2141"/>
      <c r="P14" s="3409"/>
      <c r="Q14" s="1152">
        <f t="shared" si="6"/>
        <v>111</v>
      </c>
      <c r="R14" s="1569" t="s">
        <v>8</v>
      </c>
      <c r="S14" s="1570">
        <f t="shared" si="0"/>
        <v>100</v>
      </c>
      <c r="T14" s="1569" t="s">
        <v>8</v>
      </c>
      <c r="U14" s="1570">
        <f t="shared" si="1"/>
        <v>100</v>
      </c>
      <c r="V14" s="1569" t="s">
        <v>8</v>
      </c>
      <c r="W14" s="1570">
        <f t="shared" si="2"/>
        <v>100</v>
      </c>
      <c r="X14" s="1571"/>
      <c r="Y14" s="3355"/>
      <c r="Z14" s="1151">
        <f t="shared" si="7"/>
        <v>111</v>
      </c>
      <c r="AA14" s="1572">
        <f t="shared" si="3"/>
        <v>1</v>
      </c>
      <c r="AB14" s="1572">
        <f t="shared" si="4"/>
        <v>1</v>
      </c>
      <c r="AC14" s="1572">
        <f t="shared" si="5"/>
        <v>1</v>
      </c>
    </row>
    <row r="15" spans="1:29" ht="85.5">
      <c r="A15" s="2936" t="s">
        <v>2760</v>
      </c>
      <c r="B15" s="165" t="s">
        <v>542</v>
      </c>
      <c r="C15" s="868" t="str">
        <f>估价对象房地状况!C4</f>
        <v>估价对象位于椰海大道南侧，周边商业氛围一般，人流量一般，商业繁华度一般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2"/>
      <c r="M15" s="2134"/>
      <c r="N15" s="2134"/>
      <c r="O15" s="2141"/>
      <c r="P15" s="3443" t="s">
        <v>541</v>
      </c>
      <c r="Q15" s="1573" t="str">
        <f t="shared" si="6"/>
        <v>商业繁华度</v>
      </c>
      <c r="R15" s="1574" t="s">
        <v>8</v>
      </c>
      <c r="S15" s="1575">
        <f t="shared" si="0"/>
        <v>100</v>
      </c>
      <c r="T15" s="1574" t="s">
        <v>8</v>
      </c>
      <c r="U15" s="1575">
        <f t="shared" si="1"/>
        <v>100</v>
      </c>
      <c r="V15" s="1574" t="s">
        <v>8</v>
      </c>
      <c r="W15" s="1575">
        <f t="shared" si="2"/>
        <v>100</v>
      </c>
      <c r="X15" s="1568"/>
      <c r="Y15" s="3443"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44"/>
      <c r="Q16" s="1573"/>
      <c r="R16" s="1574"/>
      <c r="S16" s="1575"/>
      <c r="T16" s="1574"/>
      <c r="U16" s="1575"/>
      <c r="V16" s="1574"/>
      <c r="W16" s="1575"/>
      <c r="X16" s="1568"/>
      <c r="Y16" s="3444"/>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100</v>
      </c>
      <c r="K17" s="899"/>
      <c r="L17" s="2142"/>
      <c r="M17" s="2134"/>
      <c r="N17" s="2134"/>
      <c r="O17" s="2141"/>
      <c r="P17" s="3444"/>
      <c r="Q17" s="1573" t="str">
        <f>B17</f>
        <v>交通便捷度</v>
      </c>
      <c r="R17" s="1574" t="s">
        <v>8</v>
      </c>
      <c r="S17" s="1575">
        <f>F17</f>
        <v>100</v>
      </c>
      <c r="T17" s="1574" t="s">
        <v>8</v>
      </c>
      <c r="U17" s="1575">
        <f>H17</f>
        <v>100</v>
      </c>
      <c r="V17" s="1574" t="s">
        <v>8</v>
      </c>
      <c r="W17" s="1575">
        <f>J17</f>
        <v>100</v>
      </c>
      <c r="X17" s="1568"/>
      <c r="Y17" s="3444"/>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44"/>
      <c r="Q18" s="1573"/>
      <c r="R18" s="1574"/>
      <c r="S18" s="1575"/>
      <c r="T18" s="1574"/>
      <c r="U18" s="1575"/>
      <c r="V18" s="1574"/>
      <c r="W18" s="1575"/>
      <c r="X18" s="1568"/>
      <c r="Y18" s="3444"/>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99"/>
      <c r="L19" s="2142"/>
      <c r="M19" s="2134"/>
      <c r="N19" s="2134"/>
      <c r="O19" s="2141"/>
      <c r="P19" s="3444"/>
      <c r="Q19" s="1573" t="str">
        <f>B19</f>
        <v>公共配套设施</v>
      </c>
      <c r="R19" s="1574" t="s">
        <v>8</v>
      </c>
      <c r="S19" s="1575">
        <f>F19</f>
        <v>100</v>
      </c>
      <c r="T19" s="1574" t="s">
        <v>8</v>
      </c>
      <c r="U19" s="1575">
        <f>H19</f>
        <v>100</v>
      </c>
      <c r="V19" s="1574" t="s">
        <v>8</v>
      </c>
      <c r="W19" s="1575">
        <f>J19</f>
        <v>100</v>
      </c>
      <c r="X19" s="1568"/>
      <c r="Y19" s="3444"/>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2"/>
      <c r="M20" s="2134"/>
      <c r="N20" s="2134"/>
      <c r="O20" s="2141"/>
      <c r="P20" s="3444"/>
      <c r="Q20" s="1573"/>
      <c r="R20" s="1574"/>
      <c r="S20" s="1575"/>
      <c r="T20" s="1574"/>
      <c r="U20" s="1575"/>
      <c r="V20" s="1574"/>
      <c r="W20" s="1575"/>
      <c r="X20" s="1568"/>
      <c r="Y20" s="3444"/>
      <c r="Z20" s="1576"/>
      <c r="AA20" s="1577">
        <v>1</v>
      </c>
      <c r="AB20" s="1577">
        <v>1</v>
      </c>
      <c r="AC20" s="1577">
        <v>1</v>
      </c>
    </row>
    <row r="21" spans="1:29" ht="15">
      <c r="A21" s="533"/>
      <c r="B21" s="2617" t="s">
        <v>2562</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99"/>
      <c r="L21" s="2142"/>
      <c r="M21" s="2134"/>
      <c r="N21" s="2134"/>
      <c r="O21" s="2141"/>
      <c r="P21" s="3444"/>
      <c r="Q21" s="2603" t="str">
        <f>B21</f>
        <v>基础设施水平</v>
      </c>
      <c r="R21" s="1574" t="s">
        <v>8</v>
      </c>
      <c r="S21" s="1575">
        <f>F21</f>
        <v>100</v>
      </c>
      <c r="T21" s="1574" t="s">
        <v>8</v>
      </c>
      <c r="U21" s="1575">
        <f>H21</f>
        <v>100</v>
      </c>
      <c r="V21" s="1574" t="s">
        <v>8</v>
      </c>
      <c r="W21" s="1575">
        <f>J21</f>
        <v>100</v>
      </c>
      <c r="X21" s="2605"/>
      <c r="Y21" s="3444"/>
      <c r="Z21" s="2604"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6"/>
      <c r="L22" s="2142"/>
      <c r="M22" s="2134"/>
      <c r="N22" s="2134"/>
      <c r="O22" s="2141"/>
      <c r="P22" s="3444"/>
      <c r="Q22" s="2603"/>
      <c r="R22" s="1574"/>
      <c r="S22" s="1575"/>
      <c r="T22" s="1574"/>
      <c r="U22" s="1575"/>
      <c r="V22" s="1574"/>
      <c r="W22" s="1575"/>
      <c r="X22" s="2605"/>
      <c r="Y22" s="3444"/>
      <c r="Z22" s="2604"/>
      <c r="AA22" s="1577">
        <v>1</v>
      </c>
      <c r="AB22" s="1577">
        <v>1</v>
      </c>
      <c r="AC22" s="1577">
        <v>1</v>
      </c>
    </row>
    <row r="23" spans="1:29" ht="57">
      <c r="A23" s="533"/>
      <c r="B23" s="872" t="s">
        <v>297</v>
      </c>
      <c r="C23" s="901"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2"/>
      <c r="M23" s="2134"/>
      <c r="N23" s="2134"/>
      <c r="O23" s="2141"/>
      <c r="P23" s="3444"/>
      <c r="Q23" s="1573" t="str">
        <f>B23</f>
        <v>自然及人文环境</v>
      </c>
      <c r="R23" s="1574" t="s">
        <v>8</v>
      </c>
      <c r="S23" s="1575">
        <f>F23</f>
        <v>100</v>
      </c>
      <c r="T23" s="1574" t="s">
        <v>8</v>
      </c>
      <c r="U23" s="1575">
        <f>H23</f>
        <v>100</v>
      </c>
      <c r="V23" s="1574" t="s">
        <v>8</v>
      </c>
      <c r="W23" s="1575">
        <f>J23</f>
        <v>100</v>
      </c>
      <c r="X23" s="1568"/>
      <c r="Y23" s="3444"/>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2"/>
      <c r="M24" s="2134"/>
      <c r="N24" s="2134"/>
      <c r="O24" s="2141"/>
      <c r="P24" s="3444"/>
      <c r="Q24" s="1573"/>
      <c r="R24" s="1574"/>
      <c r="S24" s="1575"/>
      <c r="T24" s="1574"/>
      <c r="U24" s="1575"/>
      <c r="V24" s="1574"/>
      <c r="W24" s="1575"/>
      <c r="X24" s="1568"/>
      <c r="Y24" s="3444"/>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2"/>
      <c r="M25" s="2134"/>
      <c r="N25" s="2134"/>
      <c r="O25" s="2141"/>
      <c r="P25" s="3444"/>
      <c r="Q25" s="1573" t="str">
        <f t="shared" ref="Q25:Q46" si="11">B25</f>
        <v>临街状况</v>
      </c>
      <c r="R25" s="1574" t="s">
        <v>8</v>
      </c>
      <c r="S25" s="1575">
        <f>F25</f>
        <v>100</v>
      </c>
      <c r="T25" s="1574" t="s">
        <v>8</v>
      </c>
      <c r="U25" s="1575">
        <f>H25</f>
        <v>100</v>
      </c>
      <c r="V25" s="1574" t="s">
        <v>8</v>
      </c>
      <c r="W25" s="1575">
        <f>J25</f>
        <v>100</v>
      </c>
      <c r="X25" s="1568"/>
      <c r="Y25" s="3444"/>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2"/>
      <c r="M26" s="2134"/>
      <c r="N26" s="2134"/>
      <c r="O26" s="2141"/>
      <c r="P26" s="3444"/>
      <c r="Q26" s="1573" t="str">
        <f t="shared" si="11"/>
        <v>平面位置/可视性</v>
      </c>
      <c r="R26" s="1574" t="s">
        <v>8</v>
      </c>
      <c r="S26" s="1575">
        <f>F26</f>
        <v>100</v>
      </c>
      <c r="T26" s="1574" t="s">
        <v>8</v>
      </c>
      <c r="U26" s="1575">
        <f>H26</f>
        <v>100</v>
      </c>
      <c r="V26" s="1574" t="s">
        <v>8</v>
      </c>
      <c r="W26" s="1575">
        <f>J26</f>
        <v>100</v>
      </c>
      <c r="X26" s="1568"/>
      <c r="Y26" s="3444"/>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5"/>
      <c r="M27" s="2136"/>
      <c r="N27" s="2136"/>
      <c r="O27" s="2137"/>
      <c r="P27" s="3444"/>
      <c r="Q27" s="1152" t="str">
        <f t="shared" si="11"/>
        <v>人流量</v>
      </c>
      <c r="R27" s="1569" t="s">
        <v>8</v>
      </c>
      <c r="S27" s="1570">
        <f>F27</f>
        <v>100</v>
      </c>
      <c r="T27" s="1569" t="s">
        <v>8</v>
      </c>
      <c r="U27" s="1570">
        <f>H27</f>
        <v>100</v>
      </c>
      <c r="V27" s="1569" t="s">
        <v>8</v>
      </c>
      <c r="W27" s="1570">
        <f>J27</f>
        <v>100</v>
      </c>
      <c r="X27" s="1571"/>
      <c r="Y27" s="3444"/>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2"/>
      <c r="M28" s="2134"/>
      <c r="N28" s="2134"/>
      <c r="O28" s="2141"/>
      <c r="P28" s="344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4"/>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2"/>
      <c r="M29" s="2134"/>
      <c r="N29" s="2134"/>
      <c r="O29" s="2141"/>
      <c r="P29" s="3444"/>
      <c r="Q29" s="1573">
        <f t="shared" si="11"/>
        <v>111</v>
      </c>
      <c r="R29" s="1574" t="s">
        <v>8</v>
      </c>
      <c r="S29" s="1575">
        <f t="shared" si="12"/>
        <v>100</v>
      </c>
      <c r="T29" s="1574" t="s">
        <v>8</v>
      </c>
      <c r="U29" s="1575">
        <f t="shared" si="13"/>
        <v>100</v>
      </c>
      <c r="V29" s="1574" t="s">
        <v>8</v>
      </c>
      <c r="W29" s="1575">
        <f t="shared" si="14"/>
        <v>100</v>
      </c>
      <c r="X29" s="1568"/>
      <c r="Y29" s="3444"/>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2"/>
      <c r="M30" s="2134"/>
      <c r="N30" s="2134"/>
      <c r="O30" s="2141"/>
      <c r="P30" s="3444"/>
      <c r="Q30" s="1573">
        <f t="shared" si="11"/>
        <v>111</v>
      </c>
      <c r="R30" s="1574" t="s">
        <v>8</v>
      </c>
      <c r="S30" s="1575">
        <f t="shared" si="12"/>
        <v>100</v>
      </c>
      <c r="T30" s="1574" t="s">
        <v>8</v>
      </c>
      <c r="U30" s="1575">
        <f t="shared" si="13"/>
        <v>100</v>
      </c>
      <c r="V30" s="1574" t="s">
        <v>8</v>
      </c>
      <c r="W30" s="1575">
        <f t="shared" si="14"/>
        <v>100</v>
      </c>
      <c r="X30" s="1568"/>
      <c r="Y30" s="3444"/>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2"/>
      <c r="M31" s="2134"/>
      <c r="N31" s="2134"/>
      <c r="O31" s="2141"/>
      <c r="P31" s="3444"/>
      <c r="Q31" s="1573">
        <f t="shared" si="11"/>
        <v>111</v>
      </c>
      <c r="R31" s="1574" t="s">
        <v>8</v>
      </c>
      <c r="S31" s="1575">
        <f t="shared" si="12"/>
        <v>100</v>
      </c>
      <c r="T31" s="1574" t="s">
        <v>8</v>
      </c>
      <c r="U31" s="1575">
        <f t="shared" si="13"/>
        <v>100</v>
      </c>
      <c r="V31" s="1574" t="s">
        <v>8</v>
      </c>
      <c r="W31" s="1575">
        <f t="shared" si="14"/>
        <v>100</v>
      </c>
      <c r="X31" s="1568"/>
      <c r="Y31" s="3444"/>
      <c r="Z31" s="1576">
        <f t="shared" si="15"/>
        <v>111</v>
      </c>
      <c r="AA31" s="1577">
        <f t="shared" si="3"/>
        <v>1</v>
      </c>
      <c r="AB31" s="1577">
        <f t="shared" si="4"/>
        <v>1</v>
      </c>
      <c r="AC31" s="1577">
        <f t="shared" si="5"/>
        <v>1</v>
      </c>
    </row>
    <row r="32" spans="1:29" ht="15">
      <c r="A32" s="2933" t="s">
        <v>2761</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2"/>
      <c r="M32" s="2134"/>
      <c r="N32" s="2134"/>
      <c r="O32" s="2141"/>
      <c r="P32" s="3445" t="s">
        <v>551</v>
      </c>
      <c r="Q32" s="1573" t="str">
        <f t="shared" si="11"/>
        <v>商业类型</v>
      </c>
      <c r="R32" s="1574" t="s">
        <v>8</v>
      </c>
      <c r="S32" s="1575">
        <f t="shared" si="12"/>
        <v>100</v>
      </c>
      <c r="T32" s="1574" t="s">
        <v>8</v>
      </c>
      <c r="U32" s="1575">
        <f t="shared" si="13"/>
        <v>100</v>
      </c>
      <c r="V32" s="1574" t="s">
        <v>8</v>
      </c>
      <c r="W32" s="1575">
        <f t="shared" si="14"/>
        <v>100</v>
      </c>
      <c r="X32" s="1568"/>
      <c r="Y32" s="3446"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0"/>
      <c r="M33" s="2171"/>
      <c r="N33" s="2171"/>
      <c r="O33" s="2143"/>
      <c r="P33" s="3446"/>
      <c r="Q33" s="1606" t="str">
        <f t="shared" si="11"/>
        <v>项目建筑规模</v>
      </c>
      <c r="R33" s="1578" t="s">
        <v>8</v>
      </c>
      <c r="S33" s="1579" t="e">
        <f t="shared" si="12"/>
        <v>#N/A</v>
      </c>
      <c r="T33" s="1578" t="s">
        <v>8</v>
      </c>
      <c r="U33" s="1579" t="e">
        <f t="shared" si="13"/>
        <v>#N/A</v>
      </c>
      <c r="V33" s="1578" t="s">
        <v>8</v>
      </c>
      <c r="W33" s="1579" t="e">
        <f t="shared" si="14"/>
        <v>#N/A</v>
      </c>
      <c r="X33" s="1580"/>
      <c r="Y33" s="3446"/>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2"/>
      <c r="M34" s="2134"/>
      <c r="N34" s="2134"/>
      <c r="O34" s="2141"/>
      <c r="P34" s="3446"/>
      <c r="Q34" s="1573" t="str">
        <f t="shared" si="11"/>
        <v>建筑结构</v>
      </c>
      <c r="R34" s="1574" t="s">
        <v>8</v>
      </c>
      <c r="S34" s="1575">
        <f t="shared" si="12"/>
        <v>100</v>
      </c>
      <c r="T34" s="1574" t="s">
        <v>8</v>
      </c>
      <c r="U34" s="1575">
        <f t="shared" si="13"/>
        <v>100</v>
      </c>
      <c r="V34" s="1574" t="s">
        <v>8</v>
      </c>
      <c r="W34" s="1575">
        <f t="shared" si="14"/>
        <v>100</v>
      </c>
      <c r="X34" s="1568"/>
      <c r="Y34" s="3446"/>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2"/>
      <c r="M35" s="2134"/>
      <c r="N35" s="2134"/>
      <c r="O35" s="2141"/>
      <c r="P35" s="3446"/>
      <c r="Q35" s="1573" t="str">
        <f t="shared" si="11"/>
        <v>公共部分装修</v>
      </c>
      <c r="R35" s="1574" t="s">
        <v>8</v>
      </c>
      <c r="S35" s="1575">
        <f t="shared" si="12"/>
        <v>100</v>
      </c>
      <c r="T35" s="1574" t="s">
        <v>8</v>
      </c>
      <c r="U35" s="1575">
        <f t="shared" si="13"/>
        <v>100</v>
      </c>
      <c r="V35" s="1574" t="s">
        <v>8</v>
      </c>
      <c r="W35" s="1575">
        <f t="shared" si="14"/>
        <v>100</v>
      </c>
      <c r="X35" s="1568"/>
      <c r="Y35" s="3446"/>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2"/>
      <c r="M36" s="2134"/>
      <c r="N36" s="2134"/>
      <c r="O36" s="2141"/>
      <c r="P36" s="3446"/>
      <c r="Q36" s="1573" t="str">
        <f t="shared" si="11"/>
        <v>成新度</v>
      </c>
      <c r="R36" s="1574" t="s">
        <v>8</v>
      </c>
      <c r="S36" s="1575" t="e">
        <f t="shared" si="12"/>
        <v>#N/A</v>
      </c>
      <c r="T36" s="1574" t="s">
        <v>8</v>
      </c>
      <c r="U36" s="1575" t="e">
        <f t="shared" si="13"/>
        <v>#N/A</v>
      </c>
      <c r="V36" s="1574" t="s">
        <v>8</v>
      </c>
      <c r="W36" s="1575" t="e">
        <f t="shared" si="14"/>
        <v>#N/A</v>
      </c>
      <c r="X36" s="1568"/>
      <c r="Y36" s="3446"/>
      <c r="Z36" s="1576" t="str">
        <f t="shared" si="15"/>
        <v>成新度</v>
      </c>
      <c r="AA36" s="1577" t="e">
        <f t="shared" si="3"/>
        <v>#N/A</v>
      </c>
      <c r="AB36" s="1577" t="e">
        <f t="shared" si="4"/>
        <v>#N/A</v>
      </c>
      <c r="AC36" s="1577" t="e">
        <f t="shared" si="5"/>
        <v>#N/A</v>
      </c>
    </row>
    <row r="37" spans="1:29" s="1221" customFormat="1" ht="15">
      <c r="A37" s="601"/>
      <c r="B37" s="1895" t="s">
        <v>2569</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5"/>
      <c r="M37" s="2136"/>
      <c r="N37" s="2136"/>
      <c r="O37" s="2137"/>
      <c r="P37" s="3446"/>
      <c r="Q37" s="1152" t="str">
        <f t="shared" si="11"/>
        <v>市政基础设施</v>
      </c>
      <c r="R37" s="1569" t="s">
        <v>8</v>
      </c>
      <c r="S37" s="1570">
        <f t="shared" si="12"/>
        <v>100</v>
      </c>
      <c r="T37" s="1569" t="s">
        <v>8</v>
      </c>
      <c r="U37" s="1570">
        <f t="shared" si="13"/>
        <v>100</v>
      </c>
      <c r="V37" s="1569" t="s">
        <v>8</v>
      </c>
      <c r="W37" s="1570">
        <f t="shared" si="14"/>
        <v>100</v>
      </c>
      <c r="X37" s="1571"/>
      <c r="Y37" s="3446"/>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2"/>
      <c r="M38" s="2134"/>
      <c r="N38" s="2134"/>
      <c r="O38" s="2141"/>
      <c r="P38" s="3446" t="s">
        <v>767</v>
      </c>
      <c r="Q38" s="1573" t="str">
        <f t="shared" si="11"/>
        <v>业态</v>
      </c>
      <c r="R38" s="1574" t="s">
        <v>8</v>
      </c>
      <c r="S38" s="1575">
        <f t="shared" si="12"/>
        <v>100</v>
      </c>
      <c r="T38" s="1574" t="s">
        <v>8</v>
      </c>
      <c r="U38" s="1575">
        <f t="shared" si="13"/>
        <v>100</v>
      </c>
      <c r="V38" s="1574" t="s">
        <v>8</v>
      </c>
      <c r="W38" s="1575">
        <f t="shared" si="14"/>
        <v>100</v>
      </c>
      <c r="X38" s="1568"/>
      <c r="Y38" s="3446"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46"/>
      <c r="Q39" s="1573" t="str">
        <f t="shared" si="11"/>
        <v>层高</v>
      </c>
      <c r="R39" s="1574" t="s">
        <v>8</v>
      </c>
      <c r="S39" s="1575">
        <f t="shared" si="12"/>
        <v>100</v>
      </c>
      <c r="T39" s="1574" t="s">
        <v>8</v>
      </c>
      <c r="U39" s="1575">
        <f t="shared" si="13"/>
        <v>100</v>
      </c>
      <c r="V39" s="1574" t="s">
        <v>8</v>
      </c>
      <c r="W39" s="1575">
        <f t="shared" si="14"/>
        <v>100</v>
      </c>
      <c r="X39" s="1568"/>
      <c r="Y39" s="3446"/>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2"/>
      <c r="M40" s="2134"/>
      <c r="N40" s="2134"/>
      <c r="O40" s="2141"/>
      <c r="P40" s="3446"/>
      <c r="Q40" s="1573" t="str">
        <f t="shared" si="11"/>
        <v>单套建筑面积</v>
      </c>
      <c r="R40" s="1574" t="s">
        <v>8</v>
      </c>
      <c r="S40" s="1575">
        <f t="shared" si="12"/>
        <v>100</v>
      </c>
      <c r="T40" s="1574" t="s">
        <v>8</v>
      </c>
      <c r="U40" s="1575">
        <f t="shared" si="13"/>
        <v>100</v>
      </c>
      <c r="V40" s="1574" t="s">
        <v>8</v>
      </c>
      <c r="W40" s="1575">
        <f t="shared" si="14"/>
        <v>100</v>
      </c>
      <c r="X40" s="1568"/>
      <c r="Y40" s="3446"/>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0"/>
      <c r="M41" s="2171"/>
      <c r="N41" s="2171"/>
      <c r="O41" s="2143"/>
      <c r="P41" s="3446"/>
      <c r="Q41" s="1606" t="str">
        <f t="shared" si="11"/>
        <v>进深比</v>
      </c>
      <c r="R41" s="1578" t="s">
        <v>8</v>
      </c>
      <c r="S41" s="1579">
        <f t="shared" si="12"/>
        <v>100</v>
      </c>
      <c r="T41" s="1578" t="s">
        <v>8</v>
      </c>
      <c r="U41" s="1579">
        <f t="shared" si="13"/>
        <v>100</v>
      </c>
      <c r="V41" s="1578" t="s">
        <v>8</v>
      </c>
      <c r="W41" s="1579">
        <f t="shared" si="14"/>
        <v>100</v>
      </c>
      <c r="X41" s="1580"/>
      <c r="Y41" s="3446"/>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2"/>
      <c r="M42" s="2134"/>
      <c r="N42" s="2134"/>
      <c r="O42" s="2141"/>
      <c r="P42" s="3446"/>
      <c r="Q42" s="1573" t="str">
        <f t="shared" si="11"/>
        <v>内部装修</v>
      </c>
      <c r="R42" s="1574" t="s">
        <v>8</v>
      </c>
      <c r="S42" s="1575">
        <f t="shared" si="12"/>
        <v>100</v>
      </c>
      <c r="T42" s="1574" t="s">
        <v>8</v>
      </c>
      <c r="U42" s="1575">
        <f t="shared" si="13"/>
        <v>100</v>
      </c>
      <c r="V42" s="1574" t="s">
        <v>8</v>
      </c>
      <c r="W42" s="1575">
        <f t="shared" si="14"/>
        <v>100</v>
      </c>
      <c r="X42" s="1568"/>
      <c r="Y42" s="3446"/>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2"/>
      <c r="M43" s="2134"/>
      <c r="N43" s="2134"/>
      <c r="O43" s="2141"/>
      <c r="P43" s="3446"/>
      <c r="Q43" s="1573" t="str">
        <f t="shared" si="11"/>
        <v>内部装修维护情况</v>
      </c>
      <c r="R43" s="1574" t="s">
        <v>8</v>
      </c>
      <c r="S43" s="1575">
        <f t="shared" si="12"/>
        <v>100</v>
      </c>
      <c r="T43" s="1574" t="s">
        <v>8</v>
      </c>
      <c r="U43" s="1575">
        <f t="shared" si="13"/>
        <v>100</v>
      </c>
      <c r="V43" s="1574" t="s">
        <v>8</v>
      </c>
      <c r="W43" s="1575">
        <f t="shared" si="14"/>
        <v>100</v>
      </c>
      <c r="X43" s="1568"/>
      <c r="Y43" s="3446"/>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5"/>
      <c r="M44" s="2136"/>
      <c r="N44" s="2136"/>
      <c r="O44" s="2137"/>
      <c r="P44" s="3446"/>
      <c r="Q44" s="1152">
        <f t="shared" si="11"/>
        <v>111</v>
      </c>
      <c r="R44" s="1569" t="s">
        <v>8</v>
      </c>
      <c r="S44" s="1570">
        <f t="shared" si="12"/>
        <v>100</v>
      </c>
      <c r="T44" s="1569" t="s">
        <v>8</v>
      </c>
      <c r="U44" s="1570">
        <f t="shared" si="13"/>
        <v>100</v>
      </c>
      <c r="V44" s="1569" t="s">
        <v>8</v>
      </c>
      <c r="W44" s="1570">
        <f t="shared" si="14"/>
        <v>100</v>
      </c>
      <c r="X44" s="1571"/>
      <c r="Y44" s="3446"/>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2"/>
      <c r="M45" s="2134"/>
      <c r="N45" s="2134"/>
      <c r="O45" s="2141"/>
      <c r="P45" s="3446"/>
      <c r="Q45" s="1573">
        <f t="shared" si="11"/>
        <v>111</v>
      </c>
      <c r="R45" s="1574" t="s">
        <v>8</v>
      </c>
      <c r="S45" s="1575">
        <f t="shared" si="12"/>
        <v>100</v>
      </c>
      <c r="T45" s="1574" t="s">
        <v>8</v>
      </c>
      <c r="U45" s="1575">
        <f t="shared" si="13"/>
        <v>100</v>
      </c>
      <c r="V45" s="1574" t="s">
        <v>8</v>
      </c>
      <c r="W45" s="1575">
        <f t="shared" si="14"/>
        <v>100</v>
      </c>
      <c r="X45" s="1568"/>
      <c r="Y45" s="3446"/>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2"/>
      <c r="M46" s="2134"/>
      <c r="N46" s="2134"/>
      <c r="O46" s="2141"/>
      <c r="P46" s="3529"/>
      <c r="Q46" s="1573">
        <f t="shared" si="11"/>
        <v>111</v>
      </c>
      <c r="R46" s="1574" t="s">
        <v>8</v>
      </c>
      <c r="S46" s="1575">
        <f t="shared" si="12"/>
        <v>100</v>
      </c>
      <c r="T46" s="1574" t="s">
        <v>8</v>
      </c>
      <c r="U46" s="1575">
        <f t="shared" si="13"/>
        <v>100</v>
      </c>
      <c r="V46" s="1574" t="s">
        <v>8</v>
      </c>
      <c r="W46" s="1575">
        <f t="shared" si="14"/>
        <v>100</v>
      </c>
      <c r="X46" s="1568"/>
      <c r="Y46" s="3529"/>
      <c r="Z46" s="1576">
        <f t="shared" si="15"/>
        <v>111</v>
      </c>
      <c r="AA46" s="1577">
        <f t="shared" si="3"/>
        <v>1</v>
      </c>
      <c r="AB46" s="1577">
        <f t="shared" si="4"/>
        <v>1</v>
      </c>
      <c r="AC46" s="1577">
        <f t="shared" si="5"/>
        <v>1</v>
      </c>
    </row>
    <row r="47" spans="1:29" ht="15">
      <c r="A47" s="608" t="s">
        <v>737</v>
      </c>
      <c r="B47" s="888"/>
      <c r="C47" s="2651" t="s">
        <v>1</v>
      </c>
      <c r="D47" s="2652"/>
      <c r="E47" s="2653"/>
      <c r="F47" s="2654"/>
      <c r="G47" s="2655"/>
      <c r="H47" s="2656"/>
      <c r="I47" s="2653"/>
      <c r="J47" s="2656"/>
      <c r="K47" s="1612"/>
      <c r="L47" s="2144"/>
      <c r="M47" s="2145"/>
      <c r="N47" s="2134"/>
      <c r="O47" s="2145"/>
      <c r="P47" s="3409" t="str">
        <f>A47</f>
        <v>成交单价（元/平方米）</v>
      </c>
      <c r="Q47" s="3409"/>
      <c r="R47" s="3528">
        <f>E47</f>
        <v>0</v>
      </c>
      <c r="S47" s="3528"/>
      <c r="T47" s="3528">
        <f>G47</f>
        <v>0</v>
      </c>
      <c r="U47" s="3528"/>
      <c r="V47" s="3528">
        <f>I47</f>
        <v>0</v>
      </c>
      <c r="W47" s="3528"/>
      <c r="X47" s="1560"/>
      <c r="Y47" s="1582"/>
      <c r="Z47" s="1560"/>
      <c r="AA47" s="1560"/>
      <c r="AB47" s="1560"/>
      <c r="AC47" s="1560"/>
    </row>
    <row r="48" spans="1:29" ht="15.75" thickBot="1">
      <c r="A48" s="616" t="s">
        <v>2766</v>
      </c>
      <c r="B48" s="889"/>
      <c r="C48" s="2657" t="e">
        <f>R49</f>
        <v>#DIV/0!</v>
      </c>
      <c r="D48" s="2658"/>
      <c r="E48" s="2659" t="e">
        <f>R48</f>
        <v>#DIV/0!</v>
      </c>
      <c r="F48" s="2659"/>
      <c r="G48" s="2657" t="e">
        <f>T48</f>
        <v>#DIV/0!</v>
      </c>
      <c r="H48" s="2658"/>
      <c r="I48" s="2659" t="e">
        <f>V48</f>
        <v>#DIV/0!</v>
      </c>
      <c r="J48" s="2658"/>
      <c r="K48" s="1613"/>
      <c r="L48" s="2144"/>
      <c r="M48" s="2145"/>
      <c r="N48" s="2134"/>
      <c r="O48" s="2145"/>
      <c r="P48" s="3409" t="str">
        <f>A48</f>
        <v>比较价格（元/平方米）</v>
      </c>
      <c r="Q48" s="3409"/>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560"/>
      <c r="Y48" s="1560"/>
      <c r="Z48" s="1560"/>
      <c r="AA48" s="1560"/>
      <c r="AB48" s="1560"/>
      <c r="AC48" s="1560"/>
    </row>
    <row r="49" spans="1:29" ht="15.75" thickBot="1">
      <c r="A49" s="622" t="s">
        <v>2934</v>
      </c>
      <c r="B49" s="623"/>
      <c r="C49" s="2660" t="e">
        <f>R49</f>
        <v>#DIV/0!</v>
      </c>
      <c r="D49" s="2660"/>
      <c r="E49" s="2660"/>
      <c r="F49" s="2660"/>
      <c r="G49" s="2660"/>
      <c r="H49" s="2660"/>
      <c r="I49" s="2660"/>
      <c r="J49" s="2660"/>
      <c r="K49" s="1614"/>
      <c r="L49" s="2144"/>
      <c r="M49" s="2145"/>
      <c r="N49" s="2134"/>
      <c r="O49" s="2145"/>
      <c r="P49" s="3406" t="str">
        <f>A49</f>
        <v>估价对象XX用房的比较价格（楼面单价，元/平方米）</v>
      </c>
      <c r="Q49" s="3407"/>
      <c r="R49" s="3527" t="e">
        <f>IF(F1="售价",ROUND(AVERAGE(R48:V48),0),ROUND(AVERAGE(R48:V48),1))</f>
        <v>#DIV/0!</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2"/>
      <c r="N59" s="651"/>
      <c r="O59" s="653"/>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206"/>
    </row>
    <row r="63" spans="1:29">
      <c r="A63" s="665" t="s">
        <v>578</v>
      </c>
      <c r="B63" s="666" t="s">
        <v>535</v>
      </c>
      <c r="C63" s="705">
        <f>C9</f>
        <v>0</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672"/>
      <c r="F64" s="672"/>
      <c r="G64" s="672"/>
      <c r="H64" s="672"/>
      <c r="I64" s="672"/>
      <c r="J64" s="672"/>
      <c r="K64" s="672"/>
      <c r="L64" s="672"/>
      <c r="M64" s="673"/>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c r="D68" s="542"/>
      <c r="E68" s="542"/>
      <c r="F68" s="542"/>
      <c r="G68" s="542"/>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72"/>
      <c r="E73" s="672"/>
      <c r="F73" s="672"/>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674" t="s">
        <v>772</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tr">
        <f>B26</f>
        <v>平面位置/可视性</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693"/>
      <c r="D89" s="672"/>
      <c r="E89" s="672"/>
      <c r="F89" s="672"/>
      <c r="G89" s="672"/>
      <c r="H89" s="672"/>
      <c r="I89" s="672"/>
      <c r="J89" s="672"/>
      <c r="K89" s="672"/>
      <c r="L89" s="672"/>
      <c r="M89" s="672"/>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人流量</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70"/>
      <c r="B92" s="674" t="str">
        <f>B28</f>
        <v>楼层</v>
      </c>
      <c r="C92" s="689"/>
      <c r="D92" s="689"/>
      <c r="E92" s="689"/>
      <c r="F92" s="689"/>
      <c r="G92" s="689"/>
      <c r="H92" s="689"/>
      <c r="I92" s="689"/>
      <c r="J92" s="689"/>
      <c r="K92" s="689"/>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72"/>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72"/>
      <c r="E95" s="672"/>
      <c r="F95" s="672"/>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93"/>
      <c r="D97" s="672"/>
      <c r="E97" s="672"/>
      <c r="F97" s="672"/>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689"/>
      <c r="D98" s="689"/>
      <c r="E98" s="689"/>
      <c r="F98" s="689"/>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01"/>
      <c r="D99" s="701"/>
      <c r="E99" s="701"/>
      <c r="F99" s="701"/>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773</v>
      </c>
      <c r="C100" s="599"/>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c r="D103" s="731"/>
      <c r="E103" s="731"/>
      <c r="F103" s="731"/>
      <c r="G103" s="731"/>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c r="D104" s="672"/>
      <c r="E104" s="672"/>
      <c r="F104" s="672"/>
      <c r="G104" s="672"/>
      <c r="H104" s="672"/>
      <c r="I104" s="672"/>
      <c r="J104" s="672"/>
      <c r="K104" s="672"/>
      <c r="L104" s="672"/>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689"/>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752</v>
      </c>
      <c r="C107" s="689"/>
      <c r="D107" s="689"/>
      <c r="E107" s="68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c r="A110" s="736"/>
      <c r="B110" s="682"/>
      <c r="C110" s="895">
        <v>0.5</v>
      </c>
      <c r="D110" s="895">
        <v>0.6</v>
      </c>
      <c r="E110" s="895">
        <v>0.7</v>
      </c>
      <c r="F110" s="895">
        <v>0.8</v>
      </c>
      <c r="G110" s="895">
        <v>0.9</v>
      </c>
      <c r="H110" s="895">
        <v>1.0001</v>
      </c>
      <c r="I110" s="906"/>
      <c r="J110" s="906"/>
      <c r="K110" s="907"/>
      <c r="L110" s="908"/>
      <c r="M110" s="909"/>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6"/>
      <c r="O111" s="2166"/>
      <c r="P111" s="2165"/>
      <c r="Q111" s="2158"/>
      <c r="R111" s="2145"/>
      <c r="S111" s="2145"/>
      <c r="T111" s="2145"/>
      <c r="U111" s="2145"/>
      <c r="V111" s="2145"/>
      <c r="W111" s="2145"/>
      <c r="X111" s="2145"/>
      <c r="Y111" s="2145"/>
      <c r="Z111" s="2145"/>
      <c r="AA111" s="2145"/>
      <c r="AB111" s="2145"/>
      <c r="AC111" s="2145"/>
    </row>
    <row r="112" spans="1:29" s="1340" customFormat="1" ht="15" thickTop="1">
      <c r="A112" s="729"/>
      <c r="B112" s="1896" t="s">
        <v>2560</v>
      </c>
      <c r="C112" s="689"/>
      <c r="D112" s="689"/>
      <c r="E112" s="689"/>
      <c r="F112" s="689"/>
      <c r="G112" s="689"/>
      <c r="H112" s="719"/>
      <c r="I112" s="719"/>
      <c r="J112" s="719"/>
      <c r="K112" s="720"/>
      <c r="L112" s="721"/>
      <c r="M112" s="722"/>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774</v>
      </c>
      <c r="C114" s="689"/>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674" t="s">
        <v>775</v>
      </c>
      <c r="C116" s="689"/>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776</v>
      </c>
      <c r="C118" s="910"/>
      <c r="D118" s="910"/>
      <c r="E118" s="910"/>
      <c r="F118" s="910"/>
      <c r="G118" s="910"/>
      <c r="H118" s="690"/>
      <c r="I118" s="690"/>
      <c r="J118" s="690"/>
      <c r="K118" s="690"/>
      <c r="L118" s="691"/>
      <c r="M118" s="69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s="1340" customFormat="1" ht="15" thickTop="1">
      <c r="A120" s="729"/>
      <c r="B120" s="674" t="s">
        <v>777</v>
      </c>
      <c r="C120" s="719"/>
      <c r="D120" s="719"/>
      <c r="E120" s="719"/>
      <c r="F120" s="719"/>
      <c r="G120" s="690"/>
      <c r="H120" s="690"/>
      <c r="I120" s="690"/>
      <c r="J120" s="690"/>
      <c r="K120" s="690"/>
      <c r="L120" s="691"/>
      <c r="M120" s="6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72"/>
      <c r="E129" s="672"/>
      <c r="F129" s="672"/>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1"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3"/>
      <c r="G1" s="1602" t="s">
        <v>722</v>
      </c>
      <c r="H1" s="507"/>
      <c r="I1" s="507"/>
      <c r="J1" s="507"/>
      <c r="K1" s="508"/>
      <c r="L1" s="1563"/>
      <c r="M1" s="1564"/>
      <c r="N1" s="1564"/>
      <c r="O1" s="1564"/>
      <c r="P1" s="2207"/>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3" t="s">
        <v>522</v>
      </c>
      <c r="B4" s="514"/>
      <c r="C4" s="3415" t="s">
        <v>523</v>
      </c>
      <c r="D4" s="3416"/>
      <c r="E4" s="3449" t="s">
        <v>524</v>
      </c>
      <c r="F4" s="3450"/>
      <c r="G4" s="3415" t="s">
        <v>525</v>
      </c>
      <c r="H4" s="3416"/>
      <c r="I4" s="3415" t="s">
        <v>526</v>
      </c>
      <c r="J4" s="3416"/>
      <c r="K4" s="515" t="s">
        <v>527</v>
      </c>
      <c r="L4" s="2133"/>
      <c r="M4" s="2134"/>
      <c r="N4" s="2134"/>
      <c r="O4" s="2134"/>
      <c r="P4" s="3531" t="s">
        <v>528</v>
      </c>
      <c r="Q4" s="3418"/>
      <c r="R4" s="3423" t="s">
        <v>524</v>
      </c>
      <c r="S4" s="3424"/>
      <c r="T4" s="3423" t="s">
        <v>525</v>
      </c>
      <c r="U4" s="3424"/>
      <c r="V4" s="3410" t="s">
        <v>526</v>
      </c>
      <c r="W4" s="3410"/>
      <c r="X4" s="1568"/>
      <c r="Y4" s="3423" t="s">
        <v>528</v>
      </c>
      <c r="Z4" s="3424"/>
      <c r="AA4" s="3412" t="s">
        <v>524</v>
      </c>
      <c r="AB4" s="3412" t="s">
        <v>525</v>
      </c>
      <c r="AC4" s="3412" t="s">
        <v>526</v>
      </c>
    </row>
    <row r="5" spans="1:29" ht="15">
      <c r="A5" s="516"/>
      <c r="B5" s="517"/>
      <c r="C5" s="3431" t="s">
        <v>2928</v>
      </c>
      <c r="D5" s="3432"/>
      <c r="E5" s="3451" t="s">
        <v>2929</v>
      </c>
      <c r="F5" s="3452"/>
      <c r="G5" s="3431" t="s">
        <v>2930</v>
      </c>
      <c r="H5" s="3432"/>
      <c r="I5" s="3431" t="s">
        <v>2931</v>
      </c>
      <c r="J5" s="3432"/>
      <c r="K5" s="515"/>
      <c r="L5" s="2133"/>
      <c r="M5" s="2134"/>
      <c r="N5" s="2134"/>
      <c r="O5" s="2134"/>
      <c r="P5" s="3532"/>
      <c r="Q5" s="3420"/>
      <c r="R5" s="3425"/>
      <c r="S5" s="3426"/>
      <c r="T5" s="3425"/>
      <c r="U5" s="3426"/>
      <c r="V5" s="3410"/>
      <c r="W5" s="3410"/>
      <c r="X5" s="1568"/>
      <c r="Y5" s="3425"/>
      <c r="Z5" s="3426"/>
      <c r="AA5" s="3413"/>
      <c r="AB5" s="3413"/>
      <c r="AC5" s="3413"/>
    </row>
    <row r="6" spans="1:29" ht="15.75" thickBot="1">
      <c r="A6" s="518"/>
      <c r="B6" s="519"/>
      <c r="C6" s="3429" t="s">
        <v>2932</v>
      </c>
      <c r="D6" s="3430"/>
      <c r="E6" s="3447" t="s">
        <v>2932</v>
      </c>
      <c r="F6" s="3448"/>
      <c r="G6" s="3429" t="s">
        <v>2932</v>
      </c>
      <c r="H6" s="3430"/>
      <c r="I6" s="3429" t="s">
        <v>2932</v>
      </c>
      <c r="J6" s="3430"/>
      <c r="K6" s="515" t="s">
        <v>529</v>
      </c>
      <c r="L6" s="2133"/>
      <c r="M6" s="2134"/>
      <c r="N6" s="2134"/>
      <c r="O6" s="2134"/>
      <c r="P6" s="3533"/>
      <c r="Q6" s="3422"/>
      <c r="R6" s="3425"/>
      <c r="S6" s="3426"/>
      <c r="T6" s="3427"/>
      <c r="U6" s="3428"/>
      <c r="V6" s="3410"/>
      <c r="W6" s="3410"/>
      <c r="X6" s="1568"/>
      <c r="Y6" s="3427"/>
      <c r="Z6" s="3428"/>
      <c r="AA6" s="3414"/>
      <c r="AB6" s="3414"/>
      <c r="AC6" s="3414"/>
    </row>
    <row r="7" spans="1:29" s="1221" customFormat="1" ht="15.75" thickBot="1">
      <c r="A7" s="2938"/>
      <c r="B7" s="2945" t="s">
        <v>530</v>
      </c>
      <c r="C7" s="520">
        <f>'数据-取费表'!B2</f>
        <v>43089</v>
      </c>
      <c r="D7" s="521">
        <v>100</v>
      </c>
      <c r="E7" s="522"/>
      <c r="F7" s="523">
        <f>SUMIF(59:59,YEAR(E7)&amp;"-"&amp;MONTH(E7),60:60)</f>
        <v>0</v>
      </c>
      <c r="G7" s="522"/>
      <c r="H7" s="521">
        <f>SUMIF(59:59,YEAR(G7)&amp;"-"&amp;MONTH(G7),60:60)</f>
        <v>0</v>
      </c>
      <c r="I7" s="522"/>
      <c r="J7" s="521">
        <f>SUMIF(59:59,YEAR(I7)&amp;"-"&amp;MONTH(I7),60:60)</f>
        <v>0</v>
      </c>
      <c r="K7" s="525"/>
      <c r="L7" s="2135"/>
      <c r="M7" s="2136"/>
      <c r="N7" s="2136"/>
      <c r="O7" s="2136"/>
      <c r="P7" s="3442" t="s">
        <v>531</v>
      </c>
      <c r="Q7" s="3442"/>
      <c r="R7" s="1569" t="s">
        <v>8</v>
      </c>
      <c r="S7" s="1570">
        <f t="shared" ref="S7:S15" si="0">F7</f>
        <v>0</v>
      </c>
      <c r="T7" s="1569" t="s">
        <v>8</v>
      </c>
      <c r="U7" s="1570">
        <f t="shared" ref="U7:U15" si="1">H7</f>
        <v>0</v>
      </c>
      <c r="V7" s="1569" t="s">
        <v>8</v>
      </c>
      <c r="W7" s="1570">
        <f t="shared" ref="W7:W15" si="2">J7</f>
        <v>0</v>
      </c>
      <c r="X7" s="1571"/>
      <c r="Y7" s="3440" t="s">
        <v>531</v>
      </c>
      <c r="Z7" s="3441"/>
      <c r="AA7" s="1572" t="e">
        <f>D7/F7</f>
        <v>#DIV/0!</v>
      </c>
      <c r="AB7" s="1572" t="e">
        <f>D7/H7</f>
        <v>#DIV/0!</v>
      </c>
      <c r="AC7" s="1572" t="e">
        <f>D7/J7</f>
        <v>#DIV/0!</v>
      </c>
    </row>
    <row r="8" spans="1:29" s="1221" customFormat="1" ht="15.75" thickBot="1">
      <c r="A8" s="2939"/>
      <c r="B8" s="2946" t="s">
        <v>532</v>
      </c>
      <c r="C8" s="526" t="s">
        <v>577</v>
      </c>
      <c r="D8" s="521">
        <v>100</v>
      </c>
      <c r="E8" s="526"/>
      <c r="F8" s="523">
        <f>SUMIF(62:62,E8,63:63)-SUMIF(62:62,C8,63:63)+100</f>
        <v>0</v>
      </c>
      <c r="G8" s="526"/>
      <c r="H8" s="521">
        <f>SUMIF(62:62,G8,63:63)-SUMIF(62:62,C8,63:63)+100</f>
        <v>0</v>
      </c>
      <c r="I8" s="526"/>
      <c r="J8" s="521">
        <f>SUMIF(62:62,I8,63:63)-SUMIF(62:62,C8,63:63)+100</f>
        <v>0</v>
      </c>
      <c r="K8" s="525"/>
      <c r="L8" s="2135"/>
      <c r="M8" s="2136"/>
      <c r="N8" s="2136"/>
      <c r="O8" s="2136"/>
      <c r="P8" s="3442" t="s">
        <v>534</v>
      </c>
      <c r="Q8" s="3441"/>
      <c r="R8" s="1569" t="s">
        <v>8</v>
      </c>
      <c r="S8" s="1570">
        <f t="shared" si="0"/>
        <v>0</v>
      </c>
      <c r="T8" s="1569" t="s">
        <v>8</v>
      </c>
      <c r="U8" s="1570">
        <f t="shared" si="1"/>
        <v>0</v>
      </c>
      <c r="V8" s="1569" t="s">
        <v>8</v>
      </c>
      <c r="W8" s="1570">
        <f t="shared" si="2"/>
        <v>0</v>
      </c>
      <c r="X8" s="1571"/>
      <c r="Y8" s="3440" t="s">
        <v>534</v>
      </c>
      <c r="Z8" s="3441"/>
      <c r="AA8" s="1572" t="e">
        <f t="shared" ref="AA8:AA47" si="3">D8/F8</f>
        <v>#DIV/0!</v>
      </c>
      <c r="AB8" s="1572" t="e">
        <f t="shared" ref="AB8:AB47" si="4">D8/H8</f>
        <v>#DIV/0!</v>
      </c>
      <c r="AC8" s="1572" t="e">
        <f t="shared" ref="AC8:AC47" si="5">D8/J8</f>
        <v>#DIV/0!</v>
      </c>
    </row>
    <row r="9" spans="1:29" s="1221" customFormat="1" ht="15">
      <c r="A9" s="2940"/>
      <c r="B9" s="2947" t="s">
        <v>2762</v>
      </c>
      <c r="C9" s="858"/>
      <c r="D9" s="252">
        <v>100</v>
      </c>
      <c r="E9" s="861"/>
      <c r="F9" s="252">
        <f>SUMIF(64:64,E9,65:65)-SUMIF(64:64,C9,65:65)+100</f>
        <v>100</v>
      </c>
      <c r="G9" s="859"/>
      <c r="H9" s="252">
        <f>SUMIF(64:64,G9,65:65)-SUMIF(64:64,C9,65:65)+100</f>
        <v>100</v>
      </c>
      <c r="I9" s="859"/>
      <c r="J9" s="252">
        <f>SUMIF(64:64,I9,65:65)-SUMIF(64:64,C9,65:65)+100</f>
        <v>100</v>
      </c>
      <c r="K9" s="525"/>
      <c r="L9" s="2135"/>
      <c r="M9" s="2136"/>
      <c r="N9" s="2136"/>
      <c r="O9" s="2136"/>
      <c r="P9" s="3409" t="s">
        <v>536</v>
      </c>
      <c r="Q9" s="1152" t="str">
        <f t="shared" ref="Q9:Q15" si="6">B9</f>
        <v>用途</v>
      </c>
      <c r="R9" s="1569" t="s">
        <v>8</v>
      </c>
      <c r="S9" s="1570">
        <f t="shared" si="0"/>
        <v>100</v>
      </c>
      <c r="T9" s="1569" t="s">
        <v>8</v>
      </c>
      <c r="U9" s="1570">
        <f t="shared" si="1"/>
        <v>100</v>
      </c>
      <c r="V9" s="1569" t="s">
        <v>8</v>
      </c>
      <c r="W9" s="1570">
        <f t="shared" si="2"/>
        <v>100</v>
      </c>
      <c r="X9" s="1571"/>
      <c r="Y9" s="3355"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SUMIF(66:66,E10,67:67)-SUMIF(66:66,C10,67:67)+100</f>
        <v>100</v>
      </c>
      <c r="G10" s="863"/>
      <c r="H10" s="253">
        <f>SUMIF(66:66,G10,67:67)-SUMIF(66:66,C10,67:67)+100</f>
        <v>100</v>
      </c>
      <c r="I10" s="862"/>
      <c r="J10" s="253">
        <f>SUMIF(66:66,I10,67:67)-SUMIF(66:66,C10,67:67)+100</f>
        <v>100</v>
      </c>
      <c r="K10" s="585"/>
      <c r="L10" s="2138"/>
      <c r="M10" s="2178"/>
      <c r="N10" s="2178"/>
      <c r="O10" s="2178"/>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0"/>
      <c r="M11" s="2134"/>
      <c r="N11" s="2134"/>
      <c r="O11" s="2134"/>
      <c r="P11" s="3409"/>
      <c r="Q11" s="1152" t="str">
        <f t="shared" si="6"/>
        <v>容积率</v>
      </c>
      <c r="R11" s="1569" t="s">
        <v>8</v>
      </c>
      <c r="S11" s="1570" t="e">
        <f t="shared" si="0"/>
        <v>#N/A</v>
      </c>
      <c r="T11" s="1569" t="s">
        <v>8</v>
      </c>
      <c r="U11" s="1570" t="e">
        <f t="shared" si="1"/>
        <v>#N/A</v>
      </c>
      <c r="V11" s="1569" t="s">
        <v>8</v>
      </c>
      <c r="W11" s="1570" t="e">
        <f t="shared" si="2"/>
        <v>#N/A</v>
      </c>
      <c r="X11" s="1571"/>
      <c r="Y11" s="3355"/>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29"/>
      <c r="F12" s="253">
        <f>SUMIF(71:71,E12,72:72)-SUMIF(71:71,C12,72:72)+100</f>
        <v>100</v>
      </c>
      <c r="G12" s="911"/>
      <c r="H12" s="253">
        <f>SUMIF(71:71,G12,72:72)-SUMIF(71:71,C12,72:72)+100</f>
        <v>100</v>
      </c>
      <c r="I12" s="529"/>
      <c r="J12" s="253">
        <f>SUMIF(71:71,I12,72:72)-SUMIF(71:71,C12,72:72)+100</f>
        <v>100</v>
      </c>
      <c r="K12" s="582"/>
      <c r="L12" s="2135"/>
      <c r="M12" s="2136"/>
      <c r="N12" s="2136"/>
      <c r="O12" s="2136"/>
      <c r="P12" s="3409"/>
      <c r="Q12" s="1152">
        <f t="shared" si="6"/>
        <v>111</v>
      </c>
      <c r="R12" s="1569" t="s">
        <v>8</v>
      </c>
      <c r="S12" s="1570">
        <f t="shared" si="0"/>
        <v>100</v>
      </c>
      <c r="T12" s="1569" t="s">
        <v>8</v>
      </c>
      <c r="U12" s="1570">
        <f t="shared" si="1"/>
        <v>100</v>
      </c>
      <c r="V12" s="1569" t="s">
        <v>8</v>
      </c>
      <c r="W12" s="1570">
        <f t="shared" si="2"/>
        <v>100</v>
      </c>
      <c r="X12" s="1571"/>
      <c r="Y12" s="3355"/>
      <c r="Z12" s="1151">
        <f t="shared" si="7"/>
        <v>111</v>
      </c>
      <c r="AA12" s="1572">
        <f>D12/F12</f>
        <v>1</v>
      </c>
      <c r="AB12" s="1572">
        <f>D12/H12</f>
        <v>1</v>
      </c>
      <c r="AC12" s="1572">
        <f>D12/J12</f>
        <v>1</v>
      </c>
    </row>
    <row r="13" spans="1:29" ht="15">
      <c r="A13" s="2943"/>
      <c r="B13" s="2949">
        <v>111</v>
      </c>
      <c r="C13" s="540"/>
      <c r="D13" s="541">
        <v>100</v>
      </c>
      <c r="E13" s="529"/>
      <c r="F13" s="253">
        <f>SUMIF(73:73,E13,74:74)-SUMIF(73:73,C13,74:74)+100</f>
        <v>100</v>
      </c>
      <c r="G13" s="911"/>
      <c r="H13" s="541">
        <f>SUMIF(73:73,G13,74:74)-SUMIF(73:73,C13,74:74)+100</f>
        <v>100</v>
      </c>
      <c r="I13" s="529"/>
      <c r="J13" s="541">
        <f>SUMIF(73:73,I13,74:74)-SUMIF(73:73,C13,74:74)+100</f>
        <v>100</v>
      </c>
      <c r="K13" s="582"/>
      <c r="L13" s="2142"/>
      <c r="M13" s="2134"/>
      <c r="N13" s="2134"/>
      <c r="O13" s="2134"/>
      <c r="P13" s="3409"/>
      <c r="Q13" s="1152">
        <f t="shared" si="6"/>
        <v>111</v>
      </c>
      <c r="R13" s="1569" t="s">
        <v>8</v>
      </c>
      <c r="S13" s="1570">
        <f t="shared" si="0"/>
        <v>100</v>
      </c>
      <c r="T13" s="1569" t="s">
        <v>8</v>
      </c>
      <c r="U13" s="1570">
        <f t="shared" si="1"/>
        <v>100</v>
      </c>
      <c r="V13" s="1569" t="s">
        <v>8</v>
      </c>
      <c r="W13" s="1570">
        <f t="shared" si="2"/>
        <v>100</v>
      </c>
      <c r="X13" s="1571"/>
      <c r="Y13" s="3355"/>
      <c r="Z13" s="1151">
        <f t="shared" si="7"/>
        <v>111</v>
      </c>
      <c r="AA13" s="1572">
        <f t="shared" si="3"/>
        <v>1</v>
      </c>
      <c r="AB13" s="1572">
        <f t="shared" si="4"/>
        <v>1</v>
      </c>
      <c r="AC13" s="1572">
        <f t="shared" si="5"/>
        <v>1</v>
      </c>
    </row>
    <row r="14" spans="1:29" ht="15.75" thickBot="1">
      <c r="A14" s="2944"/>
      <c r="B14" s="2950">
        <v>111</v>
      </c>
      <c r="C14" s="546"/>
      <c r="D14" s="547">
        <v>100</v>
      </c>
      <c r="E14" s="912"/>
      <c r="F14" s="547">
        <f>SUMIF(75:75,E14,76:76)-SUMIF(75:75,C14,76:76)+100</f>
        <v>100</v>
      </c>
      <c r="G14" s="911"/>
      <c r="H14" s="547">
        <f>SUMIF(75:75,G14,76:76)-SUMIF(75:75,C14,76:76)+100</f>
        <v>100</v>
      </c>
      <c r="I14" s="529"/>
      <c r="J14" s="547">
        <f>SUMIF(75:75,I14,76:76)-SUMIF(75:75,C14,76:76)+100</f>
        <v>100</v>
      </c>
      <c r="K14" s="582"/>
      <c r="L14" s="2142"/>
      <c r="M14" s="2134"/>
      <c r="N14" s="2134"/>
      <c r="O14" s="2134"/>
      <c r="P14" s="3409"/>
      <c r="Q14" s="1152">
        <f t="shared" si="6"/>
        <v>111</v>
      </c>
      <c r="R14" s="1569" t="s">
        <v>8</v>
      </c>
      <c r="S14" s="1570">
        <f t="shared" si="0"/>
        <v>100</v>
      </c>
      <c r="T14" s="1569" t="s">
        <v>8</v>
      </c>
      <c r="U14" s="1570">
        <f t="shared" si="1"/>
        <v>100</v>
      </c>
      <c r="V14" s="1569" t="s">
        <v>8</v>
      </c>
      <c r="W14" s="1570">
        <f t="shared" si="2"/>
        <v>100</v>
      </c>
      <c r="X14" s="1571"/>
      <c r="Y14" s="3355"/>
      <c r="Z14" s="1151">
        <f t="shared" si="7"/>
        <v>111</v>
      </c>
      <c r="AA14" s="1572">
        <f t="shared" si="3"/>
        <v>1</v>
      </c>
      <c r="AB14" s="1572">
        <f t="shared" si="4"/>
        <v>1</v>
      </c>
      <c r="AC14" s="1572">
        <f t="shared" si="5"/>
        <v>1</v>
      </c>
    </row>
    <row r="15" spans="1:29" ht="71.25">
      <c r="A15" s="2936" t="s">
        <v>2760</v>
      </c>
      <c r="B15" s="548" t="s">
        <v>543</v>
      </c>
      <c r="C15" s="549" t="str">
        <f>估价对象房地状况!C5</f>
        <v>估价对象位于椰海大道南侧，周边办公楼项目一般，办公集聚程度一般</v>
      </c>
      <c r="D15" s="550">
        <v>100</v>
      </c>
      <c r="E15" s="553"/>
      <c r="F15" s="550">
        <f>SUMIF(77:77,E16,78:78)-SUMIF(77:77,C16,78:78)+100</f>
        <v>100</v>
      </c>
      <c r="G15" s="551"/>
      <c r="H15" s="550">
        <f>SUMIF(77:77,G16,78:78)-SUMIF(77:77,C16,78:78)+100</f>
        <v>100</v>
      </c>
      <c r="I15" s="551"/>
      <c r="J15" s="550">
        <f>SUMIF(77:77,I16,78:78)-SUMIF(77:77,C16,78:78)+100</f>
        <v>100</v>
      </c>
      <c r="K15" s="899"/>
      <c r="L15" s="2142"/>
      <c r="M15" s="2134"/>
      <c r="N15" s="2134"/>
      <c r="O15" s="2134"/>
      <c r="P15" s="3443" t="s">
        <v>541</v>
      </c>
      <c r="Q15" s="1573" t="str">
        <f t="shared" si="6"/>
        <v>办公集聚程度</v>
      </c>
      <c r="R15" s="1574" t="s">
        <v>8</v>
      </c>
      <c r="S15" s="1575">
        <f t="shared" si="0"/>
        <v>100</v>
      </c>
      <c r="T15" s="1574" t="s">
        <v>8</v>
      </c>
      <c r="U15" s="1575">
        <f t="shared" si="1"/>
        <v>100</v>
      </c>
      <c r="V15" s="1574" t="s">
        <v>8</v>
      </c>
      <c r="W15" s="1575">
        <f t="shared" si="2"/>
        <v>100</v>
      </c>
      <c r="X15" s="1568"/>
      <c r="Y15" s="3443"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2"/>
      <c r="M16" s="2134"/>
      <c r="N16" s="2134"/>
      <c r="O16" s="2134"/>
      <c r="P16" s="3444"/>
      <c r="Q16" s="1573"/>
      <c r="R16" s="1574"/>
      <c r="S16" s="1575"/>
      <c r="T16" s="1574"/>
      <c r="U16" s="1575"/>
      <c r="V16" s="1574"/>
      <c r="W16" s="1575"/>
      <c r="X16" s="1568"/>
      <c r="Y16" s="3444"/>
      <c r="Z16" s="1576"/>
      <c r="AA16" s="1577">
        <v>1</v>
      </c>
      <c r="AB16" s="1577">
        <v>1</v>
      </c>
      <c r="AC16" s="1577">
        <v>1</v>
      </c>
    </row>
    <row r="17" spans="1:29" ht="114">
      <c r="A17" s="533"/>
      <c r="B17" s="561" t="s">
        <v>296</v>
      </c>
      <c r="C17" s="574" t="str">
        <f>估价对象房地状况!C6</f>
        <v>估价对象东北侧临主干道-津塘公路，有186路、207路、659路等公交线路，停车便捷程度较好，综合评价交通便捷度一般</v>
      </c>
      <c r="D17" s="560">
        <v>100</v>
      </c>
      <c r="E17" s="565"/>
      <c r="F17" s="560">
        <f>SUMIF(79:79,E18,80:80)-SUMIF(79:79,C18,80:80)+100</f>
        <v>100</v>
      </c>
      <c r="G17" s="563"/>
      <c r="H17" s="566">
        <f>SUMIF(79:79,G18,80:80)-SUMIF(79:79,C18,80:80)+100</f>
        <v>100</v>
      </c>
      <c r="I17" s="563"/>
      <c r="J17" s="566">
        <f>SUMIF(79:79,I18,80:80)-SUMIF(79:79,C18,80:80)+100</f>
        <v>100</v>
      </c>
      <c r="K17" s="899"/>
      <c r="L17" s="2142"/>
      <c r="M17" s="2134"/>
      <c r="N17" s="2134"/>
      <c r="O17" s="2134"/>
      <c r="P17" s="3444"/>
      <c r="Q17" s="1573" t="str">
        <f>B17</f>
        <v>交通便捷度</v>
      </c>
      <c r="R17" s="1574" t="s">
        <v>8</v>
      </c>
      <c r="S17" s="1575">
        <f>F17</f>
        <v>100</v>
      </c>
      <c r="T17" s="1574" t="s">
        <v>8</v>
      </c>
      <c r="U17" s="1575">
        <f>H17</f>
        <v>100</v>
      </c>
      <c r="V17" s="1574" t="s">
        <v>8</v>
      </c>
      <c r="W17" s="1575">
        <f>J17</f>
        <v>100</v>
      </c>
      <c r="X17" s="1568"/>
      <c r="Y17" s="3444"/>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2"/>
      <c r="M18" s="2134"/>
      <c r="N18" s="2134"/>
      <c r="O18" s="2134"/>
      <c r="P18" s="3444"/>
      <c r="Q18" s="1573"/>
      <c r="R18" s="1574"/>
      <c r="S18" s="1575"/>
      <c r="T18" s="1574"/>
      <c r="U18" s="1575"/>
      <c r="V18" s="1574"/>
      <c r="W18" s="1575"/>
      <c r="X18" s="1568"/>
      <c r="Y18" s="3444"/>
      <c r="Z18" s="1576"/>
      <c r="AA18" s="1577">
        <v>1</v>
      </c>
      <c r="AB18" s="1577">
        <v>1</v>
      </c>
      <c r="AC18" s="1577">
        <v>1</v>
      </c>
    </row>
    <row r="19" spans="1:29" ht="99.75">
      <c r="A19" s="533"/>
      <c r="B19" s="2627" t="s">
        <v>2550</v>
      </c>
      <c r="C19" s="574" t="str">
        <f>估价对象房地状况!C7</f>
        <v>估价对象所在区域有农业银行、龙跃财富广场、八里台第一小学、天津津南新华医院，公共配套设施较好</v>
      </c>
      <c r="D19" s="566">
        <v>100</v>
      </c>
      <c r="E19" s="573"/>
      <c r="F19" s="566">
        <f>SUMIF(81:81,E20,82:82)-SUMIF(81:81,C20,82:82)+100</f>
        <v>100</v>
      </c>
      <c r="G19" s="571"/>
      <c r="H19" s="560">
        <f>SUMIF(81:81,G20,82:82)-SUMIF(81:81,C20,82:82)+100</f>
        <v>100</v>
      </c>
      <c r="I19" s="571"/>
      <c r="J19" s="560">
        <f>SUMIF(81:81,I20,82:82)-SUMIF(81:81,C20,82:82)+100</f>
        <v>100</v>
      </c>
      <c r="K19" s="899"/>
      <c r="L19" s="2142"/>
      <c r="M19" s="2134"/>
      <c r="N19" s="2134"/>
      <c r="O19" s="2134"/>
      <c r="P19" s="3444"/>
      <c r="Q19" s="1573" t="str">
        <f>B19</f>
        <v>公共配套设施</v>
      </c>
      <c r="R19" s="1574" t="s">
        <v>8</v>
      </c>
      <c r="S19" s="1575">
        <f>F19</f>
        <v>100</v>
      </c>
      <c r="T19" s="1574" t="s">
        <v>8</v>
      </c>
      <c r="U19" s="1575">
        <f>H19</f>
        <v>100</v>
      </c>
      <c r="V19" s="1574" t="s">
        <v>8</v>
      </c>
      <c r="W19" s="1575">
        <f>J19</f>
        <v>100</v>
      </c>
      <c r="X19" s="1568"/>
      <c r="Y19" s="3444"/>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2"/>
      <c r="M20" s="2134"/>
      <c r="N20" s="2134"/>
      <c r="O20" s="2134"/>
      <c r="P20" s="3444"/>
      <c r="Q20" s="1573"/>
      <c r="R20" s="1574"/>
      <c r="S20" s="1575"/>
      <c r="T20" s="1574"/>
      <c r="U20" s="1575"/>
      <c r="V20" s="1574"/>
      <c r="W20" s="1575"/>
      <c r="X20" s="1568"/>
      <c r="Y20" s="3444"/>
      <c r="Z20" s="1576"/>
      <c r="AA20" s="1577">
        <v>1</v>
      </c>
      <c r="AB20" s="1577">
        <v>1</v>
      </c>
      <c r="AC20" s="1577">
        <v>1</v>
      </c>
    </row>
    <row r="21" spans="1:29" ht="15">
      <c r="A21" s="533"/>
      <c r="B21" s="2615" t="s">
        <v>2562</v>
      </c>
      <c r="C21" s="574" t="str">
        <f>估价对象房地状况!C8</f>
        <v>七通一平</v>
      </c>
      <c r="D21" s="566">
        <v>100</v>
      </c>
      <c r="E21" s="573"/>
      <c r="F21" s="566">
        <f>SUMIF(83:83,E22,84:84)-SUMIF(83:83,C22,84:84)+100</f>
        <v>100</v>
      </c>
      <c r="G21" s="571"/>
      <c r="H21" s="566">
        <f>SUMIF(83:83,G22,84:84)-SUMIF(83:83,C22,84:84)+100</f>
        <v>100</v>
      </c>
      <c r="I21" s="571"/>
      <c r="J21" s="566">
        <f>SUMIF(83:83,I22,84:84)-SUMIF(83:83,C22,84:84)+100</f>
        <v>100</v>
      </c>
      <c r="K21" s="899"/>
      <c r="L21" s="2142"/>
      <c r="M21" s="2134"/>
      <c r="N21" s="2134"/>
      <c r="O21" s="2134"/>
      <c r="P21" s="3444"/>
      <c r="Q21" s="2603" t="str">
        <f>B21</f>
        <v>基础设施水平</v>
      </c>
      <c r="R21" s="1574" t="s">
        <v>8</v>
      </c>
      <c r="S21" s="1575">
        <f>F21</f>
        <v>100</v>
      </c>
      <c r="T21" s="1574" t="s">
        <v>8</v>
      </c>
      <c r="U21" s="1575">
        <f>H21</f>
        <v>100</v>
      </c>
      <c r="V21" s="1574" t="s">
        <v>8</v>
      </c>
      <c r="W21" s="1575">
        <f>J21</f>
        <v>100</v>
      </c>
      <c r="X21" s="2605"/>
      <c r="Y21" s="3444"/>
      <c r="Z21" s="2604"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6"/>
      <c r="L22" s="2142"/>
      <c r="M22" s="2134"/>
      <c r="N22" s="2134"/>
      <c r="O22" s="2134"/>
      <c r="P22" s="3444"/>
      <c r="Q22" s="2603"/>
      <c r="R22" s="1574"/>
      <c r="S22" s="1575"/>
      <c r="T22" s="1574"/>
      <c r="U22" s="1575"/>
      <c r="V22" s="1574"/>
      <c r="W22" s="1575"/>
      <c r="X22" s="2605"/>
      <c r="Y22" s="3444"/>
      <c r="Z22" s="2604"/>
      <c r="AA22" s="1577">
        <v>1</v>
      </c>
      <c r="AB22" s="1577">
        <v>1</v>
      </c>
      <c r="AC22" s="1577">
        <v>1</v>
      </c>
    </row>
    <row r="23" spans="1:29" ht="57">
      <c r="A23" s="533"/>
      <c r="B23" s="561" t="s">
        <v>779</v>
      </c>
      <c r="C23" s="574" t="str">
        <f>估价对象房地状况!C9</f>
        <v>区域内无特殊自然环境及大学，综合评价环境状况一般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2"/>
      <c r="M23" s="2134"/>
      <c r="N23" s="2134"/>
      <c r="O23" s="2134"/>
      <c r="P23" s="3444"/>
      <c r="Q23" s="1573" t="str">
        <f>B23</f>
        <v>环境质量</v>
      </c>
      <c r="R23" s="1574" t="s">
        <v>8</v>
      </c>
      <c r="S23" s="1575">
        <f>F23</f>
        <v>100</v>
      </c>
      <c r="T23" s="1574" t="s">
        <v>8</v>
      </c>
      <c r="U23" s="1575">
        <f>H23</f>
        <v>100</v>
      </c>
      <c r="V23" s="1574" t="s">
        <v>8</v>
      </c>
      <c r="W23" s="1575">
        <f>J23</f>
        <v>100</v>
      </c>
      <c r="X23" s="1568"/>
      <c r="Y23" s="3444"/>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2"/>
      <c r="M24" s="2134"/>
      <c r="N24" s="2134"/>
      <c r="O24" s="2134"/>
      <c r="P24" s="3444"/>
      <c r="Q24" s="1573"/>
      <c r="R24" s="1574"/>
      <c r="S24" s="1575"/>
      <c r="T24" s="1574"/>
      <c r="U24" s="1575"/>
      <c r="V24" s="1574"/>
      <c r="W24" s="1575"/>
      <c r="X24" s="1568"/>
      <c r="Y24" s="3444"/>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2"/>
      <c r="M25" s="2134"/>
      <c r="N25" s="2134"/>
      <c r="O25" s="2134"/>
      <c r="P25" s="3444"/>
      <c r="Q25" s="1573" t="str">
        <f>B25</f>
        <v>毗邻道路的类型与等级</v>
      </c>
      <c r="R25" s="1574" t="s">
        <v>8</v>
      </c>
      <c r="S25" s="1575">
        <f>F25</f>
        <v>100</v>
      </c>
      <c r="T25" s="1574" t="s">
        <v>8</v>
      </c>
      <c r="U25" s="1575">
        <f>H25</f>
        <v>100</v>
      </c>
      <c r="V25" s="1574" t="s">
        <v>8</v>
      </c>
      <c r="W25" s="1575">
        <f>J25</f>
        <v>100</v>
      </c>
      <c r="X25" s="1568"/>
      <c r="Y25" s="3444"/>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2"/>
      <c r="M26" s="2134"/>
      <c r="N26" s="2134"/>
      <c r="O26" s="2134"/>
      <c r="P26" s="3444"/>
      <c r="Q26" s="1573"/>
      <c r="R26" s="1574"/>
      <c r="S26" s="1575"/>
      <c r="T26" s="1574"/>
      <c r="U26" s="1575"/>
      <c r="V26" s="1574"/>
      <c r="W26" s="1575"/>
      <c r="X26" s="1568"/>
      <c r="Y26" s="3444"/>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2"/>
      <c r="M27" s="2134"/>
      <c r="N27" s="2134"/>
      <c r="O27" s="2134"/>
      <c r="P27" s="3444"/>
      <c r="Q27" s="1573" t="str">
        <f t="shared" ref="Q27:Q47" si="11">B27</f>
        <v>楼层</v>
      </c>
      <c r="R27" s="1574" t="s">
        <v>8</v>
      </c>
      <c r="S27" s="1575">
        <f>F27</f>
        <v>100</v>
      </c>
      <c r="T27" s="1574" t="s">
        <v>8</v>
      </c>
      <c r="U27" s="1575">
        <f>H27</f>
        <v>100</v>
      </c>
      <c r="V27" s="1574" t="s">
        <v>8</v>
      </c>
      <c r="W27" s="1575">
        <f>J27</f>
        <v>100</v>
      </c>
      <c r="X27" s="1568"/>
      <c r="Y27" s="3444"/>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5"/>
      <c r="M28" s="2136"/>
      <c r="N28" s="2136"/>
      <c r="O28" s="2136"/>
      <c r="P28" s="3444"/>
      <c r="Q28" s="1152" t="str">
        <f t="shared" si="11"/>
        <v>朝向</v>
      </c>
      <c r="R28" s="1569" t="s">
        <v>8</v>
      </c>
      <c r="S28" s="1570">
        <f>F28</f>
        <v>100</v>
      </c>
      <c r="T28" s="1569" t="s">
        <v>8</v>
      </c>
      <c r="U28" s="1570">
        <f>H28</f>
        <v>100</v>
      </c>
      <c r="V28" s="1569" t="s">
        <v>8</v>
      </c>
      <c r="W28" s="1570">
        <f>J28</f>
        <v>100</v>
      </c>
      <c r="X28" s="1571"/>
      <c r="Y28" s="3444"/>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2"/>
      <c r="M29" s="2134"/>
      <c r="N29" s="2134"/>
      <c r="O29" s="2134"/>
      <c r="P29" s="3444"/>
      <c r="Q29" s="1573">
        <f t="shared" si="11"/>
        <v>111</v>
      </c>
      <c r="R29" s="1574" t="s">
        <v>8</v>
      </c>
      <c r="S29" s="1575">
        <f t="shared" ref="S29:S47" si="12">F29</f>
        <v>100</v>
      </c>
      <c r="T29" s="1574" t="s">
        <v>8</v>
      </c>
      <c r="U29" s="1575">
        <f t="shared" ref="U29:U47" si="13">H29</f>
        <v>100</v>
      </c>
      <c r="V29" s="1574" t="s">
        <v>8</v>
      </c>
      <c r="W29" s="1575">
        <f t="shared" ref="W29:W47" si="14">J29</f>
        <v>100</v>
      </c>
      <c r="X29" s="1568"/>
      <c r="Y29" s="3444"/>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2"/>
      <c r="M30" s="2134"/>
      <c r="N30" s="2134"/>
      <c r="O30" s="2134"/>
      <c r="P30" s="3444"/>
      <c r="Q30" s="1573">
        <f t="shared" si="11"/>
        <v>111</v>
      </c>
      <c r="R30" s="1574" t="s">
        <v>8</v>
      </c>
      <c r="S30" s="1575">
        <f t="shared" si="12"/>
        <v>100</v>
      </c>
      <c r="T30" s="1574" t="s">
        <v>8</v>
      </c>
      <c r="U30" s="1575">
        <f t="shared" si="13"/>
        <v>100</v>
      </c>
      <c r="V30" s="1574" t="s">
        <v>8</v>
      </c>
      <c r="W30" s="1575">
        <f t="shared" si="14"/>
        <v>100</v>
      </c>
      <c r="X30" s="1568"/>
      <c r="Y30" s="3444"/>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2"/>
      <c r="M31" s="2134"/>
      <c r="N31" s="2134"/>
      <c r="O31" s="2134"/>
      <c r="P31" s="3444"/>
      <c r="Q31" s="1573">
        <f t="shared" si="11"/>
        <v>111</v>
      </c>
      <c r="R31" s="1574" t="s">
        <v>8</v>
      </c>
      <c r="S31" s="1575">
        <f t="shared" si="12"/>
        <v>100</v>
      </c>
      <c r="T31" s="1574" t="s">
        <v>8</v>
      </c>
      <c r="U31" s="1575">
        <f t="shared" si="13"/>
        <v>100</v>
      </c>
      <c r="V31" s="1574" t="s">
        <v>8</v>
      </c>
      <c r="W31" s="1575">
        <f t="shared" si="14"/>
        <v>100</v>
      </c>
      <c r="X31" s="1568"/>
      <c r="Y31" s="3444"/>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2"/>
      <c r="M32" s="2134"/>
      <c r="N32" s="2134"/>
      <c r="O32" s="2134"/>
      <c r="P32" s="3444"/>
      <c r="Q32" s="1573">
        <f t="shared" si="11"/>
        <v>111</v>
      </c>
      <c r="R32" s="1574" t="s">
        <v>8</v>
      </c>
      <c r="S32" s="1575">
        <f t="shared" si="12"/>
        <v>100</v>
      </c>
      <c r="T32" s="1574" t="s">
        <v>8</v>
      </c>
      <c r="U32" s="1575">
        <f t="shared" si="13"/>
        <v>100</v>
      </c>
      <c r="V32" s="1574" t="s">
        <v>8</v>
      </c>
      <c r="W32" s="1575">
        <f t="shared" si="14"/>
        <v>100</v>
      </c>
      <c r="X32" s="1568"/>
      <c r="Y32" s="3444"/>
      <c r="Z32" s="1576">
        <f t="shared" si="15"/>
        <v>111</v>
      </c>
      <c r="AA32" s="1577">
        <f t="shared" si="3"/>
        <v>1</v>
      </c>
      <c r="AB32" s="1577">
        <f t="shared" si="4"/>
        <v>1</v>
      </c>
      <c r="AC32" s="1577">
        <f t="shared" si="5"/>
        <v>1</v>
      </c>
    </row>
    <row r="33" spans="1:29" ht="15">
      <c r="A33" s="2933" t="s">
        <v>2761</v>
      </c>
      <c r="B33" s="171"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2"/>
      <c r="M33" s="2134"/>
      <c r="N33" s="2134"/>
      <c r="O33" s="2134"/>
      <c r="P33" s="3445" t="s">
        <v>551</v>
      </c>
      <c r="Q33" s="1573" t="str">
        <f t="shared" si="11"/>
        <v>建筑类型</v>
      </c>
      <c r="R33" s="1574" t="s">
        <v>8</v>
      </c>
      <c r="S33" s="1575">
        <f t="shared" si="12"/>
        <v>100</v>
      </c>
      <c r="T33" s="1574" t="s">
        <v>8</v>
      </c>
      <c r="U33" s="1575">
        <f t="shared" si="13"/>
        <v>100</v>
      </c>
      <c r="V33" s="1574" t="s">
        <v>8</v>
      </c>
      <c r="W33" s="1575">
        <f t="shared" si="14"/>
        <v>100</v>
      </c>
      <c r="X33" s="1568"/>
      <c r="Y33" s="3446"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0"/>
      <c r="M34" s="2171"/>
      <c r="N34" s="2171"/>
      <c r="O34" s="2171"/>
      <c r="P34" s="3446"/>
      <c r="Q34" s="1606" t="str">
        <f t="shared" si="11"/>
        <v>项目建筑规模</v>
      </c>
      <c r="R34" s="1578" t="s">
        <v>8</v>
      </c>
      <c r="S34" s="1579" t="e">
        <f t="shared" si="12"/>
        <v>#N/A</v>
      </c>
      <c r="T34" s="1578" t="s">
        <v>8</v>
      </c>
      <c r="U34" s="1579" t="e">
        <f t="shared" si="13"/>
        <v>#N/A</v>
      </c>
      <c r="V34" s="1578" t="s">
        <v>8</v>
      </c>
      <c r="W34" s="1579" t="e">
        <f t="shared" si="14"/>
        <v>#N/A</v>
      </c>
      <c r="X34" s="1580"/>
      <c r="Y34" s="3446"/>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2"/>
      <c r="M35" s="2134"/>
      <c r="N35" s="2134"/>
      <c r="O35" s="2134"/>
      <c r="P35" s="3446"/>
      <c r="Q35" s="1573" t="str">
        <f t="shared" si="11"/>
        <v>建筑结构</v>
      </c>
      <c r="R35" s="1574" t="s">
        <v>8</v>
      </c>
      <c r="S35" s="1575">
        <f t="shared" si="12"/>
        <v>100</v>
      </c>
      <c r="T35" s="1574" t="s">
        <v>8</v>
      </c>
      <c r="U35" s="1575">
        <f t="shared" si="13"/>
        <v>100</v>
      </c>
      <c r="V35" s="1574" t="s">
        <v>8</v>
      </c>
      <c r="W35" s="1575">
        <f t="shared" si="14"/>
        <v>100</v>
      </c>
      <c r="X35" s="1568"/>
      <c r="Y35" s="3446"/>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2"/>
      <c r="M36" s="2134"/>
      <c r="N36" s="2134"/>
      <c r="O36" s="2134"/>
      <c r="P36" s="3446"/>
      <c r="Q36" s="1573" t="str">
        <f t="shared" si="11"/>
        <v>公共部分装修</v>
      </c>
      <c r="R36" s="1574" t="s">
        <v>8</v>
      </c>
      <c r="S36" s="1575">
        <f t="shared" si="12"/>
        <v>100</v>
      </c>
      <c r="T36" s="1574" t="s">
        <v>8</v>
      </c>
      <c r="U36" s="1575">
        <f t="shared" si="13"/>
        <v>100</v>
      </c>
      <c r="V36" s="1574" t="s">
        <v>8</v>
      </c>
      <c r="W36" s="1575">
        <f t="shared" si="14"/>
        <v>100</v>
      </c>
      <c r="X36" s="1568"/>
      <c r="Y36" s="3446"/>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2"/>
      <c r="M37" s="2134"/>
      <c r="N37" s="2134"/>
      <c r="O37" s="2134"/>
      <c r="P37" s="3446"/>
      <c r="Q37" s="1573" t="str">
        <f t="shared" si="11"/>
        <v>成新度</v>
      </c>
      <c r="R37" s="1574" t="s">
        <v>8</v>
      </c>
      <c r="S37" s="1575" t="e">
        <f t="shared" si="12"/>
        <v>#N/A</v>
      </c>
      <c r="T37" s="1574" t="s">
        <v>8</v>
      </c>
      <c r="U37" s="1575" t="e">
        <f t="shared" si="13"/>
        <v>#N/A</v>
      </c>
      <c r="V37" s="1574" t="s">
        <v>8</v>
      </c>
      <c r="W37" s="1575" t="e">
        <f t="shared" si="14"/>
        <v>#N/A</v>
      </c>
      <c r="X37" s="1568"/>
      <c r="Y37" s="3446"/>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5"/>
      <c r="M38" s="2136"/>
      <c r="N38" s="2136"/>
      <c r="O38" s="2136"/>
      <c r="P38" s="3446"/>
      <c r="Q38" s="1152" t="str">
        <f t="shared" si="11"/>
        <v>写字楼等级</v>
      </c>
      <c r="R38" s="1569" t="s">
        <v>8</v>
      </c>
      <c r="S38" s="1570">
        <f t="shared" si="12"/>
        <v>100</v>
      </c>
      <c r="T38" s="1569" t="s">
        <v>8</v>
      </c>
      <c r="U38" s="1570">
        <f t="shared" si="13"/>
        <v>100</v>
      </c>
      <c r="V38" s="1569" t="s">
        <v>8</v>
      </c>
      <c r="W38" s="1570">
        <f t="shared" si="14"/>
        <v>100</v>
      </c>
      <c r="X38" s="1571"/>
      <c r="Y38" s="3446"/>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2"/>
      <c r="M39" s="2134"/>
      <c r="N39" s="2134"/>
      <c r="O39" s="2134"/>
      <c r="P39" s="3446" t="s">
        <v>551</v>
      </c>
      <c r="Q39" s="1573" t="str">
        <f t="shared" si="11"/>
        <v>物业管理</v>
      </c>
      <c r="R39" s="1574" t="s">
        <v>8</v>
      </c>
      <c r="S39" s="1575">
        <f t="shared" si="12"/>
        <v>100</v>
      </c>
      <c r="T39" s="1574" t="s">
        <v>8</v>
      </c>
      <c r="U39" s="1575">
        <f t="shared" si="13"/>
        <v>100</v>
      </c>
      <c r="V39" s="1574" t="s">
        <v>8</v>
      </c>
      <c r="W39" s="1575">
        <f t="shared" si="14"/>
        <v>100</v>
      </c>
      <c r="X39" s="1568"/>
      <c r="Y39" s="3446" t="s">
        <v>551</v>
      </c>
      <c r="Z39" s="1576" t="str">
        <f t="shared" si="15"/>
        <v>物业管理</v>
      </c>
      <c r="AA39" s="1577">
        <f t="shared" si="3"/>
        <v>1</v>
      </c>
      <c r="AB39" s="1577">
        <f t="shared" si="4"/>
        <v>1</v>
      </c>
      <c r="AC39" s="1577">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2"/>
      <c r="M40" s="2134"/>
      <c r="N40" s="2134"/>
      <c r="O40" s="2134"/>
      <c r="P40" s="3446"/>
      <c r="Q40" s="1573" t="str">
        <f t="shared" si="11"/>
        <v>市政基础设施</v>
      </c>
      <c r="R40" s="1574" t="s">
        <v>8</v>
      </c>
      <c r="S40" s="1575">
        <f t="shared" si="12"/>
        <v>100</v>
      </c>
      <c r="T40" s="1574" t="s">
        <v>8</v>
      </c>
      <c r="U40" s="1575">
        <f t="shared" si="13"/>
        <v>100</v>
      </c>
      <c r="V40" s="1574" t="s">
        <v>8</v>
      </c>
      <c r="W40" s="1575">
        <f t="shared" si="14"/>
        <v>100</v>
      </c>
      <c r="X40" s="1568"/>
      <c r="Y40" s="3446"/>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2"/>
      <c r="M41" s="2134"/>
      <c r="N41" s="2134"/>
      <c r="O41" s="2134"/>
      <c r="P41" s="3446"/>
      <c r="Q41" s="1573" t="str">
        <f t="shared" si="11"/>
        <v>层高</v>
      </c>
      <c r="R41" s="1574" t="s">
        <v>8</v>
      </c>
      <c r="S41" s="1575">
        <f t="shared" si="12"/>
        <v>100</v>
      </c>
      <c r="T41" s="1574" t="s">
        <v>8</v>
      </c>
      <c r="U41" s="1575">
        <f t="shared" si="13"/>
        <v>100</v>
      </c>
      <c r="V41" s="1574" t="s">
        <v>8</v>
      </c>
      <c r="W41" s="1575">
        <f t="shared" si="14"/>
        <v>100</v>
      </c>
      <c r="X41" s="1568"/>
      <c r="Y41" s="3446"/>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0"/>
      <c r="M42" s="2171"/>
      <c r="N42" s="2171"/>
      <c r="O42" s="2171"/>
      <c r="P42" s="3446"/>
      <c r="Q42" s="1606" t="str">
        <f t="shared" si="11"/>
        <v>单套建筑面积</v>
      </c>
      <c r="R42" s="1578" t="s">
        <v>8</v>
      </c>
      <c r="S42" s="1579">
        <f t="shared" si="12"/>
        <v>100</v>
      </c>
      <c r="T42" s="1578" t="s">
        <v>8</v>
      </c>
      <c r="U42" s="1579">
        <f t="shared" si="13"/>
        <v>100</v>
      </c>
      <c r="V42" s="1578" t="s">
        <v>8</v>
      </c>
      <c r="W42" s="1579">
        <f t="shared" si="14"/>
        <v>100</v>
      </c>
      <c r="X42" s="1580"/>
      <c r="Y42" s="3446"/>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2"/>
      <c r="M43" s="2134"/>
      <c r="N43" s="2134"/>
      <c r="O43" s="2134"/>
      <c r="P43" s="3446"/>
      <c r="Q43" s="1573" t="str">
        <f t="shared" si="11"/>
        <v>内部装修</v>
      </c>
      <c r="R43" s="1574" t="s">
        <v>8</v>
      </c>
      <c r="S43" s="1575">
        <f t="shared" si="12"/>
        <v>100</v>
      </c>
      <c r="T43" s="1574" t="s">
        <v>8</v>
      </c>
      <c r="U43" s="1575">
        <f t="shared" si="13"/>
        <v>100</v>
      </c>
      <c r="V43" s="1574" t="s">
        <v>8</v>
      </c>
      <c r="W43" s="1575">
        <f t="shared" si="14"/>
        <v>100</v>
      </c>
      <c r="X43" s="1568"/>
      <c r="Y43" s="3446"/>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2"/>
      <c r="M44" s="2134"/>
      <c r="N44" s="2134"/>
      <c r="O44" s="2134"/>
      <c r="P44" s="3446"/>
      <c r="Q44" s="1573" t="str">
        <f t="shared" si="11"/>
        <v>内部装修维护情况</v>
      </c>
      <c r="R44" s="1574" t="s">
        <v>8</v>
      </c>
      <c r="S44" s="1575">
        <f t="shared" si="12"/>
        <v>100</v>
      </c>
      <c r="T44" s="1574" t="s">
        <v>8</v>
      </c>
      <c r="U44" s="1575">
        <f t="shared" si="13"/>
        <v>100</v>
      </c>
      <c r="V44" s="1574" t="s">
        <v>8</v>
      </c>
      <c r="W44" s="1575">
        <f t="shared" si="14"/>
        <v>100</v>
      </c>
      <c r="X44" s="1568"/>
      <c r="Y44" s="3446"/>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5"/>
      <c r="M45" s="2136"/>
      <c r="N45" s="2136"/>
      <c r="O45" s="2136"/>
      <c r="P45" s="3446"/>
      <c r="Q45" s="1152">
        <f t="shared" si="11"/>
        <v>111</v>
      </c>
      <c r="R45" s="1569" t="s">
        <v>8</v>
      </c>
      <c r="S45" s="1570">
        <f t="shared" si="12"/>
        <v>100</v>
      </c>
      <c r="T45" s="1569" t="s">
        <v>8</v>
      </c>
      <c r="U45" s="1570">
        <f t="shared" si="13"/>
        <v>100</v>
      </c>
      <c r="V45" s="1569" t="s">
        <v>8</v>
      </c>
      <c r="W45" s="1570">
        <f t="shared" si="14"/>
        <v>100</v>
      </c>
      <c r="X45" s="1571"/>
      <c r="Y45" s="3446"/>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2"/>
      <c r="M46" s="2134"/>
      <c r="N46" s="2134"/>
      <c r="O46" s="2134"/>
      <c r="P46" s="3446"/>
      <c r="Q46" s="1573">
        <f t="shared" si="11"/>
        <v>111</v>
      </c>
      <c r="R46" s="1574" t="s">
        <v>8</v>
      </c>
      <c r="S46" s="1575">
        <f t="shared" si="12"/>
        <v>100</v>
      </c>
      <c r="T46" s="1574" t="s">
        <v>8</v>
      </c>
      <c r="U46" s="1575">
        <f t="shared" si="13"/>
        <v>100</v>
      </c>
      <c r="V46" s="1574" t="s">
        <v>8</v>
      </c>
      <c r="W46" s="1575">
        <f t="shared" si="14"/>
        <v>100</v>
      </c>
      <c r="X46" s="1568"/>
      <c r="Y46" s="3446"/>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2"/>
      <c r="M47" s="2134"/>
      <c r="N47" s="2134"/>
      <c r="O47" s="2134"/>
      <c r="P47" s="3529"/>
      <c r="Q47" s="1573">
        <f t="shared" si="11"/>
        <v>111</v>
      </c>
      <c r="R47" s="1574" t="s">
        <v>8</v>
      </c>
      <c r="S47" s="1575">
        <f t="shared" si="12"/>
        <v>100</v>
      </c>
      <c r="T47" s="1574" t="s">
        <v>8</v>
      </c>
      <c r="U47" s="1575">
        <f t="shared" si="13"/>
        <v>100</v>
      </c>
      <c r="V47" s="1574" t="s">
        <v>8</v>
      </c>
      <c r="W47" s="1575">
        <f t="shared" si="14"/>
        <v>100</v>
      </c>
      <c r="X47" s="1568"/>
      <c r="Y47" s="3529"/>
      <c r="Z47" s="1576">
        <f t="shared" si="15"/>
        <v>111</v>
      </c>
      <c r="AA47" s="1577">
        <f t="shared" si="3"/>
        <v>1</v>
      </c>
      <c r="AB47" s="1577">
        <f t="shared" si="4"/>
        <v>1</v>
      </c>
      <c r="AC47" s="1577">
        <f t="shared" si="5"/>
        <v>1</v>
      </c>
    </row>
    <row r="48" spans="1:29" ht="15">
      <c r="A48" s="608" t="s">
        <v>737</v>
      </c>
      <c r="B48" s="888"/>
      <c r="C48" s="2651" t="s">
        <v>1</v>
      </c>
      <c r="D48" s="2652"/>
      <c r="E48" s="2653"/>
      <c r="F48" s="2654"/>
      <c r="G48" s="2655"/>
      <c r="H48" s="2656"/>
      <c r="I48" s="2653"/>
      <c r="J48" s="2656"/>
      <c r="K48" s="1612"/>
      <c r="L48" s="2144"/>
      <c r="M48" s="2134"/>
      <c r="N48" s="2134"/>
      <c r="O48" s="2134"/>
      <c r="P48" s="3407" t="str">
        <f>A48</f>
        <v>成交单价（元/平方米）</v>
      </c>
      <c r="Q48" s="3409"/>
      <c r="R48" s="3528">
        <f>E48</f>
        <v>0</v>
      </c>
      <c r="S48" s="3528"/>
      <c r="T48" s="3528">
        <f>G48</f>
        <v>0</v>
      </c>
      <c r="U48" s="3528"/>
      <c r="V48" s="3528">
        <f>I48</f>
        <v>0</v>
      </c>
      <c r="W48" s="3528"/>
      <c r="X48" s="1560"/>
      <c r="Y48" s="1582"/>
      <c r="Z48" s="1560"/>
      <c r="AA48" s="1560"/>
      <c r="AB48" s="1560"/>
      <c r="AC48" s="1560"/>
    </row>
    <row r="49" spans="1:29" ht="15.75" thickBot="1">
      <c r="A49" s="616" t="s">
        <v>2766</v>
      </c>
      <c r="B49" s="889"/>
      <c r="C49" s="2657" t="e">
        <f>R50</f>
        <v>#DIV/0!</v>
      </c>
      <c r="D49" s="2658"/>
      <c r="E49" s="2659" t="e">
        <f>R49</f>
        <v>#DIV/0!</v>
      </c>
      <c r="F49" s="2659"/>
      <c r="G49" s="2657" t="e">
        <f>T49</f>
        <v>#DIV/0!</v>
      </c>
      <c r="H49" s="2658"/>
      <c r="I49" s="2659" t="e">
        <f>V49</f>
        <v>#DIV/0!</v>
      </c>
      <c r="J49" s="2658"/>
      <c r="K49" s="1613"/>
      <c r="L49" s="2144"/>
      <c r="M49" s="2134"/>
      <c r="N49" s="2134"/>
      <c r="O49" s="2134"/>
      <c r="P49" s="3407" t="str">
        <f>A49</f>
        <v>比较价格（元/平方米）</v>
      </c>
      <c r="Q49" s="3409"/>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60"/>
      <c r="Y49" s="1560"/>
      <c r="Z49" s="1560"/>
      <c r="AA49" s="1560"/>
      <c r="AB49" s="1560"/>
      <c r="AC49" s="1560"/>
    </row>
    <row r="50" spans="1:29" ht="15.75" thickBot="1">
      <c r="A50" s="622" t="s">
        <v>2934</v>
      </c>
      <c r="B50" s="623"/>
      <c r="C50" s="2660" t="e">
        <f>R50</f>
        <v>#DIV/0!</v>
      </c>
      <c r="D50" s="2660"/>
      <c r="E50" s="2660"/>
      <c r="F50" s="2660"/>
      <c r="G50" s="2660"/>
      <c r="H50" s="2660"/>
      <c r="I50" s="2660"/>
      <c r="J50" s="2660"/>
      <c r="K50" s="1614"/>
      <c r="L50" s="2144"/>
      <c r="M50" s="2134"/>
      <c r="N50" s="2134"/>
      <c r="O50" s="2134"/>
      <c r="P50" s="3530" t="str">
        <f>A50</f>
        <v>估价对象XX用房的比较价格（楼面单价，元/平方米）</v>
      </c>
      <c r="Q50" s="3407"/>
      <c r="R50" s="3527" t="e">
        <f>IF(F1="售价",ROUND(AVERAGE(R49:V49),0),ROUND(AVERAGE(R49:V49),1))</f>
        <v>#DIV/0!</v>
      </c>
      <c r="S50" s="3527"/>
      <c r="T50" s="3527"/>
      <c r="U50" s="3527"/>
      <c r="V50" s="3527"/>
      <c r="W50" s="352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6"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8" customFormat="1" ht="15">
      <c r="A59" s="646" t="s">
        <v>530</v>
      </c>
      <c r="B59" s="647"/>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21" customFormat="1" ht="15">
      <c r="A60" s="648"/>
      <c r="B60" s="649"/>
      <c r="C60" s="650">
        <v>100</v>
      </c>
      <c r="D60" s="651"/>
      <c r="E60" s="651"/>
      <c r="F60" s="651"/>
      <c r="G60" s="651"/>
      <c r="H60" s="651"/>
      <c r="I60" s="651"/>
      <c r="J60" s="651"/>
      <c r="K60" s="651"/>
      <c r="L60" s="651"/>
      <c r="M60" s="652"/>
      <c r="N60" s="651"/>
      <c r="O60" s="652"/>
      <c r="P60" s="2212"/>
      <c r="Q60" s="1993"/>
      <c r="R60" s="1993"/>
      <c r="S60" s="1993"/>
      <c r="T60" s="1993"/>
      <c r="U60" s="1993"/>
      <c r="V60" s="1993"/>
      <c r="W60" s="1993"/>
      <c r="X60" s="1993"/>
      <c r="Y60" s="1993"/>
      <c r="Z60" s="1993"/>
      <c r="AA60" s="1993"/>
      <c r="AB60" s="1993"/>
      <c r="AC60" s="1993"/>
    </row>
    <row r="61" spans="1:29" s="1221" customFormat="1" ht="15.75" thickBot="1">
      <c r="A61" s="654" t="s">
        <v>576</v>
      </c>
      <c r="B61" s="655"/>
      <c r="C61" s="656"/>
      <c r="D61" s="657"/>
      <c r="E61" s="657"/>
      <c r="F61" s="657"/>
      <c r="G61" s="657"/>
      <c r="H61" s="657"/>
      <c r="I61" s="657"/>
      <c r="J61" s="657"/>
      <c r="K61" s="657"/>
      <c r="L61" s="657"/>
      <c r="M61" s="658"/>
      <c r="N61" s="657"/>
      <c r="O61" s="658"/>
      <c r="P61" s="2212"/>
      <c r="Q61" s="2158"/>
      <c r="R61" s="1993"/>
      <c r="S61" s="1993"/>
      <c r="T61" s="1993"/>
      <c r="U61" s="1993"/>
      <c r="V61" s="1993"/>
      <c r="W61" s="1993"/>
      <c r="X61" s="1993"/>
      <c r="Y61" s="1993"/>
      <c r="Z61" s="1993"/>
      <c r="AA61" s="1993"/>
      <c r="AB61" s="1993"/>
      <c r="AC61" s="1993"/>
    </row>
    <row r="62" spans="1:29" s="1221" customFormat="1" ht="15">
      <c r="A62" s="660" t="s">
        <v>532</v>
      </c>
      <c r="B62" s="649"/>
      <c r="C62" s="661" t="s">
        <v>577</v>
      </c>
      <c r="D62" s="662"/>
      <c r="E62" s="662"/>
      <c r="F62" s="662"/>
      <c r="G62" s="662"/>
      <c r="H62" s="662"/>
      <c r="I62" s="662"/>
      <c r="J62" s="662"/>
      <c r="K62" s="662"/>
      <c r="L62" s="663"/>
      <c r="M62" s="664"/>
      <c r="N62" s="2162"/>
      <c r="O62" s="2162"/>
      <c r="P62" s="2213"/>
      <c r="Q62" s="2158"/>
      <c r="R62" s="1993"/>
      <c r="S62" s="1993"/>
      <c r="T62" s="1993"/>
      <c r="U62" s="1993"/>
      <c r="V62" s="1993"/>
      <c r="W62" s="1993"/>
      <c r="X62" s="1993"/>
      <c r="Y62" s="1993"/>
      <c r="Z62" s="1993"/>
      <c r="AA62" s="1993"/>
      <c r="AB62" s="1993"/>
      <c r="AC62" s="1993"/>
    </row>
    <row r="63" spans="1:29" s="1221" customFormat="1" ht="15.75" thickBot="1">
      <c r="A63" s="660"/>
      <c r="B63" s="649"/>
      <c r="C63" s="890">
        <v>100</v>
      </c>
      <c r="D63" s="651"/>
      <c r="E63" s="651"/>
      <c r="F63" s="651"/>
      <c r="G63" s="651"/>
      <c r="H63" s="651"/>
      <c r="I63" s="651"/>
      <c r="J63" s="651"/>
      <c r="K63" s="651"/>
      <c r="L63" s="651"/>
      <c r="M63" s="653"/>
      <c r="N63" s="2162"/>
      <c r="O63" s="2162"/>
      <c r="P63" s="2212"/>
      <c r="Q63" s="2158"/>
      <c r="R63" s="1993"/>
      <c r="S63" s="1993"/>
      <c r="T63" s="1993"/>
      <c r="U63" s="1993"/>
      <c r="V63" s="1993"/>
      <c r="W63" s="1993"/>
      <c r="X63" s="1993"/>
      <c r="Y63" s="1993"/>
      <c r="Z63" s="1993"/>
      <c r="AA63" s="1993"/>
      <c r="AB63" s="1993"/>
      <c r="AC63" s="1993"/>
    </row>
    <row r="64" spans="1:29">
      <c r="A64" s="665" t="s">
        <v>578</v>
      </c>
      <c r="B64" s="666" t="s">
        <v>535</v>
      </c>
      <c r="C64" s="705">
        <f>C9</f>
        <v>0</v>
      </c>
      <c r="D64" s="599"/>
      <c r="E64" s="599"/>
      <c r="F64" s="599"/>
      <c r="G64" s="599"/>
      <c r="H64" s="599"/>
      <c r="I64" s="599"/>
      <c r="J64" s="599"/>
      <c r="K64" s="667"/>
      <c r="L64" s="668"/>
      <c r="M64" s="669"/>
      <c r="N64" s="2164"/>
      <c r="O64" s="2164"/>
      <c r="P64" s="2214"/>
      <c r="Q64" s="2158"/>
      <c r="R64" s="2145"/>
      <c r="S64" s="2145"/>
      <c r="T64" s="2145"/>
      <c r="U64" s="2145"/>
      <c r="V64" s="2145"/>
      <c r="W64" s="2145"/>
      <c r="X64" s="2145"/>
      <c r="Y64" s="2145"/>
      <c r="Z64" s="2145"/>
      <c r="AA64" s="2145"/>
      <c r="AB64" s="2145"/>
      <c r="AC64" s="2145"/>
    </row>
    <row r="65" spans="1:29" ht="15.75" thickBot="1">
      <c r="A65" s="670"/>
      <c r="B65" s="671"/>
      <c r="C65" s="672"/>
      <c r="D65" s="672"/>
      <c r="E65" s="672"/>
      <c r="F65" s="672"/>
      <c r="G65" s="672"/>
      <c r="H65" s="672"/>
      <c r="I65" s="672"/>
      <c r="J65" s="672"/>
      <c r="K65" s="672"/>
      <c r="L65" s="672"/>
      <c r="M65" s="673"/>
      <c r="N65" s="2166"/>
      <c r="O65" s="2166"/>
      <c r="P65" s="2214"/>
      <c r="Q65" s="2158"/>
      <c r="R65" s="2145"/>
      <c r="S65" s="2145"/>
      <c r="T65" s="2145"/>
      <c r="U65" s="2145"/>
      <c r="V65" s="2145"/>
      <c r="W65" s="2145"/>
      <c r="X65" s="2145"/>
      <c r="Y65" s="2145"/>
      <c r="Z65" s="2145"/>
      <c r="AA65" s="2145"/>
      <c r="AB65" s="2145"/>
      <c r="AC65" s="2145"/>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4"/>
      <c r="O66" s="2164"/>
      <c r="P66" s="2214"/>
      <c r="Q66" s="2158"/>
      <c r="R66" s="2145"/>
      <c r="S66" s="2145"/>
      <c r="T66" s="2145"/>
      <c r="U66" s="2145"/>
      <c r="V66" s="2145"/>
      <c r="W66" s="2145"/>
      <c r="X66" s="2145"/>
      <c r="Y66" s="2145"/>
      <c r="Z66" s="2145"/>
      <c r="AA66" s="2145"/>
      <c r="AB66" s="2145"/>
      <c r="AC66" s="2145"/>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6"/>
      <c r="O67" s="2166"/>
      <c r="P67" s="2214"/>
      <c r="Q67" s="2158"/>
      <c r="R67" s="2145"/>
      <c r="S67" s="2145"/>
      <c r="T67" s="2145"/>
      <c r="U67" s="2145"/>
      <c r="V67" s="2145"/>
      <c r="W67" s="2145"/>
      <c r="X67" s="2145"/>
      <c r="Y67" s="2145"/>
      <c r="Z67" s="2145"/>
      <c r="AA67" s="2145"/>
      <c r="AB67" s="2145"/>
      <c r="AC67" s="2145"/>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0"/>
      <c r="B69" s="684"/>
      <c r="C69" s="542"/>
      <c r="D69" s="542"/>
      <c r="E69" s="542"/>
      <c r="F69" s="542"/>
      <c r="G69" s="542"/>
      <c r="H69" s="542"/>
      <c r="I69" s="542"/>
      <c r="J69" s="542"/>
      <c r="K69" s="685"/>
      <c r="L69" s="686"/>
      <c r="M69" s="687"/>
      <c r="N69" s="2164"/>
      <c r="O69" s="2164"/>
      <c r="P69" s="2214"/>
      <c r="Q69" s="2158"/>
      <c r="R69" s="2145"/>
      <c r="S69" s="2145"/>
      <c r="T69" s="2145"/>
      <c r="U69" s="2145"/>
      <c r="V69" s="2145"/>
      <c r="W69" s="2145"/>
      <c r="X69" s="2145"/>
      <c r="Y69" s="2145"/>
      <c r="Z69" s="2145"/>
      <c r="AA69" s="2145"/>
      <c r="AB69" s="2145"/>
      <c r="AC69" s="2145"/>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6"/>
      <c r="O70" s="2166"/>
      <c r="P70" s="2214"/>
      <c r="Q70" s="2158"/>
      <c r="R70" s="2145"/>
      <c r="S70" s="2145"/>
      <c r="T70" s="2145"/>
      <c r="U70" s="2145"/>
      <c r="V70" s="2145"/>
      <c r="W70" s="2145"/>
      <c r="X70" s="2145"/>
      <c r="Y70" s="2145"/>
      <c r="Z70" s="2145"/>
      <c r="AA70" s="2145"/>
      <c r="AB70" s="2145"/>
      <c r="AC70" s="2145"/>
    </row>
    <row r="71" spans="1:29" s="1340" customFormat="1" ht="15.75" thickTop="1">
      <c r="A71" s="688"/>
      <c r="B71" s="674">
        <f>B12</f>
        <v>111</v>
      </c>
      <c r="C71" s="689"/>
      <c r="D71" s="689"/>
      <c r="E71" s="689"/>
      <c r="F71" s="689"/>
      <c r="G71" s="689"/>
      <c r="H71" s="690"/>
      <c r="I71" s="690"/>
      <c r="J71" s="690"/>
      <c r="K71" s="690"/>
      <c r="L71" s="691"/>
      <c r="M71" s="692"/>
      <c r="N71" s="2167"/>
      <c r="O71" s="2167"/>
      <c r="P71" s="2215"/>
      <c r="Q71" s="2169"/>
      <c r="R71" s="2170"/>
      <c r="S71" s="2170"/>
      <c r="T71" s="2170"/>
      <c r="U71" s="2170"/>
      <c r="V71" s="2170"/>
      <c r="W71" s="2170"/>
      <c r="X71" s="2170"/>
      <c r="Y71" s="2170"/>
      <c r="Z71" s="2170"/>
      <c r="AA71" s="2170"/>
      <c r="AB71" s="2170"/>
      <c r="AC71" s="2170"/>
    </row>
    <row r="72" spans="1:29" s="1340" customFormat="1" ht="15.75" thickBot="1">
      <c r="A72" s="688"/>
      <c r="B72" s="679"/>
      <c r="C72" s="693"/>
      <c r="D72" s="672"/>
      <c r="E72" s="672"/>
      <c r="F72" s="672"/>
      <c r="G72" s="672"/>
      <c r="H72" s="672"/>
      <c r="I72" s="672"/>
      <c r="J72" s="672"/>
      <c r="K72" s="672"/>
      <c r="L72" s="672"/>
      <c r="M72" s="673"/>
      <c r="N72" s="2166"/>
      <c r="O72" s="2166"/>
      <c r="P72" s="2215"/>
      <c r="Q72" s="2169"/>
      <c r="R72" s="2170"/>
      <c r="S72" s="2170"/>
      <c r="T72" s="2170"/>
      <c r="U72" s="2170"/>
      <c r="V72" s="2170"/>
      <c r="W72" s="2170"/>
      <c r="X72" s="2170"/>
      <c r="Y72" s="2170"/>
      <c r="Z72" s="2170"/>
      <c r="AA72" s="2170"/>
      <c r="AB72" s="2170"/>
      <c r="AC72" s="2170"/>
    </row>
    <row r="73" spans="1:29" s="1340" customFormat="1" ht="15.75" thickTop="1">
      <c r="A73" s="688"/>
      <c r="B73" s="674">
        <f>B13</f>
        <v>111</v>
      </c>
      <c r="C73" s="689"/>
      <c r="D73" s="689"/>
      <c r="E73" s="689"/>
      <c r="F73" s="689"/>
      <c r="G73" s="689"/>
      <c r="H73" s="690"/>
      <c r="I73" s="690"/>
      <c r="J73" s="690"/>
      <c r="K73" s="690"/>
      <c r="L73" s="691"/>
      <c r="M73" s="692"/>
      <c r="N73" s="2167"/>
      <c r="O73" s="2167"/>
      <c r="P73" s="2216"/>
      <c r="Q73" s="2172"/>
      <c r="R73" s="2170"/>
      <c r="S73" s="2170"/>
      <c r="T73" s="2170"/>
      <c r="U73" s="2170"/>
      <c r="V73" s="2170"/>
      <c r="W73" s="2170"/>
      <c r="X73" s="2170"/>
      <c r="Y73" s="2170"/>
      <c r="Z73" s="2170"/>
      <c r="AA73" s="2170"/>
      <c r="AB73" s="2170"/>
      <c r="AC73" s="2170"/>
    </row>
    <row r="74" spans="1:29" s="1340" customFormat="1" ht="15.75" thickBot="1">
      <c r="A74" s="688"/>
      <c r="B74" s="679"/>
      <c r="C74" s="693"/>
      <c r="D74" s="693"/>
      <c r="E74" s="693"/>
      <c r="F74" s="693"/>
      <c r="G74" s="693"/>
      <c r="H74" s="694"/>
      <c r="I74" s="694"/>
      <c r="J74" s="694"/>
      <c r="K74" s="694"/>
      <c r="L74" s="694"/>
      <c r="M74" s="695"/>
      <c r="N74" s="2167"/>
      <c r="O74" s="2167"/>
      <c r="P74" s="2215"/>
      <c r="Q74" s="2169"/>
      <c r="R74" s="2170"/>
      <c r="S74" s="2170"/>
      <c r="T74" s="2170"/>
      <c r="U74" s="2170"/>
      <c r="V74" s="2170"/>
      <c r="W74" s="2170"/>
      <c r="X74" s="2170"/>
      <c r="Y74" s="2170"/>
      <c r="Z74" s="2170"/>
      <c r="AA74" s="2170"/>
      <c r="AB74" s="2170"/>
      <c r="AC74" s="2170"/>
    </row>
    <row r="75" spans="1:29" s="1340" customFormat="1" ht="15.75" thickTop="1">
      <c r="A75" s="688"/>
      <c r="B75" s="682">
        <f>B14</f>
        <v>111</v>
      </c>
      <c r="C75" s="662"/>
      <c r="D75" s="662"/>
      <c r="E75" s="662"/>
      <c r="F75" s="662"/>
      <c r="G75" s="662"/>
      <c r="H75" s="696"/>
      <c r="I75" s="696"/>
      <c r="J75" s="696"/>
      <c r="K75" s="696"/>
      <c r="L75" s="697"/>
      <c r="M75" s="698"/>
      <c r="N75" s="2167"/>
      <c r="O75" s="2167"/>
      <c r="P75" s="2217"/>
      <c r="Q75" s="2169"/>
      <c r="R75" s="2170"/>
      <c r="S75" s="2170"/>
      <c r="T75" s="2170"/>
      <c r="U75" s="2170"/>
      <c r="V75" s="2170"/>
      <c r="W75" s="2170"/>
      <c r="X75" s="2170"/>
      <c r="Y75" s="2170"/>
      <c r="Z75" s="2170"/>
      <c r="AA75" s="2170"/>
      <c r="AB75" s="2170"/>
      <c r="AC75" s="2170"/>
    </row>
    <row r="76" spans="1:29" s="1340" customFormat="1" ht="15.75" thickBot="1">
      <c r="A76" s="699"/>
      <c r="B76" s="700"/>
      <c r="C76" s="701"/>
      <c r="D76" s="701"/>
      <c r="E76" s="701"/>
      <c r="F76" s="701"/>
      <c r="G76" s="701"/>
      <c r="H76" s="702"/>
      <c r="I76" s="702"/>
      <c r="J76" s="702"/>
      <c r="K76" s="702"/>
      <c r="L76" s="702"/>
      <c r="M76" s="703"/>
      <c r="N76" s="2167"/>
      <c r="O76" s="2167"/>
      <c r="P76" s="2215"/>
      <c r="Q76" s="2169"/>
      <c r="R76" s="2170"/>
      <c r="S76" s="2170"/>
      <c r="T76" s="2170"/>
      <c r="U76" s="2170"/>
      <c r="V76" s="2170"/>
      <c r="W76" s="2170"/>
      <c r="X76" s="2170"/>
      <c r="Y76" s="2170"/>
      <c r="Z76" s="2170"/>
      <c r="AA76" s="2170"/>
      <c r="AB76" s="2170"/>
      <c r="AC76" s="2170"/>
    </row>
    <row r="77" spans="1:29">
      <c r="A77" s="665" t="s">
        <v>540</v>
      </c>
      <c r="B77" s="666" t="s">
        <v>586</v>
      </c>
      <c r="C77" s="704" t="s">
        <v>580</v>
      </c>
      <c r="D77" s="704" t="s">
        <v>581</v>
      </c>
      <c r="E77" s="704" t="s">
        <v>582</v>
      </c>
      <c r="F77" s="704" t="s">
        <v>583</v>
      </c>
      <c r="G77" s="704" t="s">
        <v>584</v>
      </c>
      <c r="H77" s="705"/>
      <c r="I77" s="705"/>
      <c r="J77" s="705"/>
      <c r="K77" s="706"/>
      <c r="L77" s="707"/>
      <c r="M77" s="708"/>
      <c r="N77" s="2164"/>
      <c r="O77" s="2164"/>
      <c r="P77" s="2218"/>
      <c r="Q77" s="2158"/>
      <c r="R77" s="2145"/>
      <c r="S77" s="2145"/>
      <c r="T77" s="2145"/>
      <c r="U77" s="2145"/>
      <c r="V77" s="2145"/>
      <c r="W77" s="2145"/>
      <c r="X77" s="2145"/>
      <c r="Y77" s="2145"/>
      <c r="Z77" s="2145"/>
      <c r="AA77" s="2145"/>
      <c r="AB77" s="2145"/>
      <c r="AC77" s="2145"/>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6"/>
      <c r="O78" s="2166"/>
      <c r="P78" s="2214"/>
      <c r="Q78" s="2158"/>
      <c r="R78" s="2145"/>
      <c r="S78" s="2145"/>
      <c r="T78" s="2145"/>
      <c r="U78" s="2145"/>
      <c r="V78" s="2145"/>
      <c r="W78" s="2145"/>
      <c r="X78" s="2145"/>
      <c r="Y78" s="2145"/>
      <c r="Z78" s="2145"/>
      <c r="AA78" s="2145"/>
      <c r="AB78" s="2145"/>
      <c r="AC78" s="2145"/>
    </row>
    <row r="79" spans="1:29" ht="15.75" thickTop="1">
      <c r="A79" s="670"/>
      <c r="B79" s="674" t="s">
        <v>587</v>
      </c>
      <c r="C79" s="709" t="s">
        <v>580</v>
      </c>
      <c r="D79" s="709" t="s">
        <v>581</v>
      </c>
      <c r="E79" s="709" t="s">
        <v>582</v>
      </c>
      <c r="F79" s="709" t="s">
        <v>583</v>
      </c>
      <c r="G79" s="709" t="s">
        <v>584</v>
      </c>
      <c r="H79" s="675"/>
      <c r="I79" s="675"/>
      <c r="J79" s="675"/>
      <c r="K79" s="676"/>
      <c r="L79" s="677"/>
      <c r="M79" s="678"/>
      <c r="N79" s="2164"/>
      <c r="O79" s="2164"/>
      <c r="P79" s="2214"/>
      <c r="Q79" s="2158"/>
      <c r="R79" s="2145"/>
      <c r="S79" s="2145"/>
      <c r="T79" s="2145"/>
      <c r="U79" s="2145"/>
      <c r="V79" s="2145"/>
      <c r="W79" s="2145"/>
      <c r="X79" s="2145"/>
      <c r="Y79" s="2145"/>
      <c r="Z79" s="2145"/>
      <c r="AA79" s="2145"/>
      <c r="AB79" s="2145"/>
      <c r="AC79" s="2145"/>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6"/>
      <c r="O80" s="2166"/>
      <c r="P80" s="2214"/>
      <c r="Q80" s="2158"/>
      <c r="R80" s="2145"/>
      <c r="S80" s="2145"/>
      <c r="T80" s="2145"/>
      <c r="U80" s="2145"/>
      <c r="V80" s="2145"/>
      <c r="W80" s="2145"/>
      <c r="X80" s="2145"/>
      <c r="Y80" s="2145"/>
      <c r="Z80" s="2145"/>
      <c r="AA80" s="2145"/>
      <c r="AB80" s="2145"/>
      <c r="AC80" s="2145"/>
    </row>
    <row r="81" spans="1:29" ht="15.75" thickTop="1">
      <c r="A81" s="670"/>
      <c r="B81" s="1896" t="s">
        <v>2561</v>
      </c>
      <c r="C81" s="709" t="s">
        <v>580</v>
      </c>
      <c r="D81" s="709" t="s">
        <v>581</v>
      </c>
      <c r="E81" s="709" t="s">
        <v>582</v>
      </c>
      <c r="F81" s="709" t="s">
        <v>583</v>
      </c>
      <c r="G81" s="709" t="s">
        <v>584</v>
      </c>
      <c r="H81" s="675"/>
      <c r="I81" s="675"/>
      <c r="J81" s="675"/>
      <c r="K81" s="676"/>
      <c r="L81" s="677"/>
      <c r="M81" s="678"/>
      <c r="N81" s="2164"/>
      <c r="O81" s="2164"/>
      <c r="P81" s="2214"/>
      <c r="Q81" s="2158"/>
      <c r="R81" s="2145"/>
      <c r="S81" s="2145"/>
      <c r="T81" s="2145"/>
      <c r="U81" s="2145"/>
      <c r="V81" s="2145"/>
      <c r="W81" s="2145"/>
      <c r="X81" s="2145"/>
      <c r="Y81" s="2145"/>
      <c r="Z81" s="2145"/>
      <c r="AA81" s="2145"/>
      <c r="AB81" s="2145"/>
      <c r="AC81" s="2145"/>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6"/>
      <c r="O82" s="2166"/>
      <c r="P82" s="2214"/>
      <c r="Q82" s="2158"/>
      <c r="R82" s="2145"/>
      <c r="S82" s="2145"/>
      <c r="T82" s="2145"/>
      <c r="U82" s="2145"/>
      <c r="V82" s="2145"/>
      <c r="W82" s="2145"/>
      <c r="X82" s="2145"/>
      <c r="Y82" s="2145"/>
      <c r="Z82" s="2145"/>
      <c r="AA82" s="2145"/>
      <c r="AB82" s="2145"/>
      <c r="AC82" s="2145"/>
    </row>
    <row r="83" spans="1:29" ht="15.75" thickTop="1">
      <c r="A83" s="670"/>
      <c r="B83" s="2621" t="s">
        <v>2562</v>
      </c>
      <c r="C83" s="2622" t="s">
        <v>2563</v>
      </c>
      <c r="D83" s="2622" t="s">
        <v>2564</v>
      </c>
      <c r="E83" s="2622" t="s">
        <v>2565</v>
      </c>
      <c r="F83" s="2622" t="s">
        <v>2566</v>
      </c>
      <c r="G83" s="2622" t="s">
        <v>2567</v>
      </c>
      <c r="H83" s="675"/>
      <c r="I83" s="675"/>
      <c r="J83" s="675"/>
      <c r="K83" s="675"/>
      <c r="L83" s="675"/>
      <c r="M83" s="2625"/>
      <c r="N83" s="2166"/>
      <c r="O83" s="2166"/>
      <c r="P83" s="2214"/>
      <c r="Q83" s="2158"/>
      <c r="R83" s="2145"/>
      <c r="S83" s="2145"/>
      <c r="T83" s="2145"/>
      <c r="U83" s="2145"/>
      <c r="V83" s="2145"/>
      <c r="W83" s="2145"/>
      <c r="X83" s="2145"/>
      <c r="Y83" s="2145"/>
      <c r="Z83" s="2145"/>
      <c r="AA83" s="2145"/>
      <c r="AB83" s="2145"/>
      <c r="AC83" s="2145"/>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6"/>
      <c r="O84" s="2166"/>
      <c r="P84" s="2214"/>
      <c r="Q84" s="2158"/>
      <c r="R84" s="2145"/>
      <c r="S84" s="2145"/>
      <c r="T84" s="2145"/>
      <c r="U84" s="2145"/>
      <c r="V84" s="2145"/>
      <c r="W84" s="2145"/>
      <c r="X84" s="2145"/>
      <c r="Y84" s="2145"/>
      <c r="Z84" s="2145"/>
      <c r="AA84" s="2145"/>
      <c r="AB84" s="2145"/>
      <c r="AC84" s="2145"/>
    </row>
    <row r="85" spans="1:29" ht="15.75" thickTop="1">
      <c r="A85" s="670"/>
      <c r="B85" s="674" t="s">
        <v>785</v>
      </c>
      <c r="C85" s="709" t="s">
        <v>580</v>
      </c>
      <c r="D85" s="709" t="s">
        <v>581</v>
      </c>
      <c r="E85" s="709" t="s">
        <v>582</v>
      </c>
      <c r="F85" s="709" t="s">
        <v>583</v>
      </c>
      <c r="G85" s="709" t="s">
        <v>584</v>
      </c>
      <c r="H85" s="675"/>
      <c r="I85" s="675"/>
      <c r="J85" s="675"/>
      <c r="K85" s="676"/>
      <c r="L85" s="677"/>
      <c r="M85" s="678"/>
      <c r="N85" s="2164"/>
      <c r="O85" s="2164"/>
      <c r="P85" s="2214"/>
      <c r="Q85" s="2158"/>
      <c r="R85" s="2145"/>
      <c r="S85" s="2145"/>
      <c r="T85" s="2145"/>
      <c r="U85" s="2145"/>
      <c r="V85" s="2145"/>
      <c r="W85" s="2145"/>
      <c r="X85" s="2145"/>
      <c r="Y85" s="2145"/>
      <c r="Z85" s="2145"/>
      <c r="AA85" s="2145"/>
      <c r="AB85" s="2145"/>
      <c r="AC85" s="2145"/>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6"/>
      <c r="O86" s="2166"/>
      <c r="P86" s="2214"/>
      <c r="Q86" s="2158"/>
      <c r="R86" s="2145"/>
      <c r="S86" s="2145"/>
      <c r="T86" s="2145"/>
      <c r="U86" s="2145"/>
      <c r="V86" s="2145"/>
      <c r="W86" s="2145"/>
      <c r="X86" s="2145"/>
      <c r="Y86" s="2145"/>
      <c r="Z86" s="2145"/>
      <c r="AA86" s="2145"/>
      <c r="AB86" s="2145"/>
      <c r="AC86" s="2145"/>
    </row>
    <row r="87" spans="1:29" s="1221" customFormat="1" ht="27.75" thickTop="1">
      <c r="A87" s="710"/>
      <c r="B87" s="674" t="s">
        <v>786</v>
      </c>
      <c r="C87" s="689"/>
      <c r="D87" s="689"/>
      <c r="E87" s="689"/>
      <c r="F87" s="689"/>
      <c r="G87" s="689"/>
      <c r="H87" s="689"/>
      <c r="I87" s="689"/>
      <c r="J87" s="689"/>
      <c r="K87" s="689"/>
      <c r="L87" s="891"/>
      <c r="M87" s="892"/>
      <c r="N87" s="2162"/>
      <c r="O87" s="2162"/>
      <c r="P87" s="2214"/>
      <c r="Q87" s="2158"/>
      <c r="R87" s="1993"/>
      <c r="S87" s="1993"/>
      <c r="T87" s="1993"/>
      <c r="U87" s="1993"/>
      <c r="V87" s="1993"/>
      <c r="W87" s="1993"/>
      <c r="X87" s="1993"/>
      <c r="Y87" s="1993"/>
      <c r="Z87" s="1993"/>
      <c r="AA87" s="1993"/>
      <c r="AB87" s="1993"/>
      <c r="AC87" s="1993"/>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6"/>
      <c r="O88" s="2166"/>
      <c r="P88" s="2214"/>
      <c r="Q88" s="2158"/>
      <c r="R88" s="1993"/>
      <c r="S88" s="1993"/>
      <c r="T88" s="1993"/>
      <c r="U88" s="1993"/>
      <c r="V88" s="1993"/>
      <c r="W88" s="1993"/>
      <c r="X88" s="1993"/>
      <c r="Y88" s="1993"/>
      <c r="Z88" s="1993"/>
      <c r="AA88" s="1993"/>
      <c r="AB88" s="1993"/>
      <c r="AC88" s="1993"/>
    </row>
    <row r="89" spans="1:29" s="1221" customFormat="1" ht="15.75" thickTop="1">
      <c r="A89" s="710"/>
      <c r="B89" s="674" t="str">
        <f>B27</f>
        <v>楼层</v>
      </c>
      <c r="C89" s="689"/>
      <c r="D89" s="689"/>
      <c r="E89" s="689"/>
      <c r="F89" s="893"/>
      <c r="G89" s="689"/>
      <c r="H89" s="689"/>
      <c r="I89" s="689"/>
      <c r="J89" s="689"/>
      <c r="K89" s="689"/>
      <c r="L89" s="689"/>
      <c r="M89" s="892"/>
      <c r="N89" s="2162"/>
      <c r="O89" s="2162"/>
      <c r="P89" s="2214"/>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6"/>
      <c r="O90" s="2166"/>
      <c r="P90" s="2214"/>
      <c r="Q90" s="2158"/>
      <c r="R90" s="1993"/>
      <c r="S90" s="1993"/>
      <c r="T90" s="1993"/>
      <c r="U90" s="1993"/>
      <c r="V90" s="1993"/>
      <c r="W90" s="1993"/>
      <c r="X90" s="1993"/>
      <c r="Y90" s="1993"/>
      <c r="Z90" s="1993"/>
      <c r="AA90" s="1993"/>
      <c r="AB90" s="1993"/>
      <c r="AC90" s="1993"/>
    </row>
    <row r="91" spans="1:29" s="1340" customFormat="1" ht="15.75" thickTop="1">
      <c r="A91" s="688"/>
      <c r="B91" s="674" t="str">
        <f>B28</f>
        <v>朝向</v>
      </c>
      <c r="C91" s="689"/>
      <c r="D91" s="689"/>
      <c r="E91" s="689"/>
      <c r="F91" s="689"/>
      <c r="G91" s="689"/>
      <c r="H91" s="690"/>
      <c r="I91" s="690"/>
      <c r="J91" s="690"/>
      <c r="K91" s="690"/>
      <c r="L91" s="691"/>
      <c r="M91" s="692"/>
      <c r="N91" s="2167"/>
      <c r="O91" s="2167"/>
      <c r="P91" s="2215"/>
      <c r="Q91" s="2169"/>
      <c r="R91" s="2170"/>
      <c r="S91" s="2170"/>
      <c r="T91" s="2170"/>
      <c r="U91" s="2170"/>
      <c r="V91" s="2170"/>
      <c r="W91" s="2170"/>
      <c r="X91" s="2170"/>
      <c r="Y91" s="2170"/>
      <c r="Z91" s="2170"/>
      <c r="AA91" s="2170"/>
      <c r="AB91" s="2170"/>
      <c r="AC91" s="2170"/>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0"/>
      <c r="B93" s="674">
        <f>B29</f>
        <v>111</v>
      </c>
      <c r="C93" s="689"/>
      <c r="D93" s="689"/>
      <c r="E93" s="689"/>
      <c r="F93" s="689"/>
      <c r="G93" s="689"/>
      <c r="H93" s="689"/>
      <c r="I93" s="689"/>
      <c r="J93" s="689"/>
      <c r="K93" s="689"/>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72"/>
      <c r="H94" s="672"/>
      <c r="I94" s="672"/>
      <c r="J94" s="672"/>
      <c r="K94" s="672"/>
      <c r="L94" s="672"/>
      <c r="M94" s="673"/>
      <c r="N94" s="2166"/>
      <c r="O94" s="2166"/>
      <c r="P94" s="2214"/>
      <c r="Q94" s="2158"/>
      <c r="R94" s="2145"/>
      <c r="S94" s="2145"/>
      <c r="T94" s="2145"/>
      <c r="U94" s="2145"/>
      <c r="V94" s="2145"/>
      <c r="W94" s="2145"/>
      <c r="X94" s="2145"/>
      <c r="Y94" s="2145"/>
      <c r="Z94" s="2145"/>
      <c r="AA94" s="2145"/>
      <c r="AB94" s="2145"/>
      <c r="AC94" s="2145"/>
    </row>
    <row r="95" spans="1:29" ht="15.75" thickTop="1">
      <c r="A95" s="670"/>
      <c r="B95" s="674">
        <f>B30</f>
        <v>111</v>
      </c>
      <c r="C95" s="689"/>
      <c r="D95" s="689"/>
      <c r="E95" s="689"/>
      <c r="F95" s="689"/>
      <c r="G95" s="719"/>
      <c r="H95" s="719"/>
      <c r="I95" s="719"/>
      <c r="J95" s="719"/>
      <c r="K95" s="720"/>
      <c r="L95" s="721"/>
      <c r="M95" s="722"/>
      <c r="N95" s="2164"/>
      <c r="O95" s="2164"/>
      <c r="P95" s="2214"/>
      <c r="Q95" s="2158"/>
      <c r="R95" s="2145"/>
      <c r="S95" s="2145"/>
      <c r="T95" s="2145"/>
      <c r="U95" s="2145"/>
      <c r="V95" s="2145"/>
      <c r="W95" s="2145"/>
      <c r="X95" s="2145"/>
      <c r="Y95" s="2145"/>
      <c r="Z95" s="2145"/>
      <c r="AA95" s="2145"/>
      <c r="AB95" s="2145"/>
      <c r="AC95" s="2145"/>
    </row>
    <row r="96" spans="1:29" ht="15.75" thickBot="1">
      <c r="A96" s="670"/>
      <c r="B96" s="679"/>
      <c r="C96" s="693"/>
      <c r="D96" s="693"/>
      <c r="E96" s="693"/>
      <c r="F96" s="693"/>
      <c r="G96" s="672"/>
      <c r="H96" s="672"/>
      <c r="I96" s="672"/>
      <c r="J96" s="672"/>
      <c r="K96" s="672"/>
      <c r="L96" s="672"/>
      <c r="M96" s="673"/>
      <c r="N96" s="2166"/>
      <c r="O96" s="2166"/>
      <c r="P96" s="2214"/>
      <c r="Q96" s="2158"/>
      <c r="R96" s="2145"/>
      <c r="S96" s="2145"/>
      <c r="T96" s="2145"/>
      <c r="U96" s="2145"/>
      <c r="V96" s="2145"/>
      <c r="W96" s="2145"/>
      <c r="X96" s="2145"/>
      <c r="Y96" s="2145"/>
      <c r="Z96" s="2145"/>
      <c r="AA96" s="2145"/>
      <c r="AB96" s="2145"/>
      <c r="AC96" s="2145"/>
    </row>
    <row r="97" spans="1:29" ht="15.75" thickTop="1">
      <c r="A97" s="670"/>
      <c r="B97" s="674">
        <f>B31</f>
        <v>111</v>
      </c>
      <c r="C97" s="689"/>
      <c r="D97" s="689"/>
      <c r="E97" s="689"/>
      <c r="F97" s="689"/>
      <c r="G97" s="719"/>
      <c r="H97" s="719"/>
      <c r="I97" s="719"/>
      <c r="J97" s="719"/>
      <c r="K97" s="720"/>
      <c r="L97" s="721"/>
      <c r="M97" s="722"/>
      <c r="N97" s="2164"/>
      <c r="O97" s="2164"/>
      <c r="P97" s="2214"/>
      <c r="Q97" s="2158"/>
      <c r="R97" s="2145"/>
      <c r="S97" s="2145"/>
      <c r="T97" s="2145"/>
      <c r="U97" s="2145"/>
      <c r="V97" s="2145"/>
      <c r="W97" s="2145"/>
      <c r="X97" s="2145"/>
      <c r="Y97" s="2145"/>
      <c r="Z97" s="2145"/>
      <c r="AA97" s="2145"/>
      <c r="AB97" s="2145"/>
      <c r="AC97" s="2145"/>
    </row>
    <row r="98" spans="1:29" ht="15.75" thickBot="1">
      <c r="A98" s="670"/>
      <c r="B98" s="679"/>
      <c r="C98" s="693"/>
      <c r="D98" s="672"/>
      <c r="E98" s="672"/>
      <c r="F98" s="672"/>
      <c r="G98" s="672"/>
      <c r="H98" s="672"/>
      <c r="I98" s="672"/>
      <c r="J98" s="672"/>
      <c r="K98" s="672"/>
      <c r="L98" s="672"/>
      <c r="M98" s="673"/>
      <c r="N98" s="2166"/>
      <c r="O98" s="2166"/>
      <c r="P98" s="2214"/>
      <c r="Q98" s="2158"/>
      <c r="R98" s="2145"/>
      <c r="S98" s="2145"/>
      <c r="T98" s="2145"/>
      <c r="U98" s="2145"/>
      <c r="V98" s="2145"/>
      <c r="W98" s="2145"/>
      <c r="X98" s="2145"/>
      <c r="Y98" s="2145"/>
      <c r="Z98" s="2145"/>
      <c r="AA98" s="2145"/>
      <c r="AB98" s="2145"/>
      <c r="AC98" s="2145"/>
    </row>
    <row r="99" spans="1:29" ht="15.75" thickTop="1">
      <c r="A99" s="670"/>
      <c r="B99" s="682">
        <f>B32</f>
        <v>111</v>
      </c>
      <c r="C99" s="662"/>
      <c r="D99" s="662"/>
      <c r="E99" s="662"/>
      <c r="F99" s="662"/>
      <c r="G99" s="723"/>
      <c r="H99" s="723"/>
      <c r="I99" s="723"/>
      <c r="J99" s="723"/>
      <c r="K99" s="724"/>
      <c r="L99" s="725"/>
      <c r="M99" s="726"/>
      <c r="N99" s="2164"/>
      <c r="O99" s="2164"/>
      <c r="P99" s="2214"/>
      <c r="Q99" s="2158"/>
      <c r="R99" s="2145"/>
      <c r="S99" s="2145"/>
      <c r="T99" s="2145"/>
      <c r="U99" s="2145"/>
      <c r="V99" s="2145"/>
      <c r="W99" s="2145"/>
      <c r="X99" s="2145"/>
      <c r="Y99" s="2145"/>
      <c r="Z99" s="2145"/>
      <c r="AA99" s="2145"/>
      <c r="AB99" s="2145"/>
      <c r="AC99" s="2145"/>
    </row>
    <row r="100" spans="1:29" ht="15.75" thickBot="1">
      <c r="A100" s="894"/>
      <c r="B100" s="700"/>
      <c r="C100" s="701"/>
      <c r="D100" s="701"/>
      <c r="E100" s="701"/>
      <c r="F100" s="701"/>
      <c r="G100" s="727"/>
      <c r="H100" s="727"/>
      <c r="I100" s="727"/>
      <c r="J100" s="727"/>
      <c r="K100" s="727"/>
      <c r="L100" s="727"/>
      <c r="M100" s="728"/>
      <c r="N100" s="2166"/>
      <c r="O100" s="2166"/>
      <c r="P100" s="2214"/>
      <c r="Q100" s="2158"/>
      <c r="R100" s="2145"/>
      <c r="S100" s="2145"/>
      <c r="T100" s="2145"/>
      <c r="U100" s="2145"/>
      <c r="V100" s="2145"/>
      <c r="W100" s="2145"/>
      <c r="X100" s="2145"/>
      <c r="Y100" s="2145"/>
      <c r="Z100" s="2145"/>
      <c r="AA100" s="2145"/>
      <c r="AB100" s="2145"/>
      <c r="AC100" s="2145"/>
    </row>
    <row r="101" spans="1:29">
      <c r="A101" s="665" t="s">
        <v>552</v>
      </c>
      <c r="B101" s="666" t="s">
        <v>748</v>
      </c>
      <c r="C101" s="599"/>
      <c r="D101" s="599"/>
      <c r="E101" s="599"/>
      <c r="F101" s="599"/>
      <c r="G101" s="599"/>
      <c r="H101" s="599"/>
      <c r="I101" s="599"/>
      <c r="J101" s="599"/>
      <c r="K101" s="667"/>
      <c r="L101" s="668"/>
      <c r="M101" s="669"/>
      <c r="N101" s="2164"/>
      <c r="O101" s="2164"/>
      <c r="P101" s="2214"/>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40" customFormat="1">
      <c r="A104" s="729"/>
      <c r="B104" s="730"/>
      <c r="C104" s="731"/>
      <c r="D104" s="731"/>
      <c r="E104" s="731"/>
      <c r="F104" s="731"/>
      <c r="G104" s="731"/>
      <c r="H104" s="731"/>
      <c r="I104" s="731"/>
      <c r="J104" s="732"/>
      <c r="K104" s="732"/>
      <c r="L104" s="733"/>
      <c r="M104" s="734"/>
      <c r="N104" s="2167"/>
      <c r="O104" s="2167"/>
      <c r="P104" s="2215"/>
      <c r="Q104" s="2169"/>
      <c r="R104" s="2170"/>
      <c r="S104" s="2170"/>
      <c r="T104" s="2170"/>
      <c r="U104" s="2170"/>
      <c r="V104" s="2170"/>
      <c r="W104" s="2170"/>
      <c r="X104" s="2170"/>
      <c r="Y104" s="2170"/>
      <c r="Z104" s="2170"/>
      <c r="AA104" s="2170"/>
      <c r="AB104" s="2170"/>
      <c r="AC104" s="2170"/>
    </row>
    <row r="105" spans="1:29" s="1340" customFormat="1" ht="15.75" thickBot="1">
      <c r="A105" s="688"/>
      <c r="B105" s="679"/>
      <c r="C105" s="693"/>
      <c r="D105" s="672"/>
      <c r="E105" s="672"/>
      <c r="F105" s="672"/>
      <c r="G105" s="672"/>
      <c r="H105" s="672"/>
      <c r="I105" s="672"/>
      <c r="J105" s="672"/>
      <c r="K105" s="672"/>
      <c r="L105" s="672"/>
      <c r="M105" s="673"/>
      <c r="N105" s="2166"/>
      <c r="O105" s="2166"/>
      <c r="P105" s="2215"/>
      <c r="Q105" s="2169"/>
      <c r="R105" s="2170"/>
      <c r="S105" s="2170"/>
      <c r="T105" s="2170"/>
      <c r="U105" s="2170"/>
      <c r="V105" s="2170"/>
      <c r="W105" s="2170"/>
      <c r="X105" s="2170"/>
      <c r="Y105" s="2170"/>
      <c r="Z105" s="2170"/>
      <c r="AA105" s="2170"/>
      <c r="AB105" s="2170"/>
      <c r="AC105" s="2170"/>
    </row>
    <row r="106" spans="1:29" ht="15" thickTop="1">
      <c r="A106" s="736"/>
      <c r="B106" s="674" t="s">
        <v>750</v>
      </c>
      <c r="C106" s="689"/>
      <c r="D106" s="689"/>
      <c r="E106" s="719"/>
      <c r="F106" s="719"/>
      <c r="G106" s="719"/>
      <c r="H106" s="719"/>
      <c r="I106" s="719"/>
      <c r="J106" s="719"/>
      <c r="K106" s="720"/>
      <c r="L106" s="721"/>
      <c r="M106" s="722"/>
      <c r="N106" s="2164"/>
      <c r="O106" s="2164"/>
      <c r="P106" s="2214"/>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6"/>
      <c r="B108" s="674" t="s">
        <v>752</v>
      </c>
      <c r="C108" s="689"/>
      <c r="D108" s="689"/>
      <c r="E108" s="689"/>
      <c r="F108" s="719"/>
      <c r="G108" s="719"/>
      <c r="H108" s="719"/>
      <c r="I108" s="719"/>
      <c r="J108" s="719"/>
      <c r="K108" s="720"/>
      <c r="L108" s="721"/>
      <c r="M108" s="722"/>
      <c r="N108" s="2164"/>
      <c r="O108" s="2164"/>
      <c r="P108" s="2214"/>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4"/>
      <c r="O110" s="2164"/>
      <c r="P110" s="2214"/>
      <c r="Q110" s="2158"/>
      <c r="R110" s="2145"/>
      <c r="S110" s="2145"/>
      <c r="T110" s="2145"/>
      <c r="U110" s="2145"/>
      <c r="V110" s="2145"/>
      <c r="W110" s="2145"/>
      <c r="X110" s="2145"/>
      <c r="Y110" s="2145"/>
      <c r="Z110" s="2145"/>
      <c r="AA110" s="2145"/>
      <c r="AB110" s="2145"/>
      <c r="AC110" s="2145"/>
    </row>
    <row r="111" spans="1:29">
      <c r="A111" s="736"/>
      <c r="B111" s="682"/>
      <c r="C111" s="895">
        <v>0.5</v>
      </c>
      <c r="D111" s="895">
        <v>0.6</v>
      </c>
      <c r="E111" s="895">
        <v>0.7</v>
      </c>
      <c r="F111" s="895">
        <v>0.8</v>
      </c>
      <c r="G111" s="895">
        <v>0.9</v>
      </c>
      <c r="H111" s="895">
        <v>1.0001</v>
      </c>
      <c r="I111" s="906"/>
      <c r="J111" s="906"/>
      <c r="K111" s="907"/>
      <c r="L111" s="908"/>
      <c r="M111" s="909"/>
      <c r="N111" s="2164"/>
      <c r="O111" s="2164"/>
      <c r="P111" s="2214"/>
      <c r="Q111" s="2158"/>
      <c r="R111" s="2145"/>
      <c r="S111" s="2145"/>
      <c r="T111" s="2145"/>
      <c r="U111" s="2145"/>
      <c r="V111" s="2145"/>
      <c r="W111" s="2145"/>
      <c r="X111" s="2145"/>
      <c r="Y111" s="2145"/>
      <c r="Z111" s="2145"/>
      <c r="AA111" s="2145"/>
      <c r="AB111" s="2145"/>
      <c r="AC111" s="2145"/>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6"/>
      <c r="O112" s="2166"/>
      <c r="P112" s="2214"/>
      <c r="Q112" s="2158"/>
      <c r="R112" s="2145"/>
      <c r="S112" s="2145"/>
      <c r="T112" s="2145"/>
      <c r="U112" s="2145"/>
      <c r="V112" s="2145"/>
      <c r="W112" s="2145"/>
      <c r="X112" s="2145"/>
      <c r="Y112" s="2145"/>
      <c r="Z112" s="2145"/>
      <c r="AA112" s="2145"/>
      <c r="AB112" s="2145"/>
      <c r="AC112" s="2145"/>
    </row>
    <row r="113" spans="1:29" s="1340" customFormat="1" ht="15" thickTop="1">
      <c r="A113" s="729"/>
      <c r="B113" s="674" t="s">
        <v>787</v>
      </c>
      <c r="C113" s="689"/>
      <c r="D113" s="689"/>
      <c r="E113" s="689"/>
      <c r="F113" s="689"/>
      <c r="G113" s="689"/>
      <c r="H113" s="719"/>
      <c r="I113" s="719"/>
      <c r="J113" s="719"/>
      <c r="K113" s="720"/>
      <c r="L113" s="721"/>
      <c r="M113" s="722"/>
      <c r="N113" s="2167"/>
      <c r="O113" s="2167"/>
      <c r="P113" s="2215"/>
      <c r="Q113" s="2169"/>
      <c r="R113" s="2170"/>
      <c r="S113" s="2170"/>
      <c r="T113" s="2170"/>
      <c r="U113" s="2170"/>
      <c r="V113" s="2170"/>
      <c r="W113" s="2170"/>
      <c r="X113" s="2170"/>
      <c r="Y113" s="2170"/>
      <c r="Z113" s="2170"/>
      <c r="AA113" s="2170"/>
      <c r="AB113" s="2170"/>
      <c r="AC113" s="2170"/>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6"/>
      <c r="B115" s="674" t="s">
        <v>754</v>
      </c>
      <c r="C115" s="689"/>
      <c r="D115" s="689"/>
      <c r="E115" s="719"/>
      <c r="F115" s="719"/>
      <c r="G115" s="719"/>
      <c r="H115" s="719"/>
      <c r="I115" s="719"/>
      <c r="J115" s="719"/>
      <c r="K115" s="720"/>
      <c r="L115" s="721"/>
      <c r="M115" s="722"/>
      <c r="N115" s="2164"/>
      <c r="O115" s="2164"/>
      <c r="P115" s="2214"/>
      <c r="Q115" s="2158"/>
      <c r="R115" s="2145"/>
      <c r="S115" s="2145"/>
      <c r="T115" s="2145"/>
      <c r="U115" s="2145"/>
      <c r="V115" s="2145"/>
      <c r="W115" s="2145"/>
      <c r="X115" s="2145"/>
      <c r="Y115" s="2145"/>
      <c r="Z115" s="2145"/>
      <c r="AA115" s="2145"/>
      <c r="AB115" s="2145"/>
      <c r="AC115" s="2145"/>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6"/>
      <c r="B117" s="1896" t="s">
        <v>2560</v>
      </c>
      <c r="C117" s="689"/>
      <c r="D117" s="689"/>
      <c r="E117" s="689"/>
      <c r="F117" s="689"/>
      <c r="G117" s="689"/>
      <c r="H117" s="719"/>
      <c r="I117" s="719"/>
      <c r="J117" s="719"/>
      <c r="K117" s="720"/>
      <c r="L117" s="721"/>
      <c r="M117" s="722"/>
      <c r="N117" s="2164"/>
      <c r="O117" s="2164"/>
      <c r="P117" s="2214"/>
      <c r="Q117" s="2158"/>
      <c r="R117" s="2145"/>
      <c r="S117" s="2145"/>
      <c r="T117" s="2145"/>
      <c r="U117" s="2145"/>
      <c r="V117" s="2145"/>
      <c r="W117" s="2145"/>
      <c r="X117" s="2145"/>
      <c r="Y117" s="2145"/>
      <c r="Z117" s="2145"/>
      <c r="AA117" s="2145"/>
      <c r="AB117" s="2145"/>
      <c r="AC117" s="2145"/>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6"/>
      <c r="O118" s="2166"/>
      <c r="P118" s="2214"/>
      <c r="Q118" s="2158"/>
      <c r="R118" s="2145"/>
      <c r="S118" s="2145"/>
      <c r="T118" s="2145"/>
      <c r="U118" s="2145"/>
      <c r="V118" s="2145"/>
      <c r="W118" s="2145"/>
      <c r="X118" s="2145"/>
      <c r="Y118" s="2145"/>
      <c r="Z118" s="2145"/>
      <c r="AA118" s="2145"/>
      <c r="AB118" s="2145"/>
      <c r="AC118" s="2145"/>
    </row>
    <row r="119" spans="1:29" ht="15" thickTop="1">
      <c r="A119" s="736"/>
      <c r="B119" s="918" t="s">
        <v>788</v>
      </c>
      <c r="C119" s="719"/>
      <c r="D119" s="719"/>
      <c r="E119" s="719"/>
      <c r="F119" s="719"/>
      <c r="G119" s="719"/>
      <c r="H119" s="719"/>
      <c r="I119" s="719"/>
      <c r="J119" s="719"/>
      <c r="K119" s="719"/>
      <c r="L119" s="919"/>
      <c r="M119" s="920"/>
      <c r="N119" s="2166"/>
      <c r="O119" s="2166"/>
      <c r="P119" s="2219"/>
      <c r="Q119" s="2206"/>
      <c r="R119" s="2145"/>
      <c r="S119" s="2145"/>
      <c r="T119" s="2145"/>
      <c r="U119" s="2145"/>
      <c r="V119" s="2145"/>
      <c r="W119" s="2145"/>
      <c r="X119" s="2145"/>
      <c r="Y119" s="2145"/>
      <c r="Z119" s="2145"/>
      <c r="AA119" s="2145"/>
      <c r="AB119" s="2145"/>
      <c r="AC119" s="2145"/>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6"/>
      <c r="O120" s="2166"/>
      <c r="P120" s="2214"/>
      <c r="Q120" s="2158"/>
      <c r="R120" s="2145"/>
      <c r="S120" s="2145"/>
      <c r="T120" s="2145"/>
      <c r="U120" s="2145"/>
      <c r="V120" s="2145"/>
      <c r="W120" s="2145"/>
      <c r="X120" s="2145"/>
      <c r="Y120" s="2145"/>
      <c r="Z120" s="2145"/>
      <c r="AA120" s="2145"/>
      <c r="AB120" s="2145"/>
      <c r="AC120" s="2145"/>
    </row>
    <row r="121" spans="1:29" s="1340" customFormat="1" ht="15" thickTop="1">
      <c r="A121" s="729"/>
      <c r="B121" s="674" t="s">
        <v>776</v>
      </c>
      <c r="C121" s="689"/>
      <c r="D121" s="689"/>
      <c r="E121" s="689"/>
      <c r="F121" s="719"/>
      <c r="G121" s="690"/>
      <c r="H121" s="690"/>
      <c r="I121" s="690"/>
      <c r="J121" s="690"/>
      <c r="K121" s="690"/>
      <c r="L121" s="691"/>
      <c r="M121" s="692"/>
      <c r="N121" s="2167"/>
      <c r="O121" s="2167"/>
      <c r="P121" s="2215"/>
      <c r="Q121" s="2169"/>
      <c r="R121" s="2170"/>
      <c r="S121" s="2170"/>
      <c r="T121" s="2170"/>
      <c r="U121" s="2170"/>
      <c r="V121" s="2170"/>
      <c r="W121" s="2170"/>
      <c r="X121" s="2170"/>
      <c r="Y121" s="2170"/>
      <c r="Z121" s="2170"/>
      <c r="AA121" s="2170"/>
      <c r="AB121" s="2170"/>
      <c r="AC121" s="2170"/>
    </row>
    <row r="122" spans="1:29" s="1340" customFormat="1" ht="15.75" thickBot="1">
      <c r="A122" s="688"/>
      <c r="B122" s="671"/>
      <c r="C122" s="693"/>
      <c r="D122" s="693"/>
      <c r="E122" s="693"/>
      <c r="F122" s="693"/>
      <c r="G122" s="693"/>
      <c r="H122" s="693"/>
      <c r="I122" s="693"/>
      <c r="J122" s="693"/>
      <c r="K122" s="693"/>
      <c r="L122" s="693"/>
      <c r="M122" s="693"/>
      <c r="N122" s="2167"/>
      <c r="O122" s="2167"/>
      <c r="P122" s="2215"/>
      <c r="Q122" s="2169"/>
      <c r="R122" s="2170"/>
      <c r="S122" s="2170"/>
      <c r="T122" s="2170"/>
      <c r="U122" s="2170"/>
      <c r="V122" s="2170"/>
      <c r="W122" s="2170"/>
      <c r="X122" s="2170"/>
      <c r="Y122" s="2170"/>
      <c r="Z122" s="2170"/>
      <c r="AA122" s="2170"/>
      <c r="AB122" s="2170"/>
      <c r="AC122" s="2170"/>
    </row>
    <row r="123" spans="1:29" ht="15" thickTop="1">
      <c r="A123" s="736"/>
      <c r="B123" s="674" t="s">
        <v>756</v>
      </c>
      <c r="C123" s="689"/>
      <c r="D123" s="689"/>
      <c r="E123" s="689"/>
      <c r="F123" s="719"/>
      <c r="G123" s="719"/>
      <c r="H123" s="719"/>
      <c r="I123" s="719"/>
      <c r="J123" s="719"/>
      <c r="K123" s="720"/>
      <c r="L123" s="721"/>
      <c r="M123" s="722"/>
      <c r="N123" s="2164"/>
      <c r="O123" s="2164"/>
      <c r="P123" s="2214"/>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4"/>
      <c r="O125" s="2164"/>
      <c r="P125" s="2215"/>
      <c r="Q125" s="2158"/>
      <c r="R125" s="2145"/>
      <c r="S125" s="2145"/>
      <c r="T125" s="2145"/>
      <c r="U125" s="2145"/>
      <c r="V125" s="2145"/>
      <c r="W125" s="2145"/>
      <c r="X125" s="2145"/>
      <c r="Y125" s="2145"/>
      <c r="Z125" s="2145"/>
      <c r="AA125" s="2145"/>
      <c r="AB125" s="2145"/>
      <c r="AC125" s="2145"/>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6"/>
      <c r="O126" s="2166"/>
      <c r="P126" s="2214"/>
      <c r="Q126" s="2158"/>
      <c r="R126" s="2145"/>
      <c r="S126" s="2145"/>
      <c r="T126" s="2145"/>
      <c r="U126" s="2145"/>
      <c r="V126" s="2145"/>
      <c r="W126" s="2145"/>
      <c r="X126" s="2145"/>
      <c r="Y126" s="2145"/>
      <c r="Z126" s="2145"/>
      <c r="AA126" s="2145"/>
      <c r="AB126" s="2145"/>
      <c r="AC126" s="2145"/>
    </row>
    <row r="127" spans="1:29" s="1340" customFormat="1" ht="15" thickTop="1">
      <c r="A127" s="729"/>
      <c r="B127" s="674">
        <f>B45</f>
        <v>111</v>
      </c>
      <c r="C127" s="689"/>
      <c r="D127" s="689"/>
      <c r="E127" s="689"/>
      <c r="F127" s="689"/>
      <c r="G127" s="689"/>
      <c r="H127" s="690"/>
      <c r="I127" s="690"/>
      <c r="J127" s="690"/>
      <c r="K127" s="690"/>
      <c r="L127" s="691"/>
      <c r="M127" s="692"/>
      <c r="N127" s="2167"/>
      <c r="O127" s="2167"/>
      <c r="P127" s="2215"/>
      <c r="Q127" s="2169"/>
      <c r="R127" s="2170"/>
      <c r="S127" s="2170"/>
      <c r="T127" s="2170"/>
      <c r="U127" s="2170"/>
      <c r="V127" s="2170"/>
      <c r="W127" s="2170"/>
      <c r="X127" s="2170"/>
      <c r="Y127" s="2170"/>
      <c r="Z127" s="2170"/>
      <c r="AA127" s="2170"/>
      <c r="AB127" s="2170"/>
      <c r="AC127" s="2170"/>
    </row>
    <row r="128" spans="1:29" s="1340" customFormat="1" ht="15.75" thickBot="1">
      <c r="A128" s="688"/>
      <c r="B128" s="679"/>
      <c r="C128" s="693"/>
      <c r="D128" s="672"/>
      <c r="E128" s="672"/>
      <c r="F128" s="672"/>
      <c r="G128" s="693"/>
      <c r="H128" s="694"/>
      <c r="I128" s="694"/>
      <c r="J128" s="694"/>
      <c r="K128" s="694"/>
      <c r="L128" s="694"/>
      <c r="M128" s="695"/>
      <c r="N128" s="2167"/>
      <c r="O128" s="2167"/>
      <c r="P128" s="2215"/>
      <c r="Q128" s="2169"/>
      <c r="R128" s="2170"/>
      <c r="S128" s="2170"/>
      <c r="T128" s="2170"/>
      <c r="U128" s="2170"/>
      <c r="V128" s="2170"/>
      <c r="W128" s="2170"/>
      <c r="X128" s="2170"/>
      <c r="Y128" s="2170"/>
      <c r="Z128" s="2170"/>
      <c r="AA128" s="2170"/>
      <c r="AB128" s="2170"/>
      <c r="AC128" s="2170"/>
    </row>
    <row r="129" spans="1:29" ht="15" thickTop="1">
      <c r="A129" s="736"/>
      <c r="B129" s="674">
        <f>B46</f>
        <v>111</v>
      </c>
      <c r="C129" s="689"/>
      <c r="D129" s="689"/>
      <c r="E129" s="689"/>
      <c r="F129" s="689"/>
      <c r="G129" s="719"/>
      <c r="H129" s="719"/>
      <c r="I129" s="719"/>
      <c r="J129" s="719"/>
      <c r="K129" s="720"/>
      <c r="L129" s="721"/>
      <c r="M129" s="722"/>
      <c r="N129" s="2164"/>
      <c r="O129" s="2164"/>
      <c r="P129" s="2214"/>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214"/>
      <c r="Q130" s="2158"/>
      <c r="R130" s="2145"/>
      <c r="S130" s="2145"/>
      <c r="T130" s="2145"/>
      <c r="U130" s="2145"/>
      <c r="V130" s="2145"/>
      <c r="W130" s="2145"/>
      <c r="X130" s="2145"/>
      <c r="Y130" s="2145"/>
      <c r="Z130" s="2145"/>
      <c r="AA130" s="2145"/>
      <c r="AB130" s="2145"/>
      <c r="AC130" s="2145"/>
    </row>
    <row r="131" spans="1:29" ht="15" thickTop="1">
      <c r="A131" s="736"/>
      <c r="B131" s="682">
        <f>B47</f>
        <v>111</v>
      </c>
      <c r="C131" s="662"/>
      <c r="D131" s="662"/>
      <c r="E131" s="662"/>
      <c r="F131" s="662"/>
      <c r="G131" s="723"/>
      <c r="H131" s="723"/>
      <c r="I131" s="723"/>
      <c r="J131" s="723"/>
      <c r="K131" s="662"/>
      <c r="L131" s="663"/>
      <c r="M131" s="726"/>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0"/>
      <c r="C132" s="701"/>
      <c r="D132" s="701"/>
      <c r="E132" s="701"/>
      <c r="F132" s="701"/>
      <c r="G132" s="727"/>
      <c r="H132" s="727"/>
      <c r="I132" s="727"/>
      <c r="J132" s="727"/>
      <c r="K132" s="727"/>
      <c r="L132" s="727"/>
      <c r="M132" s="728"/>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522</v>
      </c>
      <c r="B4" s="514"/>
      <c r="C4" s="3415" t="s">
        <v>523</v>
      </c>
      <c r="D4" s="3416"/>
      <c r="E4" s="3449" t="s">
        <v>524</v>
      </c>
      <c r="F4" s="3450"/>
      <c r="G4" s="3415" t="s">
        <v>525</v>
      </c>
      <c r="H4" s="3416"/>
      <c r="I4" s="3415" t="s">
        <v>526</v>
      </c>
      <c r="J4" s="3416"/>
      <c r="K4" s="515" t="s">
        <v>527</v>
      </c>
      <c r="L4" s="2133"/>
      <c r="M4" s="2134"/>
      <c r="N4" s="2134"/>
      <c r="O4" s="2134"/>
      <c r="P4" s="3417" t="s">
        <v>528</v>
      </c>
      <c r="Q4" s="3418"/>
      <c r="R4" s="3423" t="s">
        <v>524</v>
      </c>
      <c r="S4" s="3424"/>
      <c r="T4" s="3423" t="s">
        <v>525</v>
      </c>
      <c r="U4" s="3424"/>
      <c r="V4" s="3410" t="s">
        <v>526</v>
      </c>
      <c r="W4" s="3410"/>
      <c r="X4" s="1568"/>
      <c r="Y4" s="3423" t="s">
        <v>528</v>
      </c>
      <c r="Z4" s="3424"/>
      <c r="AA4" s="3412" t="s">
        <v>524</v>
      </c>
      <c r="AB4" s="3413" t="s">
        <v>525</v>
      </c>
      <c r="AC4" s="3412" t="s">
        <v>526</v>
      </c>
    </row>
    <row r="5" spans="1:29" ht="15">
      <c r="A5" s="516"/>
      <c r="B5" s="517"/>
      <c r="C5" s="3431" t="s">
        <v>2928</v>
      </c>
      <c r="D5" s="3432"/>
      <c r="E5" s="3451" t="s">
        <v>2929</v>
      </c>
      <c r="F5" s="3452"/>
      <c r="G5" s="3431" t="s">
        <v>2930</v>
      </c>
      <c r="H5" s="3432"/>
      <c r="I5" s="3431" t="s">
        <v>2931</v>
      </c>
      <c r="J5" s="3432"/>
      <c r="K5" s="515"/>
      <c r="L5" s="2133"/>
      <c r="M5" s="2134"/>
      <c r="N5" s="2134"/>
      <c r="O5" s="2134"/>
      <c r="P5" s="3419"/>
      <c r="Q5" s="3420"/>
      <c r="R5" s="3425"/>
      <c r="S5" s="3426"/>
      <c r="T5" s="3425"/>
      <c r="U5" s="3426"/>
      <c r="V5" s="3410"/>
      <c r="W5" s="3410"/>
      <c r="X5" s="1568"/>
      <c r="Y5" s="3425"/>
      <c r="Z5" s="3426"/>
      <c r="AA5" s="3413"/>
      <c r="AB5" s="3413"/>
      <c r="AC5" s="3413"/>
    </row>
    <row r="6" spans="1:29" ht="15.75" thickBot="1">
      <c r="A6" s="518"/>
      <c r="B6" s="519"/>
      <c r="C6" s="3429" t="s">
        <v>2932</v>
      </c>
      <c r="D6" s="3430"/>
      <c r="E6" s="3447" t="s">
        <v>2932</v>
      </c>
      <c r="F6" s="3448"/>
      <c r="G6" s="3429" t="s">
        <v>2932</v>
      </c>
      <c r="H6" s="3430"/>
      <c r="I6" s="3429" t="s">
        <v>2932</v>
      </c>
      <c r="J6" s="3430"/>
      <c r="K6" s="515" t="s">
        <v>529</v>
      </c>
      <c r="L6" s="2133"/>
      <c r="M6" s="2134"/>
      <c r="N6" s="2134"/>
      <c r="O6" s="2134"/>
      <c r="P6" s="3421"/>
      <c r="Q6" s="3422"/>
      <c r="R6" s="3425"/>
      <c r="S6" s="3426"/>
      <c r="T6" s="3427"/>
      <c r="U6" s="3428"/>
      <c r="V6" s="3410"/>
      <c r="W6" s="3410"/>
      <c r="X6" s="1568"/>
      <c r="Y6" s="3427"/>
      <c r="Z6" s="3428"/>
      <c r="AA6" s="3414"/>
      <c r="AB6" s="3414"/>
      <c r="AC6" s="3414"/>
    </row>
    <row r="7" spans="1:29" s="1221" customFormat="1" ht="15.75" thickBot="1">
      <c r="A7" s="2938"/>
      <c r="B7" s="2945" t="s">
        <v>530</v>
      </c>
      <c r="C7" s="520">
        <f>'数据-取费表'!B2</f>
        <v>43089</v>
      </c>
      <c r="D7" s="521">
        <v>100</v>
      </c>
      <c r="E7" s="522"/>
      <c r="F7" s="523">
        <f>SUMIF(52:52,YEAR(E7)&amp;"-"&amp;MONTH(E7),53:53)</f>
        <v>0</v>
      </c>
      <c r="G7" s="522"/>
      <c r="H7" s="521">
        <f>SUMIF(52:52,YEAR(G7)&amp;"-"&amp;MONTH(G7),53:53)</f>
        <v>0</v>
      </c>
      <c r="I7" s="522"/>
      <c r="J7" s="521">
        <f>SUMIF(52:52,YEAR(I7)&amp;"-"&amp;MONTH(I7),53:53)</f>
        <v>0</v>
      </c>
      <c r="K7" s="525"/>
      <c r="L7" s="2135"/>
      <c r="M7" s="2136"/>
      <c r="N7" s="2136"/>
      <c r="O7" s="2136"/>
      <c r="P7" s="3440" t="s">
        <v>531</v>
      </c>
      <c r="Q7" s="3442"/>
      <c r="R7" s="1569" t="s">
        <v>8</v>
      </c>
      <c r="S7" s="1570">
        <f t="shared" ref="S7:S15" si="0">F7</f>
        <v>0</v>
      </c>
      <c r="T7" s="1569" t="s">
        <v>8</v>
      </c>
      <c r="U7" s="1570">
        <f t="shared" ref="U7:U15" si="1">H7</f>
        <v>0</v>
      </c>
      <c r="V7" s="1569" t="s">
        <v>8</v>
      </c>
      <c r="W7" s="1570">
        <f t="shared" ref="W7:W15" si="2">J7</f>
        <v>0</v>
      </c>
      <c r="X7" s="1571"/>
      <c r="Y7" s="3440" t="s">
        <v>531</v>
      </c>
      <c r="Z7" s="3441"/>
      <c r="AA7" s="1572" t="e">
        <f>D7/F7</f>
        <v>#DIV/0!</v>
      </c>
      <c r="AB7" s="1572" t="e">
        <f>D7/H7</f>
        <v>#DIV/0!</v>
      </c>
      <c r="AC7" s="1572" t="e">
        <f>D7/J7</f>
        <v>#DIV/0!</v>
      </c>
    </row>
    <row r="8" spans="1:29" s="1221" customFormat="1" ht="15.75" thickBot="1">
      <c r="A8" s="2939"/>
      <c r="B8" s="2946" t="s">
        <v>532</v>
      </c>
      <c r="C8" s="526" t="s">
        <v>577</v>
      </c>
      <c r="D8" s="521">
        <v>100</v>
      </c>
      <c r="E8" s="526"/>
      <c r="F8" s="523">
        <f>SUMIF(55:55,E8,56:56)-SUMIF(55:55,C8,56:56)+100</f>
        <v>0</v>
      </c>
      <c r="G8" s="526"/>
      <c r="H8" s="521">
        <f>SUMIF(55:55,G8,56:56)-SUMIF(55:55,C8,56:56)+100</f>
        <v>0</v>
      </c>
      <c r="I8" s="526"/>
      <c r="J8" s="521">
        <f>SUMIF(55:55,I8,56:56)-SUMIF(55:55,C8,56:56)+100</f>
        <v>0</v>
      </c>
      <c r="K8" s="525"/>
      <c r="L8" s="2135"/>
      <c r="M8" s="2136"/>
      <c r="N8" s="2136"/>
      <c r="O8" s="2136"/>
      <c r="P8" s="3440" t="s">
        <v>534</v>
      </c>
      <c r="Q8" s="3441"/>
      <c r="R8" s="1569" t="s">
        <v>8</v>
      </c>
      <c r="S8" s="1570">
        <f t="shared" si="0"/>
        <v>0</v>
      </c>
      <c r="T8" s="1569" t="s">
        <v>8</v>
      </c>
      <c r="U8" s="1570">
        <f t="shared" si="1"/>
        <v>0</v>
      </c>
      <c r="V8" s="1569" t="s">
        <v>8</v>
      </c>
      <c r="W8" s="1570">
        <f t="shared" si="2"/>
        <v>0</v>
      </c>
      <c r="X8" s="1571"/>
      <c r="Y8" s="3440" t="s">
        <v>534</v>
      </c>
      <c r="Z8" s="3441"/>
      <c r="AA8" s="1572" t="e">
        <f t="shared" ref="AA8:AA40" si="3">D8/F8</f>
        <v>#DIV/0!</v>
      </c>
      <c r="AB8" s="1572" t="e">
        <f t="shared" ref="AB8:AB40" si="4">D8/H8</f>
        <v>#DIV/0!</v>
      </c>
      <c r="AC8" s="1572" t="e">
        <f t="shared" ref="AC8:AC40" si="5">D8/J8</f>
        <v>#DIV/0!</v>
      </c>
    </row>
    <row r="9" spans="1:29" s="1221" customFormat="1" ht="15">
      <c r="A9" s="2940"/>
      <c r="B9" s="2947" t="s">
        <v>2762</v>
      </c>
      <c r="C9" s="858"/>
      <c r="D9" s="252">
        <v>100</v>
      </c>
      <c r="E9" s="861"/>
      <c r="F9" s="252">
        <f>SUMIF(57:57,E9,58:58)-SUMIF(57:57,C9,58:58)+100</f>
        <v>100</v>
      </c>
      <c r="G9" s="859"/>
      <c r="H9" s="252">
        <f>SUMIF(57:57,G9,58:58)-SUMIF(57:57,C9,58:58)+100</f>
        <v>100</v>
      </c>
      <c r="I9" s="859"/>
      <c r="J9" s="252">
        <f>SUMIF(57:57,I9,58:58)-SUMIF(57:57,C9,58:58)+100</f>
        <v>100</v>
      </c>
      <c r="K9" s="525"/>
      <c r="L9" s="2135"/>
      <c r="M9" s="2136"/>
      <c r="N9" s="2136"/>
      <c r="O9" s="2137"/>
      <c r="P9" s="3409" t="s">
        <v>536</v>
      </c>
      <c r="Q9" s="1152" t="str">
        <f t="shared" ref="Q9:Q15" si="6">B9</f>
        <v>用途</v>
      </c>
      <c r="R9" s="1569" t="s">
        <v>8</v>
      </c>
      <c r="S9" s="1570">
        <f t="shared" si="0"/>
        <v>100</v>
      </c>
      <c r="T9" s="1569" t="s">
        <v>8</v>
      </c>
      <c r="U9" s="1570">
        <f t="shared" si="1"/>
        <v>100</v>
      </c>
      <c r="V9" s="1569" t="s">
        <v>8</v>
      </c>
      <c r="W9" s="1570">
        <f t="shared" si="2"/>
        <v>100</v>
      </c>
      <c r="X9" s="1571"/>
      <c r="Y9" s="3355"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SUMIF(59:59,E10,60:60)-SUMIF(59:59,C10,60:60)+100</f>
        <v>100</v>
      </c>
      <c r="G10" s="863"/>
      <c r="H10" s="253">
        <f>SUMIF(59:59,G10,60:60)-SUMIF(59:59,C10,60:60)+100</f>
        <v>100</v>
      </c>
      <c r="I10" s="862"/>
      <c r="J10" s="253">
        <f>SUMIF(59:59,I10,60:60)-SUMIF(59:59,C10,60:60)+100</f>
        <v>100</v>
      </c>
      <c r="K10" s="585"/>
      <c r="L10" s="2138"/>
      <c r="M10" s="2178"/>
      <c r="N10" s="2178"/>
      <c r="O10" s="2139"/>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0"/>
      <c r="M11" s="2134"/>
      <c r="N11" s="2134"/>
      <c r="O11" s="2141"/>
      <c r="P11" s="3409"/>
      <c r="Q11" s="1152" t="str">
        <f t="shared" si="6"/>
        <v>容积率</v>
      </c>
      <c r="R11" s="1569" t="s">
        <v>8</v>
      </c>
      <c r="S11" s="1570" t="e">
        <f t="shared" si="0"/>
        <v>#N/A</v>
      </c>
      <c r="T11" s="1569" t="s">
        <v>8</v>
      </c>
      <c r="U11" s="1570" t="e">
        <f t="shared" si="1"/>
        <v>#N/A</v>
      </c>
      <c r="V11" s="1569" t="s">
        <v>8</v>
      </c>
      <c r="W11" s="1570" t="e">
        <f t="shared" si="2"/>
        <v>#N/A</v>
      </c>
      <c r="X11" s="1571"/>
      <c r="Y11" s="3355"/>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SUMIF(64:64,E12,65:65)-SUMIF(64:64,C12,65:65)+100</f>
        <v>100</v>
      </c>
      <c r="G12" s="921"/>
      <c r="H12" s="253">
        <f>SUMIF(64:64,G12,65:65)-SUMIF(64:64,C12,65:65)+100</f>
        <v>100</v>
      </c>
      <c r="I12" s="881"/>
      <c r="J12" s="253">
        <f>SUMIF(64:64,I12,65:65)-SUMIF(64:64,C12,65:65)+100</f>
        <v>100</v>
      </c>
      <c r="K12" s="582"/>
      <c r="L12" s="2135"/>
      <c r="M12" s="2136"/>
      <c r="N12" s="2136"/>
      <c r="O12" s="2137"/>
      <c r="P12" s="3409"/>
      <c r="Q12" s="1152">
        <f t="shared" si="6"/>
        <v>111</v>
      </c>
      <c r="R12" s="1569" t="s">
        <v>8</v>
      </c>
      <c r="S12" s="1570">
        <f t="shared" si="0"/>
        <v>100</v>
      </c>
      <c r="T12" s="1569" t="s">
        <v>8</v>
      </c>
      <c r="U12" s="1570">
        <f t="shared" si="1"/>
        <v>100</v>
      </c>
      <c r="V12" s="1569" t="s">
        <v>8</v>
      </c>
      <c r="W12" s="1570">
        <f t="shared" si="2"/>
        <v>100</v>
      </c>
      <c r="X12" s="1571"/>
      <c r="Y12" s="3355"/>
      <c r="Z12" s="1151">
        <f t="shared" si="7"/>
        <v>111</v>
      </c>
      <c r="AA12" s="1572">
        <f>D12/F12</f>
        <v>1</v>
      </c>
      <c r="AB12" s="1572">
        <f>D12/H12</f>
        <v>1</v>
      </c>
      <c r="AC12" s="1572">
        <f>D12/J12</f>
        <v>1</v>
      </c>
    </row>
    <row r="13" spans="1:29" ht="15">
      <c r="A13" s="2943"/>
      <c r="B13" s="2949">
        <v>111</v>
      </c>
      <c r="C13" s="540"/>
      <c r="D13" s="541">
        <v>100</v>
      </c>
      <c r="E13" s="540"/>
      <c r="F13" s="253">
        <f>SUMIF(66:66,E13,67:67)-SUMIF(66:66,C13,67:67)+100</f>
        <v>100</v>
      </c>
      <c r="G13" s="921"/>
      <c r="H13" s="541">
        <f>SUMIF(66:66,G13,67:67)-SUMIF(66:66,C13,67:67)+100</f>
        <v>100</v>
      </c>
      <c r="I13" s="881"/>
      <c r="J13" s="541">
        <f>SUMIF(66:66,I13,67:67)-SUMIF(66:66,C13,67:67)+100</f>
        <v>100</v>
      </c>
      <c r="K13" s="582"/>
      <c r="L13" s="2142"/>
      <c r="M13" s="2134"/>
      <c r="N13" s="2134"/>
      <c r="O13" s="2141"/>
      <c r="P13" s="3409"/>
      <c r="Q13" s="1152">
        <f t="shared" si="6"/>
        <v>111</v>
      </c>
      <c r="R13" s="1569" t="s">
        <v>8</v>
      </c>
      <c r="S13" s="1570">
        <f t="shared" si="0"/>
        <v>100</v>
      </c>
      <c r="T13" s="1569" t="s">
        <v>8</v>
      </c>
      <c r="U13" s="1570">
        <f t="shared" si="1"/>
        <v>100</v>
      </c>
      <c r="V13" s="1569" t="s">
        <v>8</v>
      </c>
      <c r="W13" s="1570">
        <f t="shared" si="2"/>
        <v>100</v>
      </c>
      <c r="X13" s="1571"/>
      <c r="Y13" s="3355"/>
      <c r="Z13" s="1151">
        <f t="shared" si="7"/>
        <v>111</v>
      </c>
      <c r="AA13" s="1572">
        <f t="shared" si="3"/>
        <v>1</v>
      </c>
      <c r="AB13" s="1572">
        <f t="shared" si="4"/>
        <v>1</v>
      </c>
      <c r="AC13" s="1572">
        <f t="shared" si="5"/>
        <v>1</v>
      </c>
    </row>
    <row r="14" spans="1:29" ht="15.75" thickBot="1">
      <c r="A14" s="2944"/>
      <c r="B14" s="2950">
        <v>111</v>
      </c>
      <c r="C14" s="546"/>
      <c r="D14" s="547">
        <v>100</v>
      </c>
      <c r="E14" s="546"/>
      <c r="F14" s="547">
        <f>SUMIF(68:68,E14,69:69)-SUMIF(68:68,C14,69:69)+100</f>
        <v>100</v>
      </c>
      <c r="G14" s="921"/>
      <c r="H14" s="547">
        <f>SUMIF(68:68,G14,69:69)-SUMIF(68:68,C14,69:69)+100</f>
        <v>100</v>
      </c>
      <c r="I14" s="881"/>
      <c r="J14" s="547">
        <f>SUMIF(68:68,I14,69:69)-SUMIF(68:68,C14,69:69)+100</f>
        <v>100</v>
      </c>
      <c r="K14" s="582"/>
      <c r="L14" s="2142"/>
      <c r="M14" s="2134"/>
      <c r="N14" s="2134"/>
      <c r="O14" s="2141"/>
      <c r="P14" s="3409"/>
      <c r="Q14" s="1152">
        <f t="shared" si="6"/>
        <v>111</v>
      </c>
      <c r="R14" s="1569" t="s">
        <v>8</v>
      </c>
      <c r="S14" s="1570">
        <f t="shared" si="0"/>
        <v>100</v>
      </c>
      <c r="T14" s="1569" t="s">
        <v>8</v>
      </c>
      <c r="U14" s="1570">
        <f t="shared" si="1"/>
        <v>100</v>
      </c>
      <c r="V14" s="1569" t="s">
        <v>8</v>
      </c>
      <c r="W14" s="1570">
        <f t="shared" si="2"/>
        <v>100</v>
      </c>
      <c r="X14" s="1571"/>
      <c r="Y14" s="3355"/>
      <c r="Z14" s="1151">
        <f t="shared" si="7"/>
        <v>111</v>
      </c>
      <c r="AA14" s="1572">
        <f t="shared" si="3"/>
        <v>1</v>
      </c>
      <c r="AB14" s="1572">
        <f t="shared" si="4"/>
        <v>1</v>
      </c>
      <c r="AC14" s="1572">
        <f t="shared" si="5"/>
        <v>1</v>
      </c>
    </row>
    <row r="15" spans="1:29" ht="57">
      <c r="A15" s="2936" t="s">
        <v>2760</v>
      </c>
      <c r="B15" s="165"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2"/>
      <c r="M15" s="2134"/>
      <c r="N15" s="2134"/>
      <c r="O15" s="2141"/>
      <c r="P15" s="3443" t="s">
        <v>541</v>
      </c>
      <c r="Q15" s="1573" t="str">
        <f t="shared" si="6"/>
        <v>产业集聚程度</v>
      </c>
      <c r="R15" s="1574" t="s">
        <v>8</v>
      </c>
      <c r="S15" s="1575">
        <f t="shared" si="0"/>
        <v>100</v>
      </c>
      <c r="T15" s="1574" t="s">
        <v>8</v>
      </c>
      <c r="U15" s="1575">
        <f t="shared" si="1"/>
        <v>100</v>
      </c>
      <c r="V15" s="1574" t="s">
        <v>8</v>
      </c>
      <c r="W15" s="1575">
        <f t="shared" si="2"/>
        <v>100</v>
      </c>
      <c r="X15" s="1568"/>
      <c r="Y15" s="3443"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44"/>
      <c r="Q16" s="1573"/>
      <c r="R16" s="1574"/>
      <c r="S16" s="1575"/>
      <c r="T16" s="1574"/>
      <c r="U16" s="1575"/>
      <c r="V16" s="1574"/>
      <c r="W16" s="1575"/>
      <c r="X16" s="1568"/>
      <c r="Y16" s="3444"/>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2"/>
      <c r="M17" s="2134"/>
      <c r="N17" s="2134"/>
      <c r="O17" s="2141"/>
      <c r="P17" s="3444"/>
      <c r="Q17" s="1573" t="str">
        <f>B17</f>
        <v>交通便捷度</v>
      </c>
      <c r="R17" s="1574" t="s">
        <v>8</v>
      </c>
      <c r="S17" s="1575">
        <f>F17</f>
        <v>100</v>
      </c>
      <c r="T17" s="1574" t="s">
        <v>8</v>
      </c>
      <c r="U17" s="1575">
        <f>H17</f>
        <v>100</v>
      </c>
      <c r="V17" s="1574" t="s">
        <v>8</v>
      </c>
      <c r="W17" s="1575">
        <f>J17</f>
        <v>100</v>
      </c>
      <c r="X17" s="1568"/>
      <c r="Y17" s="3444"/>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44"/>
      <c r="Q18" s="1573"/>
      <c r="R18" s="1574"/>
      <c r="S18" s="1575"/>
      <c r="T18" s="1574"/>
      <c r="U18" s="1575"/>
      <c r="V18" s="1574"/>
      <c r="W18" s="1575"/>
      <c r="X18" s="1568"/>
      <c r="Y18" s="3444"/>
      <c r="Z18" s="1576"/>
      <c r="AA18" s="1577">
        <v>1</v>
      </c>
      <c r="AB18" s="1577">
        <v>1</v>
      </c>
      <c r="AC18" s="1577">
        <v>1</v>
      </c>
    </row>
    <row r="19" spans="1:29" ht="42.75">
      <c r="A19" s="533"/>
      <c r="B19" s="2627" t="s">
        <v>2550</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2"/>
      <c r="M19" s="2134"/>
      <c r="N19" s="2134"/>
      <c r="O19" s="2141"/>
      <c r="P19" s="3444"/>
      <c r="Q19" s="1573" t="str">
        <f>B19</f>
        <v>公共配套设施</v>
      </c>
      <c r="R19" s="1574" t="s">
        <v>8</v>
      </c>
      <c r="S19" s="1575">
        <f>F19</f>
        <v>100</v>
      </c>
      <c r="T19" s="1574" t="s">
        <v>8</v>
      </c>
      <c r="U19" s="1575">
        <f>H19</f>
        <v>100</v>
      </c>
      <c r="V19" s="1574" t="s">
        <v>8</v>
      </c>
      <c r="W19" s="1575">
        <f>J19</f>
        <v>100</v>
      </c>
      <c r="X19" s="1568"/>
      <c r="Y19" s="3444"/>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2"/>
      <c r="M20" s="2134"/>
      <c r="N20" s="2134"/>
      <c r="O20" s="2141"/>
      <c r="P20" s="3444"/>
      <c r="Q20" s="1573"/>
      <c r="R20" s="1574"/>
      <c r="S20" s="1575"/>
      <c r="T20" s="1574"/>
      <c r="U20" s="1575"/>
      <c r="V20" s="1574"/>
      <c r="W20" s="1575"/>
      <c r="X20" s="1568"/>
      <c r="Y20" s="3444"/>
      <c r="Z20" s="1576"/>
      <c r="AA20" s="1577">
        <v>1</v>
      </c>
      <c r="AB20" s="1577">
        <v>1</v>
      </c>
      <c r="AC20" s="1577">
        <v>1</v>
      </c>
    </row>
    <row r="21" spans="1:29" ht="28.5">
      <c r="A21" s="533"/>
      <c r="B21" s="2615" t="s">
        <v>2562</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2"/>
      <c r="M21" s="2134"/>
      <c r="N21" s="2134"/>
      <c r="O21" s="2141"/>
      <c r="P21" s="3444"/>
      <c r="Q21" s="2603" t="str">
        <f>B21</f>
        <v>基础设施水平</v>
      </c>
      <c r="R21" s="1574" t="s">
        <v>8</v>
      </c>
      <c r="S21" s="1575">
        <f>F21</f>
        <v>100</v>
      </c>
      <c r="T21" s="1574" t="s">
        <v>8</v>
      </c>
      <c r="U21" s="1575">
        <f>H21</f>
        <v>100</v>
      </c>
      <c r="V21" s="1574" t="s">
        <v>8</v>
      </c>
      <c r="W21" s="1575">
        <f>J21</f>
        <v>100</v>
      </c>
      <c r="X21" s="2605"/>
      <c r="Y21" s="3444"/>
      <c r="Z21" s="2604"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6"/>
      <c r="L22" s="2142"/>
      <c r="M22" s="2134"/>
      <c r="N22" s="2134"/>
      <c r="O22" s="2141"/>
      <c r="P22" s="3444"/>
      <c r="Q22" s="2603"/>
      <c r="R22" s="1574"/>
      <c r="S22" s="1575"/>
      <c r="T22" s="1574"/>
      <c r="U22" s="1575"/>
      <c r="V22" s="1574"/>
      <c r="W22" s="1575"/>
      <c r="X22" s="2605"/>
      <c r="Y22" s="3444"/>
      <c r="Z22" s="2604"/>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2"/>
      <c r="M23" s="2134"/>
      <c r="N23" s="2134"/>
      <c r="O23" s="2141"/>
      <c r="P23" s="3444"/>
      <c r="Q23" s="1573" t="str">
        <f>B23</f>
        <v>环境质量</v>
      </c>
      <c r="R23" s="1574" t="s">
        <v>8</v>
      </c>
      <c r="S23" s="1575">
        <f>F23</f>
        <v>100</v>
      </c>
      <c r="T23" s="1574" t="s">
        <v>8</v>
      </c>
      <c r="U23" s="1575">
        <f>H23</f>
        <v>100</v>
      </c>
      <c r="V23" s="1574" t="s">
        <v>8</v>
      </c>
      <c r="W23" s="1575">
        <f>J23</f>
        <v>100</v>
      </c>
      <c r="X23" s="1568"/>
      <c r="Y23" s="3444"/>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2"/>
      <c r="M24" s="2134"/>
      <c r="N24" s="2134"/>
      <c r="O24" s="2141"/>
      <c r="P24" s="3444"/>
      <c r="Q24" s="1573"/>
      <c r="R24" s="1574"/>
      <c r="S24" s="1575"/>
      <c r="T24" s="1574"/>
      <c r="U24" s="1575"/>
      <c r="V24" s="1574"/>
      <c r="W24" s="1575"/>
      <c r="X24" s="1568"/>
      <c r="Y24" s="3444"/>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2"/>
      <c r="M25" s="2134"/>
      <c r="N25" s="2134"/>
      <c r="O25" s="2141"/>
      <c r="P25" s="3444"/>
      <c r="Q25" s="1573">
        <f>B25</f>
        <v>111</v>
      </c>
      <c r="R25" s="1574" t="s">
        <v>8</v>
      </c>
      <c r="S25" s="1575">
        <f>F25</f>
        <v>100</v>
      </c>
      <c r="T25" s="1574" t="s">
        <v>8</v>
      </c>
      <c r="U25" s="1575">
        <f>H25</f>
        <v>100</v>
      </c>
      <c r="V25" s="1574" t="s">
        <v>8</v>
      </c>
      <c r="W25" s="1575">
        <f>J25</f>
        <v>100</v>
      </c>
      <c r="X25" s="1568"/>
      <c r="Y25" s="3444"/>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2"/>
      <c r="M26" s="2134"/>
      <c r="N26" s="2134"/>
      <c r="O26" s="2141"/>
      <c r="P26" s="3444"/>
      <c r="Q26" s="1573">
        <f t="shared" ref="Q26:Q40" si="11">B26</f>
        <v>111</v>
      </c>
      <c r="R26" s="1574" t="s">
        <v>8</v>
      </c>
      <c r="S26" s="1575">
        <f>F26</f>
        <v>100</v>
      </c>
      <c r="T26" s="1574" t="s">
        <v>8</v>
      </c>
      <c r="U26" s="1575">
        <f>H26</f>
        <v>100</v>
      </c>
      <c r="V26" s="1574" t="s">
        <v>8</v>
      </c>
      <c r="W26" s="1575">
        <f>J26</f>
        <v>100</v>
      </c>
      <c r="X26" s="1568"/>
      <c r="Y26" s="3444"/>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5"/>
      <c r="M27" s="2136"/>
      <c r="N27" s="2136"/>
      <c r="O27" s="2137"/>
      <c r="P27" s="3444"/>
      <c r="Q27" s="1152">
        <f t="shared" si="11"/>
        <v>111</v>
      </c>
      <c r="R27" s="1569" t="s">
        <v>8</v>
      </c>
      <c r="S27" s="1570">
        <f>F27</f>
        <v>100</v>
      </c>
      <c r="T27" s="1569" t="s">
        <v>8</v>
      </c>
      <c r="U27" s="1570">
        <f>H27</f>
        <v>100</v>
      </c>
      <c r="V27" s="1569" t="s">
        <v>8</v>
      </c>
      <c r="W27" s="1570">
        <f>J27</f>
        <v>100</v>
      </c>
      <c r="X27" s="1571"/>
      <c r="Y27" s="3444"/>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2"/>
      <c r="M28" s="2134"/>
      <c r="N28" s="2134"/>
      <c r="O28" s="2141"/>
      <c r="P28" s="3444"/>
      <c r="Q28" s="1573">
        <f t="shared" si="11"/>
        <v>111</v>
      </c>
      <c r="R28" s="1574" t="s">
        <v>8</v>
      </c>
      <c r="S28" s="1575">
        <f t="shared" ref="S28:S40" si="12">F28</f>
        <v>100</v>
      </c>
      <c r="T28" s="1574" t="s">
        <v>8</v>
      </c>
      <c r="U28" s="1575">
        <f t="shared" ref="U28:U40" si="13">H28</f>
        <v>100</v>
      </c>
      <c r="V28" s="1574" t="s">
        <v>8</v>
      </c>
      <c r="W28" s="1575">
        <f t="shared" ref="W28:W40" si="14">J28</f>
        <v>100</v>
      </c>
      <c r="X28" s="1568"/>
      <c r="Y28" s="3444"/>
      <c r="Z28" s="1576">
        <f t="shared" ref="Z28:Z40" si="15">Q28</f>
        <v>111</v>
      </c>
      <c r="AA28" s="1577">
        <f t="shared" si="3"/>
        <v>1</v>
      </c>
      <c r="AB28" s="1577">
        <f t="shared" si="4"/>
        <v>1</v>
      </c>
      <c r="AC28" s="1577">
        <f t="shared" si="5"/>
        <v>1</v>
      </c>
    </row>
    <row r="29" spans="1:29" ht="15">
      <c r="A29" s="2933" t="s">
        <v>2761</v>
      </c>
      <c r="B29" s="171" t="s">
        <v>781</v>
      </c>
      <c r="C29" s="917"/>
      <c r="D29" s="598">
        <v>100</v>
      </c>
      <c r="E29" s="917"/>
      <c r="F29" s="576">
        <f>SUMIF(88:88,E29,89:89)-SUMIF(88:88,C29,89:89)+100</f>
        <v>100</v>
      </c>
      <c r="G29" s="917"/>
      <c r="H29" s="541">
        <f>SUMIF(88:88,G29,89:89)-SUMIF(88:88,C29,89:89)+100</f>
        <v>100</v>
      </c>
      <c r="I29" s="917"/>
      <c r="J29" s="598">
        <f>SUMIF(88:88,I29,89:89)-SUMIF(88:88,C29,89:89)+100</f>
        <v>100</v>
      </c>
      <c r="K29" s="585"/>
      <c r="L29" s="2142"/>
      <c r="M29" s="2134"/>
      <c r="N29" s="2134"/>
      <c r="O29" s="2141"/>
      <c r="P29" s="3445" t="s">
        <v>551</v>
      </c>
      <c r="Q29" s="1573" t="str">
        <f t="shared" si="11"/>
        <v>建筑类型</v>
      </c>
      <c r="R29" s="1574" t="s">
        <v>8</v>
      </c>
      <c r="S29" s="1575">
        <f t="shared" si="12"/>
        <v>100</v>
      </c>
      <c r="T29" s="1574" t="s">
        <v>8</v>
      </c>
      <c r="U29" s="1575">
        <f t="shared" si="13"/>
        <v>100</v>
      </c>
      <c r="V29" s="1574" t="s">
        <v>8</v>
      </c>
      <c r="W29" s="1575">
        <f t="shared" si="14"/>
        <v>100</v>
      </c>
      <c r="X29" s="1568"/>
      <c r="Y29" s="3446"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0"/>
      <c r="M30" s="2171"/>
      <c r="N30" s="2171"/>
      <c r="O30" s="2143"/>
      <c r="P30" s="3446"/>
      <c r="Q30" s="1606" t="str">
        <f t="shared" si="11"/>
        <v>项目建筑规模</v>
      </c>
      <c r="R30" s="1578" t="s">
        <v>8</v>
      </c>
      <c r="S30" s="1579" t="e">
        <f t="shared" si="12"/>
        <v>#N/A</v>
      </c>
      <c r="T30" s="1578" t="s">
        <v>8</v>
      </c>
      <c r="U30" s="1579" t="e">
        <f t="shared" si="13"/>
        <v>#N/A</v>
      </c>
      <c r="V30" s="1578" t="s">
        <v>8</v>
      </c>
      <c r="W30" s="1579" t="e">
        <f t="shared" si="14"/>
        <v>#N/A</v>
      </c>
      <c r="X30" s="1580"/>
      <c r="Y30" s="3446"/>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2"/>
      <c r="M31" s="2134"/>
      <c r="N31" s="2134"/>
      <c r="O31" s="2141"/>
      <c r="P31" s="3446"/>
      <c r="Q31" s="1573" t="str">
        <f t="shared" si="11"/>
        <v>建筑结构</v>
      </c>
      <c r="R31" s="1574" t="s">
        <v>8</v>
      </c>
      <c r="S31" s="1575">
        <f t="shared" si="12"/>
        <v>100</v>
      </c>
      <c r="T31" s="1574" t="s">
        <v>8</v>
      </c>
      <c r="U31" s="1575">
        <f t="shared" si="13"/>
        <v>100</v>
      </c>
      <c r="V31" s="1574" t="s">
        <v>8</v>
      </c>
      <c r="W31" s="1575">
        <f t="shared" si="14"/>
        <v>100</v>
      </c>
      <c r="X31" s="1568"/>
      <c r="Y31" s="3446"/>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2"/>
      <c r="M32" s="2134"/>
      <c r="N32" s="2134"/>
      <c r="O32" s="2141"/>
      <c r="P32" s="3446"/>
      <c r="Q32" s="1573" t="str">
        <f t="shared" si="11"/>
        <v>公共部分装修</v>
      </c>
      <c r="R32" s="1574" t="s">
        <v>8</v>
      </c>
      <c r="S32" s="1575">
        <f t="shared" si="12"/>
        <v>100</v>
      </c>
      <c r="T32" s="1574" t="s">
        <v>8</v>
      </c>
      <c r="U32" s="1575">
        <f t="shared" si="13"/>
        <v>100</v>
      </c>
      <c r="V32" s="1574" t="s">
        <v>8</v>
      </c>
      <c r="W32" s="1575">
        <f t="shared" si="14"/>
        <v>100</v>
      </c>
      <c r="X32" s="1568"/>
      <c r="Y32" s="3446"/>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2"/>
      <c r="M33" s="2134"/>
      <c r="N33" s="2134"/>
      <c r="O33" s="2141"/>
      <c r="P33" s="3446"/>
      <c r="Q33" s="1573" t="str">
        <f t="shared" si="11"/>
        <v>成新度</v>
      </c>
      <c r="R33" s="1574" t="s">
        <v>8</v>
      </c>
      <c r="S33" s="1575" t="e">
        <f t="shared" si="12"/>
        <v>#N/A</v>
      </c>
      <c r="T33" s="1574" t="s">
        <v>8</v>
      </c>
      <c r="U33" s="1575" t="e">
        <f t="shared" si="13"/>
        <v>#N/A</v>
      </c>
      <c r="V33" s="1574" t="s">
        <v>8</v>
      </c>
      <c r="W33" s="1575" t="e">
        <f t="shared" si="14"/>
        <v>#N/A</v>
      </c>
      <c r="X33" s="1568"/>
      <c r="Y33" s="3446"/>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5"/>
      <c r="M34" s="2136"/>
      <c r="N34" s="2136"/>
      <c r="O34" s="2137"/>
      <c r="P34" s="3446"/>
      <c r="Q34" s="1152" t="str">
        <f t="shared" si="11"/>
        <v>物业管理</v>
      </c>
      <c r="R34" s="1569" t="s">
        <v>8</v>
      </c>
      <c r="S34" s="1570">
        <f t="shared" si="12"/>
        <v>100</v>
      </c>
      <c r="T34" s="1569" t="s">
        <v>8</v>
      </c>
      <c r="U34" s="1570">
        <f t="shared" si="13"/>
        <v>100</v>
      </c>
      <c r="V34" s="1569" t="s">
        <v>8</v>
      </c>
      <c r="W34" s="1570">
        <f t="shared" si="14"/>
        <v>100</v>
      </c>
      <c r="X34" s="1571"/>
      <c r="Y34" s="3446"/>
      <c r="Z34" s="1151" t="str">
        <f t="shared" si="15"/>
        <v>物业管理</v>
      </c>
      <c r="AA34" s="1572">
        <f t="shared" si="3"/>
        <v>1</v>
      </c>
      <c r="AB34" s="1572">
        <f t="shared" si="4"/>
        <v>1</v>
      </c>
      <c r="AC34" s="1572">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2"/>
      <c r="M35" s="2134"/>
      <c r="N35" s="2134"/>
      <c r="O35" s="2141"/>
      <c r="P35" s="3446" t="s">
        <v>551</v>
      </c>
      <c r="Q35" s="1573" t="str">
        <f t="shared" si="11"/>
        <v>市政基础设施</v>
      </c>
      <c r="R35" s="1574" t="s">
        <v>8</v>
      </c>
      <c r="S35" s="1575">
        <f t="shared" si="12"/>
        <v>100</v>
      </c>
      <c r="T35" s="1574" t="s">
        <v>8</v>
      </c>
      <c r="U35" s="1575">
        <f t="shared" si="13"/>
        <v>100</v>
      </c>
      <c r="V35" s="1574" t="s">
        <v>8</v>
      </c>
      <c r="W35" s="1575">
        <f t="shared" si="14"/>
        <v>100</v>
      </c>
      <c r="X35" s="1568"/>
      <c r="Y35" s="3446"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2"/>
      <c r="M36" s="2134"/>
      <c r="N36" s="2134"/>
      <c r="O36" s="2141"/>
      <c r="P36" s="3446"/>
      <c r="Q36" s="1573" t="str">
        <f t="shared" si="11"/>
        <v>内部装修</v>
      </c>
      <c r="R36" s="1574" t="s">
        <v>8</v>
      </c>
      <c r="S36" s="1575">
        <f t="shared" si="12"/>
        <v>100</v>
      </c>
      <c r="T36" s="1574" t="s">
        <v>8</v>
      </c>
      <c r="U36" s="1575">
        <f t="shared" si="13"/>
        <v>100</v>
      </c>
      <c r="V36" s="1574" t="s">
        <v>8</v>
      </c>
      <c r="W36" s="1575">
        <f t="shared" si="14"/>
        <v>100</v>
      </c>
      <c r="X36" s="1568"/>
      <c r="Y36" s="3446"/>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2"/>
      <c r="M37" s="2134"/>
      <c r="N37" s="2134"/>
      <c r="O37" s="2141"/>
      <c r="P37" s="3446"/>
      <c r="Q37" s="1573" t="str">
        <f t="shared" si="11"/>
        <v>内部装修状况</v>
      </c>
      <c r="R37" s="1574" t="s">
        <v>8</v>
      </c>
      <c r="S37" s="1575">
        <f t="shared" si="12"/>
        <v>100</v>
      </c>
      <c r="T37" s="1574" t="s">
        <v>8</v>
      </c>
      <c r="U37" s="1575">
        <f t="shared" si="13"/>
        <v>100</v>
      </c>
      <c r="V37" s="1574" t="s">
        <v>8</v>
      </c>
      <c r="W37" s="1575">
        <f t="shared" si="14"/>
        <v>100</v>
      </c>
      <c r="X37" s="1568"/>
      <c r="Y37" s="3446"/>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0"/>
      <c r="M38" s="2171"/>
      <c r="N38" s="2171"/>
      <c r="O38" s="2143"/>
      <c r="P38" s="3446"/>
      <c r="Q38" s="1606">
        <f t="shared" si="11"/>
        <v>111</v>
      </c>
      <c r="R38" s="1578" t="s">
        <v>8</v>
      </c>
      <c r="S38" s="1579">
        <f t="shared" si="12"/>
        <v>100</v>
      </c>
      <c r="T38" s="1578" t="s">
        <v>8</v>
      </c>
      <c r="U38" s="1579">
        <f t="shared" si="13"/>
        <v>100</v>
      </c>
      <c r="V38" s="1578" t="s">
        <v>8</v>
      </c>
      <c r="W38" s="1579">
        <f t="shared" si="14"/>
        <v>100</v>
      </c>
      <c r="X38" s="1580"/>
      <c r="Y38" s="3446"/>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2"/>
      <c r="M39" s="2134"/>
      <c r="N39" s="2134"/>
      <c r="O39" s="2141"/>
      <c r="P39" s="3446"/>
      <c r="Q39" s="1573">
        <f t="shared" si="11"/>
        <v>111</v>
      </c>
      <c r="R39" s="1574" t="s">
        <v>8</v>
      </c>
      <c r="S39" s="1575">
        <f t="shared" si="12"/>
        <v>100</v>
      </c>
      <c r="T39" s="1574" t="s">
        <v>8</v>
      </c>
      <c r="U39" s="1575">
        <f t="shared" si="13"/>
        <v>100</v>
      </c>
      <c r="V39" s="1574" t="s">
        <v>8</v>
      </c>
      <c r="W39" s="1575">
        <f t="shared" si="14"/>
        <v>100</v>
      </c>
      <c r="X39" s="1568"/>
      <c r="Y39" s="3446"/>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2"/>
      <c r="M40" s="2134"/>
      <c r="N40" s="2134"/>
      <c r="O40" s="2141"/>
      <c r="P40" s="3529"/>
      <c r="Q40" s="1573">
        <f t="shared" si="11"/>
        <v>111</v>
      </c>
      <c r="R40" s="1574" t="s">
        <v>8</v>
      </c>
      <c r="S40" s="1575">
        <f t="shared" si="12"/>
        <v>100</v>
      </c>
      <c r="T40" s="1574" t="s">
        <v>8</v>
      </c>
      <c r="U40" s="1575">
        <f t="shared" si="13"/>
        <v>100</v>
      </c>
      <c r="V40" s="1574" t="s">
        <v>8</v>
      </c>
      <c r="W40" s="1575">
        <f t="shared" si="14"/>
        <v>100</v>
      </c>
      <c r="X40" s="1568"/>
      <c r="Y40" s="3529"/>
      <c r="Z40" s="1576">
        <f t="shared" si="15"/>
        <v>111</v>
      </c>
      <c r="AA40" s="1577">
        <f t="shared" si="3"/>
        <v>1</v>
      </c>
      <c r="AB40" s="1577">
        <f t="shared" si="4"/>
        <v>1</v>
      </c>
      <c r="AC40" s="1577">
        <f t="shared" si="5"/>
        <v>1</v>
      </c>
    </row>
    <row r="41" spans="1:29" ht="15">
      <c r="A41" s="608" t="s">
        <v>737</v>
      </c>
      <c r="B41" s="888"/>
      <c r="C41" s="2651" t="s">
        <v>1</v>
      </c>
      <c r="D41" s="2652"/>
      <c r="E41" s="2653"/>
      <c r="F41" s="2654"/>
      <c r="G41" s="2655"/>
      <c r="H41" s="2656"/>
      <c r="I41" s="2653"/>
      <c r="J41" s="2656"/>
      <c r="K41" s="1612"/>
      <c r="L41" s="2144"/>
      <c r="M41" s="2145"/>
      <c r="N41" s="2134"/>
      <c r="O41" s="2145"/>
      <c r="P41" s="3409" t="str">
        <f>A41</f>
        <v>成交单价（元/平方米）</v>
      </c>
      <c r="Q41" s="3409"/>
      <c r="R41" s="3528">
        <f>E41</f>
        <v>0</v>
      </c>
      <c r="S41" s="3528"/>
      <c r="T41" s="3528">
        <f>G41</f>
        <v>0</v>
      </c>
      <c r="U41" s="3528"/>
      <c r="V41" s="3528">
        <f>I41</f>
        <v>0</v>
      </c>
      <c r="W41" s="3528"/>
      <c r="X41" s="1560"/>
      <c r="Y41" s="1582"/>
      <c r="Z41" s="1560"/>
      <c r="AA41" s="1560"/>
      <c r="AB41" s="1560"/>
      <c r="AC41" s="1560"/>
    </row>
    <row r="42" spans="1:29" ht="15.75" thickBot="1">
      <c r="A42" s="616" t="s">
        <v>2766</v>
      </c>
      <c r="B42" s="889"/>
      <c r="C42" s="2657" t="e">
        <f>R43</f>
        <v>#DIV/0!</v>
      </c>
      <c r="D42" s="2658"/>
      <c r="E42" s="2659" t="e">
        <f>R42</f>
        <v>#DIV/0!</v>
      </c>
      <c r="F42" s="2659"/>
      <c r="G42" s="2657" t="e">
        <f>T42</f>
        <v>#DIV/0!</v>
      </c>
      <c r="H42" s="2658"/>
      <c r="I42" s="2659" t="e">
        <f>V42</f>
        <v>#DIV/0!</v>
      </c>
      <c r="J42" s="2658"/>
      <c r="K42" s="1613"/>
      <c r="L42" s="2144"/>
      <c r="M42" s="2145"/>
      <c r="N42" s="2134"/>
      <c r="O42" s="2145"/>
      <c r="P42" s="3409" t="str">
        <f>A42</f>
        <v>比较价格（元/平方米）</v>
      </c>
      <c r="Q42" s="3409"/>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60"/>
      <c r="Y42" s="1560"/>
      <c r="Z42" s="1560"/>
      <c r="AA42" s="1560"/>
      <c r="AB42" s="1560"/>
      <c r="AC42" s="1560"/>
    </row>
    <row r="43" spans="1:29" ht="15.75" thickBot="1">
      <c r="A43" s="622" t="s">
        <v>2934</v>
      </c>
      <c r="B43" s="623"/>
      <c r="C43" s="2660" t="e">
        <f>R43</f>
        <v>#DIV/0!</v>
      </c>
      <c r="D43" s="2660"/>
      <c r="E43" s="2660"/>
      <c r="F43" s="2660"/>
      <c r="G43" s="2660"/>
      <c r="H43" s="2660"/>
      <c r="I43" s="2660"/>
      <c r="J43" s="2660"/>
      <c r="K43" s="1614"/>
      <c r="L43" s="2144"/>
      <c r="M43" s="2145"/>
      <c r="N43" s="2145"/>
      <c r="O43" s="2145"/>
      <c r="P43" s="3406" t="str">
        <f>A43</f>
        <v>估价对象XX用房的比较价格（楼面单价，元/平方米）</v>
      </c>
      <c r="Q43" s="3407"/>
      <c r="R43" s="3527" t="e">
        <f>IF(F1="售价",ROUND(AVERAGE(R42:V42),0),ROUND(AVERAGE(R42:V42),1))</f>
        <v>#DIV/0!</v>
      </c>
      <c r="S43" s="3527"/>
      <c r="T43" s="3527"/>
      <c r="U43" s="3527"/>
      <c r="V43" s="3527"/>
      <c r="W43" s="352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6" customFormat="1" ht="13.5" customHeight="1">
      <c r="A48" s="2146"/>
      <c r="B48" s="2146"/>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6"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8" customFormat="1" ht="15">
      <c r="A52" s="646" t="s">
        <v>530</v>
      </c>
      <c r="B52" s="647"/>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21" customFormat="1" ht="15">
      <c r="A53" s="648"/>
      <c r="B53" s="649"/>
      <c r="C53" s="650">
        <v>100</v>
      </c>
      <c r="D53" s="651"/>
      <c r="E53" s="651"/>
      <c r="F53" s="651"/>
      <c r="G53" s="651"/>
      <c r="H53" s="651"/>
      <c r="I53" s="651"/>
      <c r="J53" s="651"/>
      <c r="K53" s="651"/>
      <c r="L53" s="651"/>
      <c r="M53" s="652"/>
      <c r="N53" s="651"/>
      <c r="O53" s="653"/>
      <c r="P53" s="2158"/>
      <c r="Q53" s="1993"/>
      <c r="R53" s="1993"/>
      <c r="S53" s="1993"/>
      <c r="T53" s="1993"/>
      <c r="U53" s="1993"/>
      <c r="V53" s="1993"/>
      <c r="W53" s="1993"/>
      <c r="X53" s="1993"/>
      <c r="Y53" s="1993"/>
      <c r="Z53" s="1993"/>
      <c r="AA53" s="1993"/>
      <c r="AB53" s="1993"/>
      <c r="AC53" s="1993"/>
    </row>
    <row r="54" spans="1:29" s="1221" customFormat="1" ht="15.75" thickBot="1">
      <c r="A54" s="654" t="s">
        <v>576</v>
      </c>
      <c r="B54" s="655"/>
      <c r="C54" s="656"/>
      <c r="D54" s="657"/>
      <c r="E54" s="657"/>
      <c r="F54" s="657"/>
      <c r="G54" s="657"/>
      <c r="H54" s="657"/>
      <c r="I54" s="657"/>
      <c r="J54" s="657"/>
      <c r="K54" s="657"/>
      <c r="L54" s="657"/>
      <c r="M54" s="658"/>
      <c r="N54" s="657"/>
      <c r="O54" s="659"/>
      <c r="P54" s="2158"/>
      <c r="Q54" s="2158"/>
      <c r="R54" s="1993"/>
      <c r="S54" s="1993"/>
      <c r="T54" s="1993"/>
      <c r="U54" s="1993"/>
      <c r="V54" s="1993"/>
      <c r="W54" s="1993"/>
      <c r="X54" s="1993"/>
      <c r="Y54" s="1993"/>
      <c r="Z54" s="1993"/>
      <c r="AA54" s="1993"/>
      <c r="AB54" s="1993"/>
      <c r="AC54" s="1993"/>
    </row>
    <row r="55" spans="1:29" s="1221" customFormat="1" ht="15">
      <c r="A55" s="660" t="s">
        <v>532</v>
      </c>
      <c r="B55" s="649"/>
      <c r="C55" s="661" t="s">
        <v>577</v>
      </c>
      <c r="D55" s="662"/>
      <c r="E55" s="662"/>
      <c r="F55" s="662"/>
      <c r="G55" s="662"/>
      <c r="H55" s="662"/>
      <c r="I55" s="662"/>
      <c r="J55" s="662"/>
      <c r="K55" s="662"/>
      <c r="L55" s="663"/>
      <c r="M55" s="664"/>
      <c r="N55" s="2162"/>
      <c r="O55" s="2162"/>
      <c r="P55" s="2163"/>
      <c r="Q55" s="2158"/>
      <c r="R55" s="1993"/>
      <c r="S55" s="1993"/>
      <c r="T55" s="1993"/>
      <c r="U55" s="1993"/>
      <c r="V55" s="1993"/>
      <c r="W55" s="1993"/>
      <c r="X55" s="1993"/>
      <c r="Y55" s="1993"/>
      <c r="Z55" s="1993"/>
      <c r="AA55" s="1993"/>
      <c r="AB55" s="1993"/>
      <c r="AC55" s="1993"/>
    </row>
    <row r="56" spans="1:29" s="1221" customFormat="1" ht="15.75" thickBot="1">
      <c r="A56" s="660"/>
      <c r="B56" s="649"/>
      <c r="C56" s="650">
        <v>100</v>
      </c>
      <c r="D56" s="651"/>
      <c r="E56" s="651"/>
      <c r="F56" s="651"/>
      <c r="G56" s="651"/>
      <c r="H56" s="651"/>
      <c r="I56" s="651"/>
      <c r="J56" s="651"/>
      <c r="K56" s="651"/>
      <c r="L56" s="651"/>
      <c r="M56" s="653"/>
      <c r="N56" s="2162"/>
      <c r="O56" s="2162"/>
      <c r="P56" s="2158"/>
      <c r="Q56" s="2158"/>
      <c r="R56" s="1993"/>
      <c r="S56" s="1993"/>
      <c r="T56" s="1993"/>
      <c r="U56" s="1993"/>
      <c r="V56" s="1993"/>
      <c r="W56" s="1993"/>
      <c r="X56" s="1993"/>
      <c r="Y56" s="1993"/>
      <c r="Z56" s="1993"/>
      <c r="AA56" s="1993"/>
      <c r="AB56" s="1993"/>
      <c r="AC56" s="1993"/>
    </row>
    <row r="57" spans="1:29">
      <c r="A57" s="665" t="s">
        <v>578</v>
      </c>
      <c r="B57" s="666" t="s">
        <v>535</v>
      </c>
      <c r="C57" s="705">
        <f>C9</f>
        <v>0</v>
      </c>
      <c r="D57" s="599"/>
      <c r="E57" s="599"/>
      <c r="F57" s="599"/>
      <c r="G57" s="599"/>
      <c r="H57" s="599"/>
      <c r="I57" s="599"/>
      <c r="J57" s="599"/>
      <c r="K57" s="667"/>
      <c r="L57" s="668"/>
      <c r="M57" s="669"/>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72"/>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4"/>
      <c r="O59" s="2164"/>
      <c r="P59" s="2165"/>
      <c r="Q59" s="2158"/>
      <c r="R59" s="2145"/>
      <c r="S59" s="2145"/>
      <c r="T59" s="2145"/>
      <c r="U59" s="2145"/>
      <c r="V59" s="2145"/>
      <c r="W59" s="2145"/>
      <c r="X59" s="2145"/>
      <c r="Y59" s="2145"/>
      <c r="Z59" s="2145"/>
      <c r="AA59" s="2145"/>
      <c r="AB59" s="2145"/>
      <c r="AC59" s="2145"/>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6"/>
      <c r="O60" s="2166"/>
      <c r="P60" s="2165"/>
      <c r="Q60" s="2158"/>
      <c r="R60" s="2145"/>
      <c r="S60" s="2145"/>
      <c r="T60" s="2145"/>
      <c r="U60" s="2145"/>
      <c r="V60" s="2145"/>
      <c r="W60" s="2145"/>
      <c r="X60" s="2145"/>
      <c r="Y60" s="2145"/>
      <c r="Z60" s="2145"/>
      <c r="AA60" s="2145"/>
      <c r="AB60" s="2145"/>
      <c r="AC60" s="2145"/>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0"/>
      <c r="B62" s="684"/>
      <c r="C62" s="542"/>
      <c r="D62" s="542"/>
      <c r="E62" s="542"/>
      <c r="F62" s="542"/>
      <c r="G62" s="542"/>
      <c r="H62" s="542"/>
      <c r="I62" s="542"/>
      <c r="J62" s="542"/>
      <c r="K62" s="685"/>
      <c r="L62" s="686"/>
      <c r="M62" s="687"/>
      <c r="N62" s="2164"/>
      <c r="O62" s="2164"/>
      <c r="P62" s="2165"/>
      <c r="Q62" s="2158"/>
      <c r="R62" s="2145"/>
      <c r="S62" s="2145"/>
      <c r="T62" s="2145"/>
      <c r="U62" s="2145"/>
      <c r="V62" s="2145"/>
      <c r="W62" s="2145"/>
      <c r="X62" s="2145"/>
      <c r="Y62" s="2145"/>
      <c r="Z62" s="2145"/>
      <c r="AA62" s="2145"/>
      <c r="AB62" s="2145"/>
      <c r="AC62" s="2145"/>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6"/>
      <c r="O63" s="2166"/>
      <c r="P63" s="2165"/>
      <c r="Q63" s="2158"/>
      <c r="R63" s="2145"/>
      <c r="S63" s="2145"/>
      <c r="T63" s="2145"/>
      <c r="U63" s="2145"/>
      <c r="V63" s="2145"/>
      <c r="W63" s="2145"/>
      <c r="X63" s="2145"/>
      <c r="Y63" s="2145"/>
      <c r="Z63" s="2145"/>
      <c r="AA63" s="2145"/>
      <c r="AB63" s="2145"/>
      <c r="AC63" s="2145"/>
    </row>
    <row r="64" spans="1:29" s="1340" customFormat="1" ht="15.75" thickTop="1">
      <c r="A64" s="688"/>
      <c r="B64" s="674">
        <f>B12</f>
        <v>111</v>
      </c>
      <c r="C64" s="689"/>
      <c r="D64" s="689"/>
      <c r="E64" s="689"/>
      <c r="F64" s="689"/>
      <c r="G64" s="689"/>
      <c r="H64" s="690"/>
      <c r="I64" s="690"/>
      <c r="J64" s="690"/>
      <c r="K64" s="690"/>
      <c r="L64" s="691"/>
      <c r="M64" s="692"/>
      <c r="N64" s="2167"/>
      <c r="O64" s="2167"/>
      <c r="P64" s="2168"/>
      <c r="Q64" s="2169"/>
      <c r="R64" s="2170"/>
      <c r="S64" s="2170"/>
      <c r="T64" s="2170"/>
      <c r="U64" s="2170"/>
      <c r="V64" s="2170"/>
      <c r="W64" s="2170"/>
      <c r="X64" s="2170"/>
      <c r="Y64" s="2170"/>
      <c r="Z64" s="2170"/>
      <c r="AA64" s="2170"/>
      <c r="AB64" s="2170"/>
      <c r="AC64" s="2170"/>
    </row>
    <row r="65" spans="1:29" s="1340" customFormat="1" ht="15.75" thickBot="1">
      <c r="A65" s="688"/>
      <c r="B65" s="679"/>
      <c r="C65" s="693"/>
      <c r="D65" s="672"/>
      <c r="E65" s="672"/>
      <c r="F65" s="672"/>
      <c r="G65" s="672"/>
      <c r="H65" s="672"/>
      <c r="I65" s="672"/>
      <c r="J65" s="672"/>
      <c r="K65" s="672"/>
      <c r="L65" s="672"/>
      <c r="M65" s="673"/>
      <c r="N65" s="2166"/>
      <c r="O65" s="2166"/>
      <c r="P65" s="2168"/>
      <c r="Q65" s="2169"/>
      <c r="R65" s="2170"/>
      <c r="S65" s="2170"/>
      <c r="T65" s="2170"/>
      <c r="U65" s="2170"/>
      <c r="V65" s="2170"/>
      <c r="W65" s="2170"/>
      <c r="X65" s="2170"/>
      <c r="Y65" s="2170"/>
      <c r="Z65" s="2170"/>
      <c r="AA65" s="2170"/>
      <c r="AB65" s="2170"/>
      <c r="AC65" s="2170"/>
    </row>
    <row r="66" spans="1:29" s="1340" customFormat="1" ht="15.75" thickTop="1">
      <c r="A66" s="688"/>
      <c r="B66" s="674">
        <f>B13</f>
        <v>111</v>
      </c>
      <c r="C66" s="689"/>
      <c r="D66" s="689"/>
      <c r="E66" s="689"/>
      <c r="F66" s="689"/>
      <c r="G66" s="689"/>
      <c r="H66" s="690"/>
      <c r="I66" s="690"/>
      <c r="J66" s="690"/>
      <c r="K66" s="690"/>
      <c r="L66" s="691"/>
      <c r="M66" s="692"/>
      <c r="N66" s="2167"/>
      <c r="O66" s="2167"/>
      <c r="P66" s="2171"/>
      <c r="Q66" s="2172"/>
      <c r="R66" s="2170"/>
      <c r="S66" s="2170"/>
      <c r="T66" s="2170"/>
      <c r="U66" s="2170"/>
      <c r="V66" s="2170"/>
      <c r="W66" s="2170"/>
      <c r="X66" s="2170"/>
      <c r="Y66" s="2170"/>
      <c r="Z66" s="2170"/>
      <c r="AA66" s="2170"/>
      <c r="AB66" s="2170"/>
      <c r="AC66" s="2170"/>
    </row>
    <row r="67" spans="1:29" s="1340" customFormat="1" ht="15.75" thickBot="1">
      <c r="A67" s="688"/>
      <c r="B67" s="679"/>
      <c r="C67" s="693"/>
      <c r="D67" s="672"/>
      <c r="E67" s="672"/>
      <c r="F67" s="672"/>
      <c r="G67" s="693"/>
      <c r="H67" s="694"/>
      <c r="I67" s="694"/>
      <c r="J67" s="694"/>
      <c r="K67" s="694"/>
      <c r="L67" s="694"/>
      <c r="M67" s="695"/>
      <c r="N67" s="2167"/>
      <c r="O67" s="2167"/>
      <c r="P67" s="2168"/>
      <c r="Q67" s="2169"/>
      <c r="R67" s="2170"/>
      <c r="S67" s="2170"/>
      <c r="T67" s="2170"/>
      <c r="U67" s="2170"/>
      <c r="V67" s="2170"/>
      <c r="W67" s="2170"/>
      <c r="X67" s="2170"/>
      <c r="Y67" s="2170"/>
      <c r="Z67" s="2170"/>
      <c r="AA67" s="2170"/>
      <c r="AB67" s="2170"/>
      <c r="AC67" s="2170"/>
    </row>
    <row r="68" spans="1:29" s="1340" customFormat="1" ht="15.75" thickTop="1">
      <c r="A68" s="688"/>
      <c r="B68" s="682">
        <f>B14</f>
        <v>111</v>
      </c>
      <c r="C68" s="662"/>
      <c r="D68" s="662"/>
      <c r="E68" s="662"/>
      <c r="F68" s="662"/>
      <c r="G68" s="662"/>
      <c r="H68" s="696"/>
      <c r="I68" s="696"/>
      <c r="J68" s="696"/>
      <c r="K68" s="696"/>
      <c r="L68" s="697"/>
      <c r="M68" s="698"/>
      <c r="N68" s="2167"/>
      <c r="O68" s="2167"/>
      <c r="P68" s="2173"/>
      <c r="Q68" s="2169"/>
      <c r="R68" s="2170"/>
      <c r="S68" s="2170"/>
      <c r="T68" s="2170"/>
      <c r="U68" s="2170"/>
      <c r="V68" s="2170"/>
      <c r="W68" s="2170"/>
      <c r="X68" s="2170"/>
      <c r="Y68" s="2170"/>
      <c r="Z68" s="2170"/>
      <c r="AA68" s="2170"/>
      <c r="AB68" s="2170"/>
      <c r="AC68" s="2170"/>
    </row>
    <row r="69" spans="1:29" s="1340" customFormat="1" ht="15.75" thickBot="1">
      <c r="A69" s="699"/>
      <c r="B69" s="700"/>
      <c r="C69" s="701"/>
      <c r="D69" s="701"/>
      <c r="E69" s="701"/>
      <c r="F69" s="701"/>
      <c r="G69" s="701"/>
      <c r="H69" s="702"/>
      <c r="I69" s="702"/>
      <c r="J69" s="702"/>
      <c r="K69" s="702"/>
      <c r="L69" s="702"/>
      <c r="M69" s="703"/>
      <c r="N69" s="2167"/>
      <c r="O69" s="2167"/>
      <c r="P69" s="2168"/>
      <c r="Q69" s="2169"/>
      <c r="R69" s="2170"/>
      <c r="S69" s="2170"/>
      <c r="T69" s="2170"/>
      <c r="U69" s="2170"/>
      <c r="V69" s="2170"/>
      <c r="W69" s="2170"/>
      <c r="X69" s="2170"/>
      <c r="Y69" s="2170"/>
      <c r="Z69" s="2170"/>
      <c r="AA69" s="2170"/>
      <c r="AB69" s="2170"/>
      <c r="AC69" s="2170"/>
    </row>
    <row r="70" spans="1:29">
      <c r="A70" s="665" t="s">
        <v>540</v>
      </c>
      <c r="B70" s="666" t="s">
        <v>586</v>
      </c>
      <c r="C70" s="704" t="s">
        <v>580</v>
      </c>
      <c r="D70" s="704" t="s">
        <v>581</v>
      </c>
      <c r="E70" s="704" t="s">
        <v>582</v>
      </c>
      <c r="F70" s="704" t="s">
        <v>583</v>
      </c>
      <c r="G70" s="704" t="s">
        <v>584</v>
      </c>
      <c r="H70" s="705"/>
      <c r="I70" s="705"/>
      <c r="J70" s="705"/>
      <c r="K70" s="706"/>
      <c r="L70" s="707"/>
      <c r="M70" s="708"/>
      <c r="N70" s="2164"/>
      <c r="O70" s="2164"/>
      <c r="P70" s="2174"/>
      <c r="Q70" s="2158"/>
      <c r="R70" s="2145"/>
      <c r="S70" s="2145"/>
      <c r="T70" s="2145"/>
      <c r="U70" s="2145"/>
      <c r="V70" s="2145"/>
      <c r="W70" s="2145"/>
      <c r="X70" s="2145"/>
      <c r="Y70" s="2145"/>
      <c r="Z70" s="2145"/>
      <c r="AA70" s="2145"/>
      <c r="AB70" s="2145"/>
      <c r="AC70" s="2145"/>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6"/>
      <c r="O71" s="2166"/>
      <c r="P71" s="2165"/>
      <c r="Q71" s="2158"/>
      <c r="R71" s="2145"/>
      <c r="S71" s="2145"/>
      <c r="T71" s="2145"/>
      <c r="U71" s="2145"/>
      <c r="V71" s="2145"/>
      <c r="W71" s="2145"/>
      <c r="X71" s="2145"/>
      <c r="Y71" s="2145"/>
      <c r="Z71" s="2145"/>
      <c r="AA71" s="2145"/>
      <c r="AB71" s="2145"/>
      <c r="AC71" s="2145"/>
    </row>
    <row r="72" spans="1:29" ht="15.75" thickTop="1">
      <c r="A72" s="670"/>
      <c r="B72" s="674" t="s">
        <v>587</v>
      </c>
      <c r="C72" s="709" t="s">
        <v>580</v>
      </c>
      <c r="D72" s="709" t="s">
        <v>581</v>
      </c>
      <c r="E72" s="709" t="s">
        <v>582</v>
      </c>
      <c r="F72" s="709" t="s">
        <v>583</v>
      </c>
      <c r="G72" s="709" t="s">
        <v>584</v>
      </c>
      <c r="H72" s="675"/>
      <c r="I72" s="675"/>
      <c r="J72" s="675"/>
      <c r="K72" s="676"/>
      <c r="L72" s="677"/>
      <c r="M72" s="678"/>
      <c r="N72" s="2164"/>
      <c r="O72" s="2164"/>
      <c r="P72" s="2165"/>
      <c r="Q72" s="2158"/>
      <c r="R72" s="2145"/>
      <c r="S72" s="2145"/>
      <c r="T72" s="2145"/>
      <c r="U72" s="2145"/>
      <c r="V72" s="2145"/>
      <c r="W72" s="2145"/>
      <c r="X72" s="2145"/>
      <c r="Y72" s="2145"/>
      <c r="Z72" s="2145"/>
      <c r="AA72" s="2145"/>
      <c r="AB72" s="2145"/>
      <c r="AC72" s="2145"/>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6"/>
      <c r="O73" s="2166"/>
      <c r="P73" s="2165"/>
      <c r="Q73" s="2158"/>
      <c r="R73" s="2145"/>
      <c r="S73" s="2145"/>
      <c r="T73" s="2145"/>
      <c r="U73" s="2145"/>
      <c r="V73" s="2145"/>
      <c r="W73" s="2145"/>
      <c r="X73" s="2145"/>
      <c r="Y73" s="2145"/>
      <c r="Z73" s="2145"/>
      <c r="AA73" s="2145"/>
      <c r="AB73" s="2145"/>
      <c r="AC73" s="2145"/>
    </row>
    <row r="74" spans="1:29" ht="15.75" thickTop="1">
      <c r="A74" s="670"/>
      <c r="B74" s="1896" t="s">
        <v>2561</v>
      </c>
      <c r="C74" s="709" t="s">
        <v>580</v>
      </c>
      <c r="D74" s="709" t="s">
        <v>581</v>
      </c>
      <c r="E74" s="709" t="s">
        <v>582</v>
      </c>
      <c r="F74" s="709" t="s">
        <v>583</v>
      </c>
      <c r="G74" s="709" t="s">
        <v>584</v>
      </c>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2621" t="s">
        <v>2562</v>
      </c>
      <c r="C76" s="2622" t="s">
        <v>2563</v>
      </c>
      <c r="D76" s="2622" t="s">
        <v>2564</v>
      </c>
      <c r="E76" s="2622" t="s">
        <v>2565</v>
      </c>
      <c r="F76" s="2622" t="s">
        <v>2566</v>
      </c>
      <c r="G76" s="2622" t="s">
        <v>2567</v>
      </c>
      <c r="H76" s="936"/>
      <c r="I76" s="936"/>
      <c r="J76" s="936"/>
      <c r="K76" s="936"/>
      <c r="L76" s="936"/>
      <c r="M76" s="560"/>
      <c r="N76" s="2166"/>
      <c r="O76" s="2166"/>
      <c r="P76" s="2165"/>
      <c r="Q76" s="2158"/>
      <c r="R76" s="2145"/>
      <c r="S76" s="2145"/>
      <c r="T76" s="2145"/>
      <c r="U76" s="2145"/>
      <c r="V76" s="2145"/>
      <c r="W76" s="2145"/>
      <c r="X76" s="2145"/>
      <c r="Y76" s="2145"/>
      <c r="Z76" s="2145"/>
      <c r="AA76" s="2145"/>
      <c r="AB76" s="2145"/>
      <c r="AC76" s="2145"/>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785</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s="1221" customFormat="1" ht="15.75" thickTop="1">
      <c r="A80" s="710"/>
      <c r="B80" s="674">
        <f>B25</f>
        <v>111</v>
      </c>
      <c r="C80" s="689"/>
      <c r="D80" s="689"/>
      <c r="E80" s="689"/>
      <c r="F80" s="689"/>
      <c r="G80" s="689"/>
      <c r="H80" s="689"/>
      <c r="I80" s="689"/>
      <c r="J80" s="689"/>
      <c r="K80" s="689"/>
      <c r="L80" s="891"/>
      <c r="M80" s="892"/>
      <c r="N80" s="2162"/>
      <c r="O80" s="2162"/>
      <c r="P80" s="2165"/>
      <c r="Q80" s="2158"/>
      <c r="R80" s="1993"/>
      <c r="S80" s="1993"/>
      <c r="T80" s="1993"/>
      <c r="U80" s="1993"/>
      <c r="V80" s="1993"/>
      <c r="W80" s="1993"/>
      <c r="X80" s="1993"/>
      <c r="Y80" s="1993"/>
      <c r="Z80" s="1993"/>
      <c r="AA80" s="1993"/>
      <c r="AB80" s="1993"/>
      <c r="AC80" s="1993"/>
    </row>
    <row r="81" spans="1:29" s="1221" customFormat="1" ht="15.75" thickBot="1">
      <c r="A81" s="710"/>
      <c r="B81" s="679"/>
      <c r="C81" s="693"/>
      <c r="D81" s="672"/>
      <c r="E81" s="672"/>
      <c r="F81" s="672"/>
      <c r="G81" s="672"/>
      <c r="H81" s="672"/>
      <c r="I81" s="672"/>
      <c r="J81" s="672"/>
      <c r="K81" s="672"/>
      <c r="L81" s="672"/>
      <c r="M81" s="673"/>
      <c r="N81" s="2166"/>
      <c r="O81" s="2166"/>
      <c r="P81" s="2165"/>
      <c r="Q81" s="2158"/>
      <c r="R81" s="1993"/>
      <c r="S81" s="1993"/>
      <c r="T81" s="1993"/>
      <c r="U81" s="1993"/>
      <c r="V81" s="1993"/>
      <c r="W81" s="1993"/>
      <c r="X81" s="1993"/>
      <c r="Y81" s="1993"/>
      <c r="Z81" s="1993"/>
      <c r="AA81" s="1993"/>
      <c r="AB81" s="1993"/>
      <c r="AC81" s="1993"/>
    </row>
    <row r="82" spans="1:29" s="1221" customFormat="1" ht="15.75" thickTop="1">
      <c r="A82" s="710"/>
      <c r="B82" s="674">
        <f>B26</f>
        <v>111</v>
      </c>
      <c r="C82" s="689"/>
      <c r="D82" s="689"/>
      <c r="E82" s="689"/>
      <c r="F82" s="689"/>
      <c r="G82" s="689"/>
      <c r="H82" s="689"/>
      <c r="I82" s="689"/>
      <c r="J82" s="689"/>
      <c r="K82" s="689"/>
      <c r="L82" s="891"/>
      <c r="M82" s="892"/>
      <c r="N82" s="2162"/>
      <c r="O82" s="2162"/>
      <c r="P82" s="2165"/>
      <c r="Q82" s="2158"/>
      <c r="R82" s="1993"/>
      <c r="S82" s="1993"/>
      <c r="T82" s="1993"/>
      <c r="U82" s="1993"/>
      <c r="V82" s="1993"/>
      <c r="W82" s="1993"/>
      <c r="X82" s="1993"/>
      <c r="Y82" s="1993"/>
      <c r="Z82" s="1993"/>
      <c r="AA82" s="1993"/>
      <c r="AB82" s="1993"/>
      <c r="AC82" s="1993"/>
    </row>
    <row r="83" spans="1:29" s="1221" customFormat="1" ht="15.75" thickBot="1">
      <c r="A83" s="710"/>
      <c r="B83" s="679"/>
      <c r="C83" s="693"/>
      <c r="D83" s="672"/>
      <c r="E83" s="672"/>
      <c r="F83" s="672"/>
      <c r="G83" s="672"/>
      <c r="H83" s="672"/>
      <c r="I83" s="672"/>
      <c r="J83" s="672"/>
      <c r="K83" s="672"/>
      <c r="L83" s="672"/>
      <c r="M83" s="673"/>
      <c r="N83" s="2166"/>
      <c r="O83" s="2166"/>
      <c r="P83" s="2165"/>
      <c r="Q83" s="2158"/>
      <c r="R83" s="1993"/>
      <c r="S83" s="1993"/>
      <c r="T83" s="1993"/>
      <c r="U83" s="1993"/>
      <c r="V83" s="1993"/>
      <c r="W83" s="1993"/>
      <c r="X83" s="1993"/>
      <c r="Y83" s="1993"/>
      <c r="Z83" s="1993"/>
      <c r="AA83" s="1993"/>
      <c r="AB83" s="1993"/>
      <c r="AC83" s="1993"/>
    </row>
    <row r="84" spans="1:29" s="1340" customFormat="1" ht="15.75" thickTop="1">
      <c r="A84" s="688"/>
      <c r="B84" s="674">
        <f>B27</f>
        <v>111</v>
      </c>
      <c r="C84" s="689"/>
      <c r="D84" s="689"/>
      <c r="E84" s="689"/>
      <c r="F84" s="689"/>
      <c r="G84" s="689"/>
      <c r="H84" s="689"/>
      <c r="I84" s="689"/>
      <c r="J84" s="689"/>
      <c r="K84" s="689"/>
      <c r="L84" s="891"/>
      <c r="M84" s="8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7"/>
      <c r="O85" s="2167"/>
      <c r="P85" s="2168"/>
      <c r="Q85" s="2169"/>
      <c r="R85" s="2170"/>
      <c r="S85" s="2170"/>
      <c r="T85" s="2170"/>
      <c r="U85" s="2170"/>
      <c r="V85" s="2170"/>
      <c r="W85" s="2170"/>
      <c r="X85" s="2170"/>
      <c r="Y85" s="2170"/>
      <c r="Z85" s="2170"/>
      <c r="AA85" s="2170"/>
      <c r="AB85" s="2170"/>
      <c r="AC85" s="2170"/>
    </row>
    <row r="86" spans="1:29" ht="15.75" thickTop="1">
      <c r="A86" s="670"/>
      <c r="B86" s="682">
        <f>B28</f>
        <v>111</v>
      </c>
      <c r="C86" s="662"/>
      <c r="D86" s="662"/>
      <c r="E86" s="662"/>
      <c r="F86" s="662"/>
      <c r="G86" s="723"/>
      <c r="H86" s="723"/>
      <c r="I86" s="723"/>
      <c r="J86" s="723"/>
      <c r="K86" s="724"/>
      <c r="L86" s="725"/>
      <c r="M86" s="726"/>
      <c r="N86" s="2164"/>
      <c r="O86" s="2164"/>
      <c r="P86" s="2165"/>
      <c r="Q86" s="2158"/>
      <c r="R86" s="2145"/>
      <c r="S86" s="2145"/>
      <c r="T86" s="2145"/>
      <c r="U86" s="2145"/>
      <c r="V86" s="2145"/>
      <c r="W86" s="2145"/>
      <c r="X86" s="2145"/>
      <c r="Y86" s="2145"/>
      <c r="Z86" s="2145"/>
      <c r="AA86" s="2145"/>
      <c r="AB86" s="2145"/>
      <c r="AC86" s="2145"/>
    </row>
    <row r="87" spans="1:29" ht="15.75" thickBot="1">
      <c r="A87" s="894"/>
      <c r="B87" s="700"/>
      <c r="C87" s="701"/>
      <c r="D87" s="701"/>
      <c r="E87" s="701"/>
      <c r="F87" s="701"/>
      <c r="G87" s="727"/>
      <c r="H87" s="727"/>
      <c r="I87" s="727"/>
      <c r="J87" s="727"/>
      <c r="K87" s="727"/>
      <c r="L87" s="727"/>
      <c r="M87" s="728"/>
      <c r="N87" s="2166"/>
      <c r="O87" s="2166"/>
      <c r="P87" s="2165"/>
      <c r="Q87" s="2158"/>
      <c r="R87" s="2145"/>
      <c r="S87" s="2145"/>
      <c r="T87" s="2145"/>
      <c r="U87" s="2145"/>
      <c r="V87" s="2145"/>
      <c r="W87" s="2145"/>
      <c r="X87" s="2145"/>
      <c r="Y87" s="2145"/>
      <c r="Z87" s="2145"/>
      <c r="AA87" s="2145"/>
      <c r="AB87" s="2145"/>
      <c r="AC87" s="2145"/>
    </row>
    <row r="88" spans="1:29">
      <c r="A88" s="665" t="s">
        <v>552</v>
      </c>
      <c r="B88" s="666" t="s">
        <v>748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2"/>
      <c r="O90" s="2162"/>
      <c r="P90" s="2165"/>
      <c r="Q90" s="2158"/>
      <c r="R90" s="2145"/>
      <c r="S90" s="2145"/>
      <c r="T90" s="2145"/>
      <c r="U90" s="2145"/>
      <c r="V90" s="2145"/>
      <c r="W90" s="2145"/>
      <c r="X90" s="2145"/>
      <c r="Y90" s="2145"/>
      <c r="Z90" s="2145"/>
      <c r="AA90" s="2145"/>
      <c r="AB90" s="2145"/>
      <c r="AC90" s="2145"/>
    </row>
    <row r="91" spans="1:29" s="1340" customFormat="1">
      <c r="A91" s="729"/>
      <c r="B91" s="730"/>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6"/>
      <c r="O92" s="2166"/>
      <c r="P92" s="2168"/>
      <c r="Q92" s="2169"/>
      <c r="R92" s="2170"/>
      <c r="S92" s="2170"/>
      <c r="T92" s="2170"/>
      <c r="U92" s="2170"/>
      <c r="V92" s="2170"/>
      <c r="W92" s="2170"/>
      <c r="X92" s="2170"/>
      <c r="Y92" s="2170"/>
      <c r="Z92" s="2170"/>
      <c r="AA92" s="2170"/>
      <c r="AB92" s="2170"/>
      <c r="AC92" s="2170"/>
    </row>
    <row r="93" spans="1:29" ht="15" thickTop="1">
      <c r="A93" s="736"/>
      <c r="B93" s="674" t="s">
        <v>750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752</v>
      </c>
      <c r="C95" s="689"/>
      <c r="D95" s="689"/>
      <c r="E95" s="689"/>
      <c r="F95" s="719"/>
      <c r="G95" s="719"/>
      <c r="H95" s="719"/>
      <c r="I95" s="719"/>
      <c r="J95" s="719"/>
      <c r="K95" s="720"/>
      <c r="L95" s="721"/>
      <c r="M95" s="722"/>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4"/>
      <c r="O97" s="2164"/>
      <c r="P97" s="2165"/>
      <c r="Q97" s="2158"/>
      <c r="R97" s="2145"/>
      <c r="S97" s="2145"/>
      <c r="T97" s="2145"/>
      <c r="U97" s="2145"/>
      <c r="V97" s="2145"/>
      <c r="W97" s="2145"/>
      <c r="X97" s="2145"/>
      <c r="Y97" s="2145"/>
      <c r="Z97" s="2145"/>
      <c r="AA97" s="2145"/>
      <c r="AB97" s="2145"/>
      <c r="AC97" s="2145"/>
    </row>
    <row r="98" spans="1:29">
      <c r="A98" s="736"/>
      <c r="B98" s="682"/>
      <c r="C98" s="895">
        <v>0.5</v>
      </c>
      <c r="D98" s="895">
        <v>0.6</v>
      </c>
      <c r="E98" s="895">
        <v>0.7</v>
      </c>
      <c r="F98" s="895">
        <v>0.8</v>
      </c>
      <c r="G98" s="895">
        <v>0.9</v>
      </c>
      <c r="H98" s="895">
        <v>1.0001</v>
      </c>
      <c r="I98" s="906"/>
      <c r="J98" s="906"/>
      <c r="K98" s="907"/>
      <c r="L98" s="908"/>
      <c r="M98" s="909"/>
      <c r="N98" s="2164"/>
      <c r="O98" s="2164"/>
      <c r="P98" s="2165"/>
      <c r="Q98" s="2158"/>
      <c r="R98" s="2145"/>
      <c r="S98" s="2145"/>
      <c r="T98" s="2145"/>
      <c r="U98" s="2145"/>
      <c r="V98" s="2145"/>
      <c r="W98" s="2145"/>
      <c r="X98" s="2145"/>
      <c r="Y98" s="2145"/>
      <c r="Z98" s="2145"/>
      <c r="AA98" s="2145"/>
      <c r="AB98" s="2145"/>
      <c r="AC98" s="2145"/>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6"/>
      <c r="O99" s="2166"/>
      <c r="P99" s="2165"/>
      <c r="Q99" s="2158"/>
      <c r="R99" s="2145"/>
      <c r="S99" s="2145"/>
      <c r="T99" s="2145"/>
      <c r="U99" s="2145"/>
      <c r="V99" s="2145"/>
      <c r="W99" s="2145"/>
      <c r="X99" s="2145"/>
      <c r="Y99" s="2145"/>
      <c r="Z99" s="2145"/>
      <c r="AA99" s="2145"/>
      <c r="AB99" s="2145"/>
      <c r="AC99" s="2145"/>
    </row>
    <row r="100" spans="1:29" s="1340" customFormat="1" ht="15" thickTop="1">
      <c r="A100" s="729"/>
      <c r="B100" s="674" t="s">
        <v>754</v>
      </c>
      <c r="C100" s="689"/>
      <c r="D100" s="689"/>
      <c r="E100" s="689"/>
      <c r="F100" s="689"/>
      <c r="G100" s="689"/>
      <c r="H100" s="719"/>
      <c r="I100" s="719"/>
      <c r="J100" s="719"/>
      <c r="K100" s="720"/>
      <c r="L100" s="721"/>
      <c r="M100" s="722"/>
      <c r="N100" s="2167"/>
      <c r="O100" s="2167"/>
      <c r="P100" s="2168"/>
      <c r="Q100" s="2169"/>
      <c r="R100" s="2170"/>
      <c r="S100" s="2170"/>
      <c r="T100" s="2170"/>
      <c r="U100" s="2170"/>
      <c r="V100" s="2170"/>
      <c r="W100" s="2170"/>
      <c r="X100" s="2170"/>
      <c r="Y100" s="2170"/>
      <c r="Z100" s="2170"/>
      <c r="AA100" s="2170"/>
      <c r="AB100" s="2170"/>
      <c r="AC100" s="2170"/>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6"/>
      <c r="B102" s="1896" t="s">
        <v>2560</v>
      </c>
      <c r="C102" s="689"/>
      <c r="D102" s="689"/>
      <c r="E102" s="689"/>
      <c r="F102" s="689"/>
      <c r="G102" s="689"/>
      <c r="H102" s="719"/>
      <c r="I102" s="719"/>
      <c r="J102" s="719"/>
      <c r="K102" s="720"/>
      <c r="L102" s="721"/>
      <c r="M102" s="722"/>
      <c r="N102" s="2164"/>
      <c r="O102" s="2164"/>
      <c r="P102" s="2165"/>
      <c r="Q102" s="2158"/>
      <c r="R102" s="2145"/>
      <c r="S102" s="2145"/>
      <c r="T102" s="2145"/>
      <c r="U102" s="2145"/>
      <c r="V102" s="2145"/>
      <c r="W102" s="2145"/>
      <c r="X102" s="2145"/>
      <c r="Y102" s="2145"/>
      <c r="Z102" s="2145"/>
      <c r="AA102" s="2145"/>
      <c r="AB102" s="2145"/>
      <c r="AC102" s="2145"/>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6"/>
      <c r="B104" s="674" t="s">
        <v>756</v>
      </c>
      <c r="C104" s="689"/>
      <c r="D104" s="689"/>
      <c r="E104" s="689"/>
      <c r="F104" s="689"/>
      <c r="G104" s="689"/>
      <c r="H104" s="719"/>
      <c r="I104" s="719"/>
      <c r="J104" s="719"/>
      <c r="K104" s="720"/>
      <c r="L104" s="721"/>
      <c r="M104" s="722"/>
      <c r="N104" s="2164"/>
      <c r="O104" s="2164"/>
      <c r="P104" s="2165"/>
      <c r="Q104" s="2158"/>
      <c r="R104" s="2145"/>
      <c r="S104" s="2145"/>
      <c r="T104" s="2145"/>
      <c r="U104" s="2145"/>
      <c r="V104" s="2145"/>
      <c r="W104" s="2145"/>
      <c r="X104" s="2145"/>
      <c r="Y104" s="2145"/>
      <c r="Z104" s="2145"/>
      <c r="AA104" s="2145"/>
      <c r="AB104" s="2145"/>
      <c r="AC104" s="2145"/>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6"/>
      <c r="O105" s="2166"/>
      <c r="P105" s="2165"/>
      <c r="Q105" s="2158"/>
      <c r="R105" s="2145"/>
      <c r="S105" s="2145"/>
      <c r="T105" s="2145"/>
      <c r="U105" s="2145"/>
      <c r="V105" s="2145"/>
      <c r="W105" s="2145"/>
      <c r="X105" s="2145"/>
      <c r="Y105" s="2145"/>
      <c r="Z105" s="2145"/>
      <c r="AA105" s="2145"/>
      <c r="AB105" s="2145"/>
      <c r="AC105" s="2145"/>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6"/>
      <c r="O106" s="2166"/>
      <c r="P106" s="2205"/>
      <c r="Q106" s="2206"/>
      <c r="R106" s="2145"/>
      <c r="S106" s="2145"/>
      <c r="T106" s="2145"/>
      <c r="U106" s="2145"/>
      <c r="V106" s="2145"/>
      <c r="W106" s="2145"/>
      <c r="X106" s="2145"/>
      <c r="Y106" s="2145"/>
      <c r="Z106" s="2145"/>
      <c r="AA106" s="2145"/>
      <c r="AB106" s="2145"/>
      <c r="AC106" s="2145"/>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6"/>
      <c r="O107" s="2166"/>
      <c r="P107" s="2165"/>
      <c r="Q107" s="2158"/>
      <c r="R107" s="2145"/>
      <c r="S107" s="2145"/>
      <c r="T107" s="2145"/>
      <c r="U107" s="2145"/>
      <c r="V107" s="2145"/>
      <c r="W107" s="2145"/>
      <c r="X107" s="2145"/>
      <c r="Y107" s="2145"/>
      <c r="Z107" s="2145"/>
      <c r="AA107" s="2145"/>
      <c r="AB107" s="2145"/>
      <c r="AC107" s="2145"/>
    </row>
    <row r="108" spans="1:29" s="1340" customFormat="1" ht="15" thickTop="1">
      <c r="A108" s="729"/>
      <c r="B108" s="674">
        <f>B38</f>
        <v>111</v>
      </c>
      <c r="C108" s="689"/>
      <c r="D108" s="689"/>
      <c r="E108" s="689"/>
      <c r="F108" s="689"/>
      <c r="G108" s="689"/>
      <c r="H108" s="690"/>
      <c r="I108" s="690"/>
      <c r="J108" s="690"/>
      <c r="K108" s="690"/>
      <c r="L108" s="691"/>
      <c r="M108" s="692"/>
      <c r="N108" s="2167"/>
      <c r="O108" s="2167"/>
      <c r="P108" s="2168"/>
      <c r="Q108" s="2169"/>
      <c r="R108" s="2170"/>
      <c r="S108" s="2170"/>
      <c r="T108" s="2170"/>
      <c r="U108" s="2170"/>
      <c r="V108" s="2170"/>
      <c r="W108" s="2170"/>
      <c r="X108" s="2170"/>
      <c r="Y108" s="2170"/>
      <c r="Z108" s="2170"/>
      <c r="AA108" s="2170"/>
      <c r="AB108" s="2170"/>
      <c r="AC108" s="2170"/>
    </row>
    <row r="109" spans="1:29" s="1340" customFormat="1" ht="15.75" thickBot="1">
      <c r="A109" s="688"/>
      <c r="B109" s="671"/>
      <c r="C109" s="693"/>
      <c r="D109" s="672"/>
      <c r="E109" s="672"/>
      <c r="F109" s="672"/>
      <c r="G109" s="693"/>
      <c r="H109" s="694"/>
      <c r="I109" s="694"/>
      <c r="J109" s="694"/>
      <c r="K109" s="694"/>
      <c r="L109" s="694"/>
      <c r="M109" s="695"/>
      <c r="N109" s="2167"/>
      <c r="O109" s="2167"/>
      <c r="P109" s="2168"/>
      <c r="Q109" s="2169"/>
      <c r="R109" s="2170"/>
      <c r="S109" s="2170"/>
      <c r="T109" s="2170"/>
      <c r="U109" s="2170"/>
      <c r="V109" s="2170"/>
      <c r="W109" s="2170"/>
      <c r="X109" s="2170"/>
      <c r="Y109" s="2170"/>
      <c r="Z109" s="2170"/>
      <c r="AA109" s="2170"/>
      <c r="AB109" s="2170"/>
      <c r="AC109" s="2170"/>
    </row>
    <row r="110" spans="1:29" ht="15" thickTop="1">
      <c r="A110" s="736"/>
      <c r="B110" s="674">
        <f>B39</f>
        <v>111</v>
      </c>
      <c r="C110" s="689"/>
      <c r="D110" s="689"/>
      <c r="E110" s="689"/>
      <c r="F110" s="689"/>
      <c r="G110" s="689"/>
      <c r="H110" s="690"/>
      <c r="I110" s="690"/>
      <c r="J110" s="690"/>
      <c r="K110" s="690"/>
      <c r="L110" s="691"/>
      <c r="M110" s="69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93"/>
      <c r="D111" s="672"/>
      <c r="E111" s="672"/>
      <c r="F111" s="672"/>
      <c r="G111" s="693"/>
      <c r="H111" s="694"/>
      <c r="I111" s="694"/>
      <c r="J111" s="694"/>
      <c r="K111" s="694"/>
      <c r="L111" s="694"/>
      <c r="M111" s="695"/>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82">
        <f>B40</f>
        <v>111</v>
      </c>
      <c r="C112" s="662"/>
      <c r="D112" s="662"/>
      <c r="E112" s="662"/>
      <c r="F112" s="662"/>
      <c r="G112" s="723"/>
      <c r="H112" s="723"/>
      <c r="I112" s="723"/>
      <c r="J112" s="723"/>
      <c r="K112" s="662"/>
      <c r="L112" s="663"/>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0"/>
      <c r="C113" s="701"/>
      <c r="D113" s="701"/>
      <c r="E113" s="701"/>
      <c r="F113" s="701"/>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48" t="s">
        <v>2077</v>
      </c>
      <c r="F3" s="852">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15" t="s">
        <v>799</v>
      </c>
      <c r="D4" s="3416"/>
      <c r="E4" s="3415" t="s">
        <v>800</v>
      </c>
      <c r="F4" s="3416"/>
      <c r="G4" s="3415" t="s">
        <v>801</v>
      </c>
      <c r="H4" s="3416"/>
      <c r="I4" s="3415" t="s">
        <v>802</v>
      </c>
      <c r="J4" s="3416"/>
      <c r="K4" s="515" t="s">
        <v>803</v>
      </c>
      <c r="L4" s="2133"/>
      <c r="M4" s="2134"/>
      <c r="N4" s="2134"/>
      <c r="O4" s="2134"/>
      <c r="P4" s="3417" t="s">
        <v>804</v>
      </c>
      <c r="Q4" s="3418"/>
      <c r="R4" s="3423" t="s">
        <v>800</v>
      </c>
      <c r="S4" s="3424"/>
      <c r="T4" s="3423" t="s">
        <v>801</v>
      </c>
      <c r="U4" s="3424"/>
      <c r="V4" s="3410" t="s">
        <v>802</v>
      </c>
      <c r="W4" s="3410"/>
      <c r="X4" s="1568"/>
      <c r="Y4" s="3423" t="s">
        <v>804</v>
      </c>
      <c r="Z4" s="3424"/>
      <c r="AA4" s="3412" t="s">
        <v>800</v>
      </c>
      <c r="AB4" s="3413" t="s">
        <v>801</v>
      </c>
      <c r="AC4" s="3412" t="s">
        <v>802</v>
      </c>
    </row>
    <row r="5" spans="1:29" ht="15">
      <c r="A5" s="516"/>
      <c r="B5" s="517"/>
      <c r="C5" s="3431" t="s">
        <v>2928</v>
      </c>
      <c r="D5" s="3432"/>
      <c r="E5" s="3431" t="s">
        <v>2929</v>
      </c>
      <c r="F5" s="3432"/>
      <c r="G5" s="3431" t="s">
        <v>2930</v>
      </c>
      <c r="H5" s="3432"/>
      <c r="I5" s="3431" t="s">
        <v>2931</v>
      </c>
      <c r="J5" s="3432"/>
      <c r="K5" s="515"/>
      <c r="L5" s="2133"/>
      <c r="M5" s="2134"/>
      <c r="N5" s="2134"/>
      <c r="O5" s="2134"/>
      <c r="P5" s="3419"/>
      <c r="Q5" s="3420"/>
      <c r="R5" s="3425"/>
      <c r="S5" s="3426"/>
      <c r="T5" s="3425"/>
      <c r="U5" s="3426"/>
      <c r="V5" s="3410"/>
      <c r="W5" s="3410"/>
      <c r="X5" s="1568"/>
      <c r="Y5" s="3425"/>
      <c r="Z5" s="3426"/>
      <c r="AA5" s="3413"/>
      <c r="AB5" s="3413"/>
      <c r="AC5" s="3413"/>
    </row>
    <row r="6" spans="1:29" ht="15.75" thickBot="1">
      <c r="A6" s="518"/>
      <c r="B6" s="519"/>
      <c r="C6" s="3429" t="s">
        <v>2932</v>
      </c>
      <c r="D6" s="3430"/>
      <c r="E6" s="3433" t="s">
        <v>2932</v>
      </c>
      <c r="F6" s="3434"/>
      <c r="G6" s="3429" t="s">
        <v>2932</v>
      </c>
      <c r="H6" s="3430"/>
      <c r="I6" s="3429" t="s">
        <v>2932</v>
      </c>
      <c r="J6" s="3430"/>
      <c r="K6" s="515" t="s">
        <v>529</v>
      </c>
      <c r="L6" s="2133"/>
      <c r="M6" s="2134"/>
      <c r="N6" s="2134"/>
      <c r="O6" s="2134"/>
      <c r="P6" s="3421"/>
      <c r="Q6" s="3422"/>
      <c r="R6" s="3425"/>
      <c r="S6" s="3426"/>
      <c r="T6" s="3427"/>
      <c r="U6" s="3428"/>
      <c r="V6" s="3410"/>
      <c r="W6" s="3410"/>
      <c r="X6" s="1568"/>
      <c r="Y6" s="3427"/>
      <c r="Z6" s="3428"/>
      <c r="AA6" s="3414"/>
      <c r="AB6" s="3414"/>
      <c r="AC6" s="3414"/>
    </row>
    <row r="7" spans="1:29" s="1221" customFormat="1" ht="15.75" thickBot="1">
      <c r="A7" s="2938"/>
      <c r="B7" s="2945" t="s">
        <v>530</v>
      </c>
      <c r="C7" s="520">
        <f>'数据-取费表'!B2</f>
        <v>43089</v>
      </c>
      <c r="D7" s="521">
        <v>100</v>
      </c>
      <c r="E7" s="522"/>
      <c r="F7" s="523">
        <f>SUMIF(48:48,YEAR(E7)&amp;"-"&amp;MONTH(E7),49:49)</f>
        <v>0</v>
      </c>
      <c r="G7" s="524"/>
      <c r="H7" s="521">
        <f>SUMIF(48:48,YEAR(G7)&amp;"-"&amp;MONTH(G7),49:49)</f>
        <v>0</v>
      </c>
      <c r="I7" s="524"/>
      <c r="J7" s="521">
        <f>SUMIF(48:48,YEAR(I7)&amp;"-"&amp;MONTH(I7),49:49)</f>
        <v>0</v>
      </c>
      <c r="K7" s="525"/>
      <c r="L7" s="2135"/>
      <c r="M7" s="2136"/>
      <c r="N7" s="2136"/>
      <c r="O7" s="2136"/>
      <c r="P7" s="3440" t="s">
        <v>531</v>
      </c>
      <c r="Q7" s="3442"/>
      <c r="R7" s="1569" t="s">
        <v>8</v>
      </c>
      <c r="S7" s="1570">
        <f t="shared" ref="S7:S14" si="0">F7</f>
        <v>0</v>
      </c>
      <c r="T7" s="1569" t="s">
        <v>8</v>
      </c>
      <c r="U7" s="1570">
        <f t="shared" ref="U7:U14" si="1">H7</f>
        <v>0</v>
      </c>
      <c r="V7" s="1569" t="s">
        <v>8</v>
      </c>
      <c r="W7" s="1570">
        <f t="shared" ref="W7:W14" si="2">J7</f>
        <v>0</v>
      </c>
      <c r="X7" s="1571"/>
      <c r="Y7" s="3440" t="s">
        <v>531</v>
      </c>
      <c r="Z7" s="3441"/>
      <c r="AA7" s="1572" t="e">
        <f>D7/F7</f>
        <v>#DIV/0!</v>
      </c>
      <c r="AB7" s="1572" t="e">
        <f>D7/H7</f>
        <v>#DIV/0!</v>
      </c>
      <c r="AC7" s="1572" t="e">
        <f>D7/J7</f>
        <v>#DIV/0!</v>
      </c>
    </row>
    <row r="8" spans="1:29" s="1221" customFormat="1" ht="15.75" thickBot="1">
      <c r="A8" s="2939"/>
      <c r="B8" s="2946" t="s">
        <v>532</v>
      </c>
      <c r="C8" s="526" t="s">
        <v>577</v>
      </c>
      <c r="D8" s="521">
        <v>100</v>
      </c>
      <c r="E8" s="526"/>
      <c r="F8" s="523">
        <f>SUMIF(51:51,E8,52:52)-SUMIF(51:51,C8,52:52)+100</f>
        <v>0</v>
      </c>
      <c r="G8" s="526"/>
      <c r="H8" s="521">
        <f>SUMIF(51:51,G8,52:52)-SUMIF(51:51,C8,52:52)+100</f>
        <v>0</v>
      </c>
      <c r="I8" s="526"/>
      <c r="J8" s="521">
        <f>SUMIF(51:51,I8,52:52)-SUMIF(51:51,C8,52:52)+100</f>
        <v>0</v>
      </c>
      <c r="K8" s="525"/>
      <c r="L8" s="2135"/>
      <c r="M8" s="2136"/>
      <c r="N8" s="2136"/>
      <c r="O8" s="2136"/>
      <c r="P8" s="3440" t="s">
        <v>534</v>
      </c>
      <c r="Q8" s="3441"/>
      <c r="R8" s="1569" t="s">
        <v>8</v>
      </c>
      <c r="S8" s="1570">
        <f t="shared" si="0"/>
        <v>0</v>
      </c>
      <c r="T8" s="1569" t="s">
        <v>8</v>
      </c>
      <c r="U8" s="1570">
        <f t="shared" si="1"/>
        <v>0</v>
      </c>
      <c r="V8" s="1569" t="s">
        <v>8</v>
      </c>
      <c r="W8" s="1570">
        <f t="shared" si="2"/>
        <v>0</v>
      </c>
      <c r="X8" s="1571"/>
      <c r="Y8" s="3440" t="s">
        <v>534</v>
      </c>
      <c r="Z8" s="3441"/>
      <c r="AA8" s="1572" t="e">
        <f t="shared" ref="AA8:AA36" si="3">D8/F8</f>
        <v>#DIV/0!</v>
      </c>
      <c r="AB8" s="1572" t="e">
        <f t="shared" ref="AB8:AB36" si="4">D8/H8</f>
        <v>#DIV/0!</v>
      </c>
      <c r="AC8" s="1572" t="e">
        <f t="shared" ref="AC8:AC36" si="5">D8/J8</f>
        <v>#DIV/0!</v>
      </c>
    </row>
    <row r="9" spans="1:29" s="1221" customFormat="1" ht="15">
      <c r="A9" s="2940"/>
      <c r="B9" s="2947" t="s">
        <v>2762</v>
      </c>
      <c r="C9" s="858"/>
      <c r="D9" s="252">
        <v>100</v>
      </c>
      <c r="E9" s="861"/>
      <c r="F9" s="252">
        <f>SUMIF(53:53,E9,54:54)-SUMIF(53:53,C9,54:54)+100</f>
        <v>100</v>
      </c>
      <c r="G9" s="859"/>
      <c r="H9" s="252">
        <f>SUMIF(53:53,G9,54:54)-SUMIF(53:53,C9,54:54)+100</f>
        <v>100</v>
      </c>
      <c r="I9" s="859"/>
      <c r="J9" s="252">
        <f>SUMIF(53:53,I9,54:54)-SUMIF(53:53,C9,54:54)+100</f>
        <v>100</v>
      </c>
      <c r="K9" s="525"/>
      <c r="L9" s="2135"/>
      <c r="M9" s="2136"/>
      <c r="N9" s="2136"/>
      <c r="O9" s="2137"/>
      <c r="P9" s="3409" t="s">
        <v>536</v>
      </c>
      <c r="Q9" s="1152" t="str">
        <f t="shared" ref="Q9:Q14" si="6">B9</f>
        <v>用途</v>
      </c>
      <c r="R9" s="1569" t="s">
        <v>8</v>
      </c>
      <c r="S9" s="1570">
        <f t="shared" si="0"/>
        <v>100</v>
      </c>
      <c r="T9" s="1569" t="s">
        <v>8</v>
      </c>
      <c r="U9" s="1570">
        <f t="shared" si="1"/>
        <v>100</v>
      </c>
      <c r="V9" s="1569" t="s">
        <v>8</v>
      </c>
      <c r="W9" s="1570">
        <f t="shared" si="2"/>
        <v>100</v>
      </c>
      <c r="X9" s="1571"/>
      <c r="Y9" s="3355"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SUMIF(55:55,E10,56:56)-SUMIF(55:55,C10,56:56)+100</f>
        <v>100</v>
      </c>
      <c r="G10" s="863"/>
      <c r="H10" s="253">
        <f>SUMIF(55:55,G10,56:56)-SUMIF(55:55,C10,56:56)+100</f>
        <v>100</v>
      </c>
      <c r="I10" s="862"/>
      <c r="J10" s="253">
        <f>SUMIF(55:55,I10,56:56)-SUMIF(55:55,C10,56:56)+100</f>
        <v>100</v>
      </c>
      <c r="K10" s="585"/>
      <c r="L10" s="2138"/>
      <c r="M10" s="2178"/>
      <c r="N10" s="2178"/>
      <c r="O10" s="2139"/>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3"/>
      <c r="B11" s="2949">
        <v>111</v>
      </c>
      <c r="C11" s="529"/>
      <c r="D11" s="253">
        <v>100</v>
      </c>
      <c r="E11" s="529"/>
      <c r="F11" s="253">
        <f>SUMIF(57:57,E11,58:58)-SUMIF(57:57,C11,58:58)+100</f>
        <v>100</v>
      </c>
      <c r="G11" s="529"/>
      <c r="H11" s="253">
        <f>SUMIF(57:57,G11,58:58)-SUMIF(57:57,C11,58:58)+100</f>
        <v>100</v>
      </c>
      <c r="I11" s="529"/>
      <c r="J11" s="253">
        <f>SUMIF(57:57,I11,58:58)-SUMIF(57:57,C11,58:58)+100</f>
        <v>100</v>
      </c>
      <c r="K11" s="582"/>
      <c r="L11" s="2140"/>
      <c r="M11" s="2134"/>
      <c r="N11" s="2134"/>
      <c r="O11" s="2141"/>
      <c r="P11" s="3409"/>
      <c r="Q11" s="1152">
        <f t="shared" si="6"/>
        <v>111</v>
      </c>
      <c r="R11" s="1569" t="s">
        <v>8</v>
      </c>
      <c r="S11" s="1570">
        <f t="shared" si="0"/>
        <v>100</v>
      </c>
      <c r="T11" s="1569" t="s">
        <v>8</v>
      </c>
      <c r="U11" s="1570">
        <f t="shared" si="1"/>
        <v>100</v>
      </c>
      <c r="V11" s="1569" t="s">
        <v>8</v>
      </c>
      <c r="W11" s="1570">
        <f t="shared" si="2"/>
        <v>100</v>
      </c>
      <c r="X11" s="1571"/>
      <c r="Y11" s="3355"/>
      <c r="Z11" s="1151">
        <f t="shared" si="7"/>
        <v>111</v>
      </c>
      <c r="AA11" s="1572">
        <f t="shared" si="3"/>
        <v>1</v>
      </c>
      <c r="AB11" s="1572">
        <f t="shared" si="4"/>
        <v>1</v>
      </c>
      <c r="AC11" s="1572">
        <f t="shared" si="5"/>
        <v>1</v>
      </c>
    </row>
    <row r="12" spans="1:29" s="1221" customFormat="1" ht="15">
      <c r="A12" s="2943"/>
      <c r="B12" s="2949">
        <v>111</v>
      </c>
      <c r="C12" s="529"/>
      <c r="D12" s="539">
        <v>100</v>
      </c>
      <c r="E12" s="529"/>
      <c r="F12" s="253">
        <f>SUMIF(59:59,E12,60:60)-SUMIF(59:59,C12,60:60)+100</f>
        <v>100</v>
      </c>
      <c r="G12" s="529"/>
      <c r="H12" s="253">
        <f>SUMIF(59:59,G12,60:60)-SUMIF(59:59,C12,60:60)+100</f>
        <v>100</v>
      </c>
      <c r="I12" s="529"/>
      <c r="J12" s="253">
        <f>SUMIF(59:59,I12,60:60)-SUMIF(59:59,C12,60:60)+100</f>
        <v>100</v>
      </c>
      <c r="K12" s="582"/>
      <c r="L12" s="2135"/>
      <c r="M12" s="2136"/>
      <c r="N12" s="2136"/>
      <c r="O12" s="2137"/>
      <c r="P12" s="3409"/>
      <c r="Q12" s="1152">
        <f t="shared" si="6"/>
        <v>111</v>
      </c>
      <c r="R12" s="1569" t="s">
        <v>8</v>
      </c>
      <c r="S12" s="1570">
        <f t="shared" si="0"/>
        <v>100</v>
      </c>
      <c r="T12" s="1569" t="s">
        <v>8</v>
      </c>
      <c r="U12" s="1570">
        <f t="shared" si="1"/>
        <v>100</v>
      </c>
      <c r="V12" s="1569" t="s">
        <v>8</v>
      </c>
      <c r="W12" s="1570">
        <f t="shared" si="2"/>
        <v>100</v>
      </c>
      <c r="X12" s="1571"/>
      <c r="Y12" s="3355"/>
      <c r="Z12" s="1151">
        <f t="shared" si="7"/>
        <v>111</v>
      </c>
      <c r="AA12" s="1572">
        <f>D12/F12</f>
        <v>1</v>
      </c>
      <c r="AB12" s="1572">
        <f>D12/H12</f>
        <v>1</v>
      </c>
      <c r="AC12" s="1572">
        <f>D12/J12</f>
        <v>1</v>
      </c>
    </row>
    <row r="13" spans="1:29" ht="15.75" thickBot="1">
      <c r="A13" s="2944"/>
      <c r="B13" s="2950">
        <v>111</v>
      </c>
      <c r="C13" s="540"/>
      <c r="D13" s="541">
        <v>100</v>
      </c>
      <c r="E13" s="529"/>
      <c r="F13" s="253">
        <f>SUMIF(61:61,E13,62:62)-SUMIF(61:61,C13,62:62)+100</f>
        <v>100</v>
      </c>
      <c r="G13" s="529"/>
      <c r="H13" s="541">
        <f>SUMIF(61:61,G13,62:62)-SUMIF(61:61,C13,62:62)+100</f>
        <v>100</v>
      </c>
      <c r="I13" s="529"/>
      <c r="J13" s="541">
        <f>SUMIF(61:61,I13,62:62)-SUMIF(61:61,C13,62:62)+100</f>
        <v>100</v>
      </c>
      <c r="K13" s="582"/>
      <c r="L13" s="2142"/>
      <c r="M13" s="2134"/>
      <c r="N13" s="2134"/>
      <c r="O13" s="2141"/>
      <c r="P13" s="3409"/>
      <c r="Q13" s="1152">
        <f t="shared" si="6"/>
        <v>111</v>
      </c>
      <c r="R13" s="1569" t="s">
        <v>8</v>
      </c>
      <c r="S13" s="1570">
        <f t="shared" si="0"/>
        <v>100</v>
      </c>
      <c r="T13" s="1569" t="s">
        <v>8</v>
      </c>
      <c r="U13" s="1570">
        <f t="shared" si="1"/>
        <v>100</v>
      </c>
      <c r="V13" s="1569" t="s">
        <v>8</v>
      </c>
      <c r="W13" s="1570">
        <f t="shared" si="2"/>
        <v>100</v>
      </c>
      <c r="X13" s="1571"/>
      <c r="Y13" s="3355"/>
      <c r="Z13" s="1151">
        <f t="shared" si="7"/>
        <v>111</v>
      </c>
      <c r="AA13" s="1572">
        <f t="shared" si="3"/>
        <v>1</v>
      </c>
      <c r="AB13" s="1572">
        <f t="shared" si="4"/>
        <v>1</v>
      </c>
      <c r="AC13" s="1572">
        <f t="shared" si="5"/>
        <v>1</v>
      </c>
    </row>
    <row r="14" spans="1:29" ht="114">
      <c r="A14" s="2936" t="s">
        <v>2760</v>
      </c>
      <c r="B14" s="548"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SUMIF(63:63,E15,64:64)-SUMIF(63:63,C15,64:64)+100</f>
        <v>100</v>
      </c>
      <c r="G14" s="553"/>
      <c r="H14" s="550">
        <f>SUMIF(63:63,G15,64:64)-SUMIF(63:63,C15,64:64)+100</f>
        <v>100</v>
      </c>
      <c r="I14" s="551"/>
      <c r="J14" s="550">
        <f>SUMIF(63:63,I15,64:64)-SUMIF(63:63,C15,64:64)+100</f>
        <v>100</v>
      </c>
      <c r="K14" s="899"/>
      <c r="L14" s="2142"/>
      <c r="M14" s="2134"/>
      <c r="N14" s="2134"/>
      <c r="O14" s="2141"/>
      <c r="P14" s="3443" t="s">
        <v>541</v>
      </c>
      <c r="Q14" s="1573" t="str">
        <f t="shared" si="6"/>
        <v>交通便捷度</v>
      </c>
      <c r="R14" s="1574" t="s">
        <v>8</v>
      </c>
      <c r="S14" s="1575">
        <f t="shared" si="0"/>
        <v>100</v>
      </c>
      <c r="T14" s="1574" t="s">
        <v>8</v>
      </c>
      <c r="U14" s="1575">
        <f t="shared" si="1"/>
        <v>100</v>
      </c>
      <c r="V14" s="1574" t="s">
        <v>8</v>
      </c>
      <c r="W14" s="1575">
        <f t="shared" si="2"/>
        <v>100</v>
      </c>
      <c r="X14" s="1568"/>
      <c r="Y14" s="3443"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2"/>
      <c r="M15" s="2134"/>
      <c r="N15" s="2134"/>
      <c r="O15" s="2141"/>
      <c r="P15" s="3444"/>
      <c r="Q15" s="1573"/>
      <c r="R15" s="1574"/>
      <c r="S15" s="1575"/>
      <c r="T15" s="1574"/>
      <c r="U15" s="1575"/>
      <c r="V15" s="1574"/>
      <c r="W15" s="1575"/>
      <c r="X15" s="1568"/>
      <c r="Y15" s="3444"/>
      <c r="Z15" s="1576"/>
      <c r="AA15" s="1577">
        <v>1</v>
      </c>
      <c r="AB15" s="1577">
        <v>1</v>
      </c>
      <c r="AC15" s="1577">
        <v>1</v>
      </c>
    </row>
    <row r="16" spans="1:29" ht="99.75">
      <c r="A16" s="516"/>
      <c r="B16" s="2627" t="s">
        <v>2550</v>
      </c>
      <c r="C16" s="873" t="str">
        <f>IF(B1="工业",估价对象房地状况!G5,估价对象房地状况!C7)</f>
        <v>估价对象所在区域有农业银行、龙跃财富广场、八里台第一小学、天津津南新华医院，公共配套设施较好</v>
      </c>
      <c r="D16" s="566">
        <v>100</v>
      </c>
      <c r="E16" s="573"/>
      <c r="F16" s="572">
        <f>SUMIF(65:65,E17,66:66)-SUMIF(65:65,C17,66:66)+100</f>
        <v>100</v>
      </c>
      <c r="G16" s="573"/>
      <c r="H16" s="566">
        <f>SUMIF(65:65,G17,66:66)-SUMIF(65:65,C17,66:66)+100</f>
        <v>100</v>
      </c>
      <c r="I16" s="571"/>
      <c r="J16" s="566">
        <f>SUMIF(65:65,I17,66:66)-SUMIF(65:65,C17,66:66)+100</f>
        <v>100</v>
      </c>
      <c r="K16" s="899"/>
      <c r="L16" s="2142"/>
      <c r="M16" s="2134"/>
      <c r="N16" s="2134"/>
      <c r="O16" s="2141"/>
      <c r="P16" s="3444"/>
      <c r="Q16" s="1573" t="str">
        <f>B16</f>
        <v>公共配套设施</v>
      </c>
      <c r="R16" s="1574" t="s">
        <v>8</v>
      </c>
      <c r="S16" s="1575">
        <f>F16</f>
        <v>100</v>
      </c>
      <c r="T16" s="1574" t="s">
        <v>8</v>
      </c>
      <c r="U16" s="1575">
        <f>H16</f>
        <v>100</v>
      </c>
      <c r="V16" s="1574" t="s">
        <v>8</v>
      </c>
      <c r="W16" s="1575">
        <f>J16</f>
        <v>100</v>
      </c>
      <c r="X16" s="1568"/>
      <c r="Y16" s="3444"/>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2"/>
      <c r="M17" s="2134"/>
      <c r="N17" s="2134"/>
      <c r="O17" s="2141"/>
      <c r="P17" s="3444"/>
      <c r="Q17" s="1573"/>
      <c r="R17" s="1574"/>
      <c r="S17" s="1575"/>
      <c r="T17" s="1574"/>
      <c r="U17" s="1575"/>
      <c r="V17" s="1574"/>
      <c r="W17" s="1575"/>
      <c r="X17" s="1568"/>
      <c r="Y17" s="3444"/>
      <c r="Z17" s="1576"/>
      <c r="AA17" s="1577">
        <v>1</v>
      </c>
      <c r="AB17" s="1577">
        <v>1</v>
      </c>
      <c r="AC17" s="1577">
        <v>1</v>
      </c>
    </row>
    <row r="18" spans="1:29" ht="15">
      <c r="A18" s="516"/>
      <c r="B18" s="2615" t="s">
        <v>2562</v>
      </c>
      <c r="C18" s="873" t="str">
        <f>IF(B1="工业",估价对象房地状况!G6,估价对象房地状况!C8)</f>
        <v>七通一平</v>
      </c>
      <c r="D18" s="560">
        <v>100</v>
      </c>
      <c r="E18" s="573"/>
      <c r="F18" s="572">
        <f>SUMIF(67:67,E19,68:68)-SUMIF(67:67,C19,68:68)+100</f>
        <v>100</v>
      </c>
      <c r="G18" s="573"/>
      <c r="H18" s="566">
        <f>SUMIF(67:67,G19,68:68)-SUMIF(67:67,C19,68:68)+100</f>
        <v>100</v>
      </c>
      <c r="I18" s="571"/>
      <c r="J18" s="566">
        <f>SUMIF(67:67,I19,68:68)-SUMIF(67:67,C19,68:68)+100</f>
        <v>100</v>
      </c>
      <c r="K18" s="899"/>
      <c r="L18" s="2142"/>
      <c r="M18" s="2134"/>
      <c r="N18" s="2134"/>
      <c r="O18" s="2141"/>
      <c r="P18" s="3444"/>
      <c r="Q18" s="2603" t="str">
        <f>B18</f>
        <v>基础设施水平</v>
      </c>
      <c r="R18" s="1574" t="s">
        <v>8</v>
      </c>
      <c r="S18" s="1575">
        <f>F18</f>
        <v>100</v>
      </c>
      <c r="T18" s="1574" t="s">
        <v>8</v>
      </c>
      <c r="U18" s="1575">
        <f>H18</f>
        <v>100</v>
      </c>
      <c r="V18" s="1574" t="s">
        <v>8</v>
      </c>
      <c r="W18" s="1575">
        <f>J18</f>
        <v>100</v>
      </c>
      <c r="X18" s="2605"/>
      <c r="Y18" s="3444"/>
      <c r="Z18" s="2604"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6"/>
      <c r="L19" s="2142"/>
      <c r="M19" s="2134"/>
      <c r="N19" s="2134"/>
      <c r="O19" s="2141"/>
      <c r="P19" s="3444"/>
      <c r="Q19" s="2603"/>
      <c r="R19" s="1574"/>
      <c r="S19" s="1575"/>
      <c r="T19" s="1574"/>
      <c r="U19" s="1575"/>
      <c r="V19" s="1574"/>
      <c r="W19" s="1575"/>
      <c r="X19" s="2605"/>
      <c r="Y19" s="3444"/>
      <c r="Z19" s="2604"/>
      <c r="AA19" s="1577">
        <v>1</v>
      </c>
      <c r="AB19" s="1577">
        <v>1</v>
      </c>
      <c r="AC19" s="1577">
        <v>1</v>
      </c>
    </row>
    <row r="20" spans="1:29" ht="57">
      <c r="A20" s="516"/>
      <c r="B20" s="561" t="s">
        <v>805</v>
      </c>
      <c r="C20" s="873" t="str">
        <f>IF(B1="工业",估价对象房地状况!G7,估价对象房地状况!C9)</f>
        <v>区域内无特殊自然环境及大学，综合评价环境状况一般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2"/>
      <c r="M20" s="2134"/>
      <c r="N20" s="2134"/>
      <c r="O20" s="2141"/>
      <c r="P20" s="3444"/>
      <c r="Q20" s="1573" t="str">
        <f>B20</f>
        <v>自然及人文环境</v>
      </c>
      <c r="R20" s="1574" t="s">
        <v>8</v>
      </c>
      <c r="S20" s="1575">
        <f>F20</f>
        <v>100</v>
      </c>
      <c r="T20" s="1574" t="s">
        <v>8</v>
      </c>
      <c r="U20" s="1575">
        <f>H20</f>
        <v>100</v>
      </c>
      <c r="V20" s="1574" t="s">
        <v>8</v>
      </c>
      <c r="W20" s="1575">
        <f>J20</f>
        <v>100</v>
      </c>
      <c r="X20" s="1568"/>
      <c r="Y20" s="3444"/>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2"/>
      <c r="M21" s="2134"/>
      <c r="N21" s="2134"/>
      <c r="O21" s="2141"/>
      <c r="P21" s="3444"/>
      <c r="Q21" s="1573"/>
      <c r="R21" s="1574"/>
      <c r="S21" s="1575"/>
      <c r="T21" s="1574"/>
      <c r="U21" s="1575"/>
      <c r="V21" s="1574"/>
      <c r="W21" s="1575"/>
      <c r="X21" s="1568"/>
      <c r="Y21" s="3444"/>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2"/>
      <c r="M22" s="2134"/>
      <c r="N22" s="2134"/>
      <c r="O22" s="2141"/>
      <c r="P22" s="3444"/>
      <c r="Q22" s="1573" t="str">
        <f>B22</f>
        <v>楼层</v>
      </c>
      <c r="R22" s="1574" t="s">
        <v>8</v>
      </c>
      <c r="S22" s="1575">
        <f>F22</f>
        <v>100</v>
      </c>
      <c r="T22" s="1574" t="s">
        <v>8</v>
      </c>
      <c r="U22" s="1575">
        <f>H22</f>
        <v>100</v>
      </c>
      <c r="V22" s="1574" t="s">
        <v>8</v>
      </c>
      <c r="W22" s="1575">
        <f>J22</f>
        <v>100</v>
      </c>
      <c r="X22" s="1568"/>
      <c r="Y22" s="3444"/>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2"/>
      <c r="M23" s="2134"/>
      <c r="N23" s="2134"/>
      <c r="O23" s="2141"/>
      <c r="P23" s="3444"/>
      <c r="Q23" s="1573">
        <f>B23</f>
        <v>111</v>
      </c>
      <c r="R23" s="1574" t="s">
        <v>8</v>
      </c>
      <c r="S23" s="1575">
        <f>F23</f>
        <v>100</v>
      </c>
      <c r="T23" s="1574" t="s">
        <v>8</v>
      </c>
      <c r="U23" s="1575">
        <f>H23</f>
        <v>100</v>
      </c>
      <c r="V23" s="1574" t="s">
        <v>8</v>
      </c>
      <c r="W23" s="1575">
        <f>J23</f>
        <v>100</v>
      </c>
      <c r="X23" s="1568"/>
      <c r="Y23" s="3444"/>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2"/>
      <c r="M24" s="2134"/>
      <c r="N24" s="2134"/>
      <c r="O24" s="2141"/>
      <c r="P24" s="3444"/>
      <c r="Q24" s="1573">
        <f t="shared" ref="Q24:Q36" si="11">B24</f>
        <v>111</v>
      </c>
      <c r="R24" s="1574" t="s">
        <v>8</v>
      </c>
      <c r="S24" s="1575">
        <f>F24</f>
        <v>100</v>
      </c>
      <c r="T24" s="1574" t="s">
        <v>8</v>
      </c>
      <c r="U24" s="1575">
        <f>H24</f>
        <v>100</v>
      </c>
      <c r="V24" s="1574" t="s">
        <v>8</v>
      </c>
      <c r="W24" s="1575">
        <f>J24</f>
        <v>100</v>
      </c>
      <c r="X24" s="1568"/>
      <c r="Y24" s="3444"/>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5"/>
      <c r="M25" s="2136"/>
      <c r="N25" s="2136"/>
      <c r="O25" s="2137"/>
      <c r="P25" s="3444"/>
      <c r="Q25" s="1152">
        <f t="shared" si="11"/>
        <v>111</v>
      </c>
      <c r="R25" s="1569" t="s">
        <v>8</v>
      </c>
      <c r="S25" s="1570">
        <f>F25</f>
        <v>100</v>
      </c>
      <c r="T25" s="1569" t="s">
        <v>8</v>
      </c>
      <c r="U25" s="1570">
        <f>H25</f>
        <v>100</v>
      </c>
      <c r="V25" s="1569" t="s">
        <v>8</v>
      </c>
      <c r="W25" s="1570">
        <f>J25</f>
        <v>100</v>
      </c>
      <c r="X25" s="1571"/>
      <c r="Y25" s="3444"/>
      <c r="Z25" s="1151">
        <f>Q25</f>
        <v>111</v>
      </c>
      <c r="AA25" s="1577">
        <f>D25/F25</f>
        <v>1</v>
      </c>
      <c r="AB25" s="1577">
        <f>D25/H25</f>
        <v>1</v>
      </c>
      <c r="AC25" s="1577">
        <f>D25/J25</f>
        <v>1</v>
      </c>
    </row>
    <row r="26" spans="1:29" ht="15">
      <c r="A26" s="2933" t="s">
        <v>2761</v>
      </c>
      <c r="B26" s="169"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2"/>
      <c r="M26" s="2134"/>
      <c r="N26" s="2134"/>
      <c r="O26" s="2141"/>
      <c r="P26" s="3445"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6"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0"/>
      <c r="M27" s="2171"/>
      <c r="N27" s="2171"/>
      <c r="O27" s="2143"/>
      <c r="P27" s="3446"/>
      <c r="Q27" s="1606" t="str">
        <f t="shared" si="11"/>
        <v>项目停车位配比</v>
      </c>
      <c r="R27" s="1578" t="s">
        <v>8</v>
      </c>
      <c r="S27" s="1579">
        <f t="shared" si="12"/>
        <v>100</v>
      </c>
      <c r="T27" s="1578" t="s">
        <v>8</v>
      </c>
      <c r="U27" s="1579">
        <f t="shared" si="13"/>
        <v>100</v>
      </c>
      <c r="V27" s="1578" t="s">
        <v>8</v>
      </c>
      <c r="W27" s="1579">
        <f t="shared" si="14"/>
        <v>100</v>
      </c>
      <c r="X27" s="1580"/>
      <c r="Y27" s="3446"/>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2"/>
      <c r="M28" s="2134"/>
      <c r="N28" s="2134"/>
      <c r="O28" s="2141"/>
      <c r="P28" s="3446"/>
      <c r="Q28" s="1573" t="str">
        <f t="shared" si="11"/>
        <v>公共部分装修</v>
      </c>
      <c r="R28" s="1574" t="s">
        <v>8</v>
      </c>
      <c r="S28" s="1575">
        <f t="shared" si="12"/>
        <v>100</v>
      </c>
      <c r="T28" s="1574" t="s">
        <v>8</v>
      </c>
      <c r="U28" s="1575">
        <f t="shared" si="13"/>
        <v>100</v>
      </c>
      <c r="V28" s="1574" t="s">
        <v>8</v>
      </c>
      <c r="W28" s="1575">
        <f t="shared" si="14"/>
        <v>100</v>
      </c>
      <c r="X28" s="1568"/>
      <c r="Y28" s="3446"/>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2"/>
      <c r="M29" s="2134"/>
      <c r="N29" s="2134"/>
      <c r="O29" s="2141"/>
      <c r="P29" s="3446"/>
      <c r="Q29" s="1573" t="str">
        <f t="shared" si="11"/>
        <v>成新率</v>
      </c>
      <c r="R29" s="1574" t="s">
        <v>8</v>
      </c>
      <c r="S29" s="1575" t="e">
        <f t="shared" si="12"/>
        <v>#N/A</v>
      </c>
      <c r="T29" s="1574" t="s">
        <v>8</v>
      </c>
      <c r="U29" s="1575" t="e">
        <f t="shared" si="13"/>
        <v>#N/A</v>
      </c>
      <c r="V29" s="1574" t="s">
        <v>8</v>
      </c>
      <c r="W29" s="1575" t="e">
        <f t="shared" si="14"/>
        <v>#N/A</v>
      </c>
      <c r="X29" s="1568"/>
      <c r="Y29" s="3446"/>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2"/>
      <c r="M30" s="2134"/>
      <c r="N30" s="2134"/>
      <c r="O30" s="2141"/>
      <c r="P30" s="3446"/>
      <c r="Q30" s="1573" t="str">
        <f t="shared" si="11"/>
        <v>物业等级</v>
      </c>
      <c r="R30" s="1574" t="s">
        <v>8</v>
      </c>
      <c r="S30" s="1575">
        <f t="shared" si="12"/>
        <v>100</v>
      </c>
      <c r="T30" s="1574" t="s">
        <v>8</v>
      </c>
      <c r="U30" s="1575">
        <f t="shared" si="13"/>
        <v>100</v>
      </c>
      <c r="V30" s="1574" t="s">
        <v>8</v>
      </c>
      <c r="W30" s="1575">
        <f t="shared" si="14"/>
        <v>100</v>
      </c>
      <c r="X30" s="1568"/>
      <c r="Y30" s="3446"/>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5"/>
      <c r="M31" s="2136"/>
      <c r="N31" s="2136"/>
      <c r="O31" s="2137"/>
      <c r="P31" s="3446"/>
      <c r="Q31" s="1152" t="str">
        <f t="shared" si="11"/>
        <v>停车位面积</v>
      </c>
      <c r="R31" s="1569" t="s">
        <v>8</v>
      </c>
      <c r="S31" s="1570" t="e">
        <f t="shared" si="12"/>
        <v>#N/A</v>
      </c>
      <c r="T31" s="1569" t="s">
        <v>8</v>
      </c>
      <c r="U31" s="1570" t="e">
        <f t="shared" si="13"/>
        <v>#N/A</v>
      </c>
      <c r="V31" s="1569" t="s">
        <v>8</v>
      </c>
      <c r="W31" s="1570" t="e">
        <f t="shared" si="14"/>
        <v>#N/A</v>
      </c>
      <c r="X31" s="1571"/>
      <c r="Y31" s="3446"/>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2"/>
      <c r="M32" s="2134"/>
      <c r="N32" s="2134"/>
      <c r="O32" s="2141"/>
      <c r="P32" s="3446" t="s">
        <v>551</v>
      </c>
      <c r="Q32" s="1573" t="str">
        <f t="shared" si="11"/>
        <v>车位类型</v>
      </c>
      <c r="R32" s="1574" t="s">
        <v>8</v>
      </c>
      <c r="S32" s="1575">
        <f t="shared" si="12"/>
        <v>100</v>
      </c>
      <c r="T32" s="1574" t="s">
        <v>8</v>
      </c>
      <c r="U32" s="1575">
        <f t="shared" si="13"/>
        <v>100</v>
      </c>
      <c r="V32" s="1574" t="s">
        <v>8</v>
      </c>
      <c r="W32" s="1575">
        <f t="shared" si="14"/>
        <v>100</v>
      </c>
      <c r="X32" s="1568"/>
      <c r="Y32" s="3446"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2"/>
      <c r="M33" s="2134"/>
      <c r="N33" s="2134"/>
      <c r="O33" s="2141"/>
      <c r="P33" s="3446"/>
      <c r="Q33" s="1573" t="str">
        <f t="shared" si="11"/>
        <v>是否直接入户</v>
      </c>
      <c r="R33" s="1574" t="s">
        <v>8</v>
      </c>
      <c r="S33" s="1575">
        <f t="shared" si="12"/>
        <v>100</v>
      </c>
      <c r="T33" s="1574" t="s">
        <v>8</v>
      </c>
      <c r="U33" s="1575">
        <f t="shared" si="13"/>
        <v>100</v>
      </c>
      <c r="V33" s="1574" t="s">
        <v>8</v>
      </c>
      <c r="W33" s="1575">
        <f t="shared" si="14"/>
        <v>100</v>
      </c>
      <c r="X33" s="1568"/>
      <c r="Y33" s="3446"/>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2"/>
      <c r="M34" s="2134"/>
      <c r="N34" s="2134"/>
      <c r="O34" s="2141"/>
      <c r="P34" s="3446"/>
      <c r="Q34" s="1573">
        <f t="shared" si="11"/>
        <v>111</v>
      </c>
      <c r="R34" s="1574" t="s">
        <v>8</v>
      </c>
      <c r="S34" s="1575">
        <f t="shared" si="12"/>
        <v>100</v>
      </c>
      <c r="T34" s="1574" t="s">
        <v>8</v>
      </c>
      <c r="U34" s="1575">
        <f t="shared" si="13"/>
        <v>100</v>
      </c>
      <c r="V34" s="1574" t="s">
        <v>8</v>
      </c>
      <c r="W34" s="1575">
        <f t="shared" si="14"/>
        <v>100</v>
      </c>
      <c r="X34" s="1568"/>
      <c r="Y34" s="3446"/>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0"/>
      <c r="M35" s="2171"/>
      <c r="N35" s="2171"/>
      <c r="O35" s="2143"/>
      <c r="P35" s="3446"/>
      <c r="Q35" s="1606">
        <f t="shared" si="11"/>
        <v>111</v>
      </c>
      <c r="R35" s="1578" t="s">
        <v>8</v>
      </c>
      <c r="S35" s="1579">
        <f t="shared" si="12"/>
        <v>100</v>
      </c>
      <c r="T35" s="1578" t="s">
        <v>8</v>
      </c>
      <c r="U35" s="1579">
        <f t="shared" si="13"/>
        <v>100</v>
      </c>
      <c r="V35" s="1578" t="s">
        <v>8</v>
      </c>
      <c r="W35" s="1579">
        <f t="shared" si="14"/>
        <v>100</v>
      </c>
      <c r="X35" s="1580"/>
      <c r="Y35" s="3446"/>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2"/>
      <c r="M36" s="2134"/>
      <c r="N36" s="2134"/>
      <c r="O36" s="2141"/>
      <c r="P36" s="3446"/>
      <c r="Q36" s="1573">
        <f t="shared" si="11"/>
        <v>111</v>
      </c>
      <c r="R36" s="1574" t="s">
        <v>8</v>
      </c>
      <c r="S36" s="1575">
        <f t="shared" si="12"/>
        <v>100</v>
      </c>
      <c r="T36" s="1574" t="s">
        <v>8</v>
      </c>
      <c r="U36" s="1575">
        <f t="shared" si="13"/>
        <v>100</v>
      </c>
      <c r="V36" s="1574" t="s">
        <v>8</v>
      </c>
      <c r="W36" s="1575">
        <f t="shared" si="14"/>
        <v>100</v>
      </c>
      <c r="X36" s="1568"/>
      <c r="Y36" s="3446"/>
      <c r="Z36" s="1576">
        <f t="shared" si="15"/>
        <v>111</v>
      </c>
      <c r="AA36" s="1577">
        <f t="shared" si="3"/>
        <v>1</v>
      </c>
      <c r="AB36" s="1577">
        <f t="shared" si="4"/>
        <v>1</v>
      </c>
      <c r="AC36" s="1577">
        <f t="shared" si="5"/>
        <v>1</v>
      </c>
    </row>
    <row r="37" spans="1:29" ht="15">
      <c r="A37" s="1846" t="s">
        <v>2078</v>
      </c>
      <c r="B37" s="1847" t="s">
        <v>2079</v>
      </c>
      <c r="C37" s="2651" t="s">
        <v>1</v>
      </c>
      <c r="D37" s="2652"/>
      <c r="E37" s="2653"/>
      <c r="F37" s="2654"/>
      <c r="G37" s="2655"/>
      <c r="H37" s="2656"/>
      <c r="I37" s="2653"/>
      <c r="J37" s="2656"/>
      <c r="K37" s="1612"/>
      <c r="L37" s="2144"/>
      <c r="M37" s="2145"/>
      <c r="N37" s="2134"/>
      <c r="O37" s="2145"/>
      <c r="P37" s="3409" t="str">
        <f>A37</f>
        <v>成交单价</v>
      </c>
      <c r="Q37" s="3409"/>
      <c r="R37" s="3528">
        <f>E37</f>
        <v>0</v>
      </c>
      <c r="S37" s="3528"/>
      <c r="T37" s="3528">
        <f>G37</f>
        <v>0</v>
      </c>
      <c r="U37" s="3528"/>
      <c r="V37" s="3528">
        <f>I37</f>
        <v>0</v>
      </c>
      <c r="W37" s="3528"/>
      <c r="X37" s="1560"/>
      <c r="Y37" s="1582"/>
      <c r="Z37" s="1560"/>
      <c r="AA37" s="1560"/>
      <c r="AB37" s="1560"/>
      <c r="AC37" s="1560"/>
    </row>
    <row r="38" spans="1:29" ht="15.75" thickBot="1">
      <c r="A38" s="616" t="s">
        <v>2766</v>
      </c>
      <c r="B38" s="889"/>
      <c r="C38" s="2657" t="e">
        <f>R39</f>
        <v>#DIV/0!</v>
      </c>
      <c r="D38" s="2658"/>
      <c r="E38" s="2659" t="e">
        <f>R38</f>
        <v>#DIV/0!</v>
      </c>
      <c r="F38" s="2659"/>
      <c r="G38" s="2657" t="e">
        <f>T38</f>
        <v>#DIV/0!</v>
      </c>
      <c r="H38" s="2658"/>
      <c r="I38" s="2659" t="e">
        <f>V38</f>
        <v>#DIV/0!</v>
      </c>
      <c r="J38" s="2658"/>
      <c r="K38" s="1613"/>
      <c r="L38" s="2144"/>
      <c r="M38" s="2145"/>
      <c r="N38" s="2145"/>
      <c r="O38" s="2145"/>
      <c r="P38" s="3409" t="str">
        <f>A38</f>
        <v>比较价格（元/平方米）</v>
      </c>
      <c r="Q38" s="3409"/>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60"/>
      <c r="Y38" s="1560"/>
      <c r="Z38" s="1560"/>
      <c r="AA38" s="1560"/>
      <c r="AB38" s="1560"/>
      <c r="AC38" s="1560"/>
    </row>
    <row r="39" spans="1:29" ht="15.75" thickBot="1">
      <c r="A39" s="622" t="s">
        <v>2934</v>
      </c>
      <c r="B39" s="623"/>
      <c r="C39" s="2660" t="e">
        <f>R39</f>
        <v>#DIV/0!</v>
      </c>
      <c r="D39" s="2660"/>
      <c r="E39" s="2660"/>
      <c r="F39" s="2660"/>
      <c r="G39" s="2660"/>
      <c r="H39" s="2660"/>
      <c r="I39" s="2660"/>
      <c r="J39" s="2660"/>
      <c r="K39" s="1614"/>
      <c r="L39" s="2144"/>
      <c r="M39" s="2145"/>
      <c r="N39" s="2145"/>
      <c r="O39" s="2145"/>
      <c r="P39" s="3406" t="str">
        <f>A39</f>
        <v>估价对象XX用房的比较价格（楼面单价，元/平方米）</v>
      </c>
      <c r="Q39" s="3407"/>
      <c r="R39" s="3527" t="e">
        <f>IF(F1="售价",ROUND(AVERAGE(R38:V38),0),ROUND(AVERAGE(R38:V38),1))</f>
        <v>#DIV/0!</v>
      </c>
      <c r="S39" s="3527"/>
      <c r="T39" s="3527"/>
      <c r="U39" s="3527"/>
      <c r="V39" s="3527"/>
      <c r="W39" s="352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6" customFormat="1" ht="13.5" customHeight="1">
      <c r="A44" s="2146"/>
      <c r="B44" s="2146"/>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6"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8" customFormat="1" ht="15">
      <c r="A48" s="646" t="s">
        <v>530</v>
      </c>
      <c r="B48" s="647"/>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21" customFormat="1" ht="15">
      <c r="A49" s="648"/>
      <c r="B49" s="649"/>
      <c r="C49" s="2829">
        <v>100</v>
      </c>
      <c r="D49" s="651"/>
      <c r="E49" s="651"/>
      <c r="F49" s="651"/>
      <c r="G49" s="651"/>
      <c r="H49" s="651"/>
      <c r="I49" s="651"/>
      <c r="J49" s="651"/>
      <c r="K49" s="651"/>
      <c r="L49" s="651"/>
      <c r="M49" s="652"/>
      <c r="N49" s="651"/>
      <c r="O49" s="653"/>
      <c r="P49" s="2158"/>
      <c r="Q49" s="1993"/>
      <c r="R49" s="1993"/>
      <c r="S49" s="1993"/>
      <c r="T49" s="1993"/>
      <c r="U49" s="1993"/>
      <c r="V49" s="1993"/>
      <c r="W49" s="1993"/>
      <c r="X49" s="1993"/>
      <c r="Y49" s="1993"/>
      <c r="Z49" s="1993"/>
      <c r="AA49" s="1993"/>
      <c r="AB49" s="1993"/>
      <c r="AC49" s="1993"/>
    </row>
    <row r="50" spans="1:29" s="1221" customFormat="1" ht="15.75" thickBot="1">
      <c r="A50" s="654" t="s">
        <v>576</v>
      </c>
      <c r="B50" s="655"/>
      <c r="C50" s="656"/>
      <c r="D50" s="657"/>
      <c r="E50" s="657"/>
      <c r="F50" s="657"/>
      <c r="G50" s="657"/>
      <c r="H50" s="657"/>
      <c r="I50" s="657"/>
      <c r="J50" s="657"/>
      <c r="K50" s="657"/>
      <c r="L50" s="657"/>
      <c r="M50" s="658"/>
      <c r="N50" s="657"/>
      <c r="O50" s="659"/>
      <c r="P50" s="2158"/>
      <c r="Q50" s="2158"/>
      <c r="R50" s="1993"/>
      <c r="S50" s="1993"/>
      <c r="T50" s="1993"/>
      <c r="U50" s="1993"/>
      <c r="V50" s="1993"/>
      <c r="W50" s="1993"/>
      <c r="X50" s="1993"/>
      <c r="Y50" s="1993"/>
      <c r="Z50" s="1993"/>
      <c r="AA50" s="1993"/>
      <c r="AB50" s="1993"/>
      <c r="AC50" s="1993"/>
    </row>
    <row r="51" spans="1:29" s="1221" customFormat="1" ht="15">
      <c r="A51" s="660" t="s">
        <v>532</v>
      </c>
      <c r="B51" s="649"/>
      <c r="C51" s="661" t="s">
        <v>577</v>
      </c>
      <c r="D51" s="662"/>
      <c r="E51" s="662"/>
      <c r="F51" s="662"/>
      <c r="G51" s="662"/>
      <c r="H51" s="662"/>
      <c r="I51" s="662"/>
      <c r="J51" s="662"/>
      <c r="K51" s="662"/>
      <c r="L51" s="663"/>
      <c r="M51" s="664"/>
      <c r="N51" s="2162"/>
      <c r="O51" s="2162"/>
      <c r="P51" s="2163"/>
      <c r="Q51" s="2158"/>
      <c r="R51" s="1993"/>
      <c r="S51" s="1993"/>
      <c r="T51" s="1993"/>
      <c r="U51" s="1993"/>
      <c r="V51" s="1993"/>
      <c r="W51" s="1993"/>
      <c r="X51" s="1993"/>
      <c r="Y51" s="1993"/>
      <c r="Z51" s="1993"/>
      <c r="AA51" s="1993"/>
      <c r="AB51" s="1993"/>
      <c r="AC51" s="1993"/>
    </row>
    <row r="52" spans="1:29" s="1221" customFormat="1" ht="15.75" thickBot="1">
      <c r="A52" s="660"/>
      <c r="B52" s="649"/>
      <c r="C52" s="650">
        <v>100</v>
      </c>
      <c r="D52" s="651"/>
      <c r="E52" s="651"/>
      <c r="F52" s="651"/>
      <c r="G52" s="651"/>
      <c r="H52" s="651"/>
      <c r="I52" s="651"/>
      <c r="J52" s="651"/>
      <c r="K52" s="651"/>
      <c r="L52" s="651"/>
      <c r="M52" s="653"/>
      <c r="N52" s="2162"/>
      <c r="O52" s="2162"/>
      <c r="P52" s="2158"/>
      <c r="Q52" s="2158"/>
      <c r="R52" s="1993"/>
      <c r="S52" s="1993"/>
      <c r="T52" s="1993"/>
      <c r="U52" s="1993"/>
      <c r="V52" s="1993"/>
      <c r="W52" s="1993"/>
      <c r="X52" s="1993"/>
      <c r="Y52" s="1993"/>
      <c r="Z52" s="1993"/>
      <c r="AA52" s="1993"/>
      <c r="AB52" s="1993"/>
      <c r="AC52" s="1993"/>
    </row>
    <row r="53" spans="1:29">
      <c r="A53" s="665" t="s">
        <v>578</v>
      </c>
      <c r="B53" s="666" t="s">
        <v>535</v>
      </c>
      <c r="C53" s="705">
        <f>C9</f>
        <v>0</v>
      </c>
      <c r="D53" s="599"/>
      <c r="E53" s="599"/>
      <c r="F53" s="599"/>
      <c r="G53" s="599"/>
      <c r="H53" s="599"/>
      <c r="I53" s="599"/>
      <c r="J53" s="599"/>
      <c r="K53" s="667"/>
      <c r="L53" s="668"/>
      <c r="M53" s="669"/>
      <c r="N53" s="2164"/>
      <c r="O53" s="2164"/>
      <c r="P53" s="2165"/>
      <c r="Q53" s="2158"/>
      <c r="R53" s="2145"/>
      <c r="S53" s="2145"/>
      <c r="T53" s="2145"/>
      <c r="U53" s="2145"/>
      <c r="V53" s="2145"/>
      <c r="W53" s="2145"/>
      <c r="X53" s="2145"/>
      <c r="Y53" s="2145"/>
      <c r="Z53" s="2145"/>
      <c r="AA53" s="2145"/>
      <c r="AB53" s="2145"/>
      <c r="AC53" s="2145"/>
    </row>
    <row r="54" spans="1:29" ht="15.75" thickBot="1">
      <c r="A54" s="670"/>
      <c r="B54" s="671"/>
      <c r="C54" s="672"/>
      <c r="D54" s="672"/>
      <c r="E54" s="672"/>
      <c r="F54" s="672"/>
      <c r="G54" s="672"/>
      <c r="H54" s="672"/>
      <c r="I54" s="672"/>
      <c r="J54" s="672"/>
      <c r="K54" s="672"/>
      <c r="L54" s="672"/>
      <c r="M54" s="673"/>
      <c r="N54" s="2166"/>
      <c r="O54" s="2166"/>
      <c r="P54" s="2165"/>
      <c r="Q54" s="2158"/>
      <c r="R54" s="2145"/>
      <c r="S54" s="2145"/>
      <c r="T54" s="2145"/>
      <c r="U54" s="2145"/>
      <c r="V54" s="2145"/>
      <c r="W54" s="2145"/>
      <c r="X54" s="2145"/>
      <c r="Y54" s="2145"/>
      <c r="Z54" s="2145"/>
      <c r="AA54" s="2145"/>
      <c r="AB54" s="2145"/>
      <c r="AC54" s="2145"/>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4"/>
      <c r="O55" s="2164"/>
      <c r="P55" s="2165"/>
      <c r="Q55" s="2158"/>
      <c r="R55" s="2145"/>
      <c r="S55" s="2145"/>
      <c r="T55" s="2145"/>
      <c r="U55" s="2145"/>
      <c r="V55" s="2145"/>
      <c r="W55" s="2145"/>
      <c r="X55" s="2145"/>
      <c r="Y55" s="2145"/>
      <c r="Z55" s="2145"/>
      <c r="AA55" s="2145"/>
      <c r="AB55" s="2145"/>
      <c r="AC55" s="2145"/>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6"/>
      <c r="O56" s="2166"/>
      <c r="P56" s="2165"/>
      <c r="Q56" s="2158"/>
      <c r="R56" s="2145"/>
      <c r="S56" s="2145"/>
      <c r="T56" s="2145"/>
      <c r="U56" s="2145"/>
      <c r="V56" s="2145"/>
      <c r="W56" s="2145"/>
      <c r="X56" s="2145"/>
      <c r="Y56" s="2145"/>
      <c r="Z56" s="2145"/>
      <c r="AA56" s="2145"/>
      <c r="AB56" s="2145"/>
      <c r="AC56" s="2145"/>
    </row>
    <row r="57" spans="1:29" ht="15.75" thickTop="1">
      <c r="A57" s="670"/>
      <c r="B57" s="936">
        <f>B11</f>
        <v>111</v>
      </c>
      <c r="C57" s="542"/>
      <c r="D57" s="542"/>
      <c r="E57" s="542"/>
      <c r="F57" s="542"/>
      <c r="G57" s="542"/>
      <c r="H57" s="542"/>
      <c r="I57" s="542"/>
      <c r="J57" s="542"/>
      <c r="K57" s="685"/>
      <c r="L57" s="686"/>
      <c r="M57" s="687"/>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93"/>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s="1340" customFormat="1" ht="15.75" thickTop="1">
      <c r="A59" s="688"/>
      <c r="B59" s="674">
        <f>B12</f>
        <v>111</v>
      </c>
      <c r="C59" s="542"/>
      <c r="D59" s="542"/>
      <c r="E59" s="542"/>
      <c r="F59" s="542"/>
      <c r="G59" s="689"/>
      <c r="H59" s="690"/>
      <c r="I59" s="690"/>
      <c r="J59" s="690"/>
      <c r="K59" s="690"/>
      <c r="L59" s="691"/>
      <c r="M59" s="692"/>
      <c r="N59" s="2167"/>
      <c r="O59" s="2167"/>
      <c r="P59" s="2168"/>
      <c r="Q59" s="2169"/>
      <c r="R59" s="2170"/>
      <c r="S59" s="2170"/>
      <c r="T59" s="2170"/>
      <c r="U59" s="2170"/>
      <c r="V59" s="2170"/>
      <c r="W59" s="2170"/>
      <c r="X59" s="2170"/>
      <c r="Y59" s="2170"/>
      <c r="Z59" s="2170"/>
      <c r="AA59" s="2170"/>
      <c r="AB59" s="2170"/>
      <c r="AC59" s="2170"/>
    </row>
    <row r="60" spans="1:29" s="1340" customFormat="1" ht="15.75" thickBot="1">
      <c r="A60" s="688"/>
      <c r="B60" s="679"/>
      <c r="C60" s="693"/>
      <c r="D60" s="672"/>
      <c r="E60" s="672"/>
      <c r="F60" s="672"/>
      <c r="G60" s="672"/>
      <c r="H60" s="672"/>
      <c r="I60" s="672"/>
      <c r="J60" s="672"/>
      <c r="K60" s="672"/>
      <c r="L60" s="672"/>
      <c r="M60" s="673"/>
      <c r="N60" s="2166"/>
      <c r="O60" s="2166"/>
      <c r="P60" s="2168"/>
      <c r="Q60" s="2169"/>
      <c r="R60" s="2170"/>
      <c r="S60" s="2170"/>
      <c r="T60" s="2170"/>
      <c r="U60" s="2170"/>
      <c r="V60" s="2170"/>
      <c r="W60" s="2170"/>
      <c r="X60" s="2170"/>
      <c r="Y60" s="2170"/>
      <c r="Z60" s="2170"/>
      <c r="AA60" s="2170"/>
      <c r="AB60" s="2170"/>
      <c r="AC60" s="2170"/>
    </row>
    <row r="61" spans="1:29" s="1340" customFormat="1" ht="15.75" thickTop="1">
      <c r="A61" s="688"/>
      <c r="B61" s="674">
        <f>B13</f>
        <v>111</v>
      </c>
      <c r="C61" s="689"/>
      <c r="D61" s="689"/>
      <c r="E61" s="689"/>
      <c r="F61" s="689"/>
      <c r="G61" s="689"/>
      <c r="H61" s="690"/>
      <c r="I61" s="690"/>
      <c r="J61" s="690"/>
      <c r="K61" s="690"/>
      <c r="L61" s="691"/>
      <c r="M61" s="692"/>
      <c r="N61" s="2167"/>
      <c r="O61" s="2167"/>
      <c r="P61" s="2171"/>
      <c r="Q61" s="2172"/>
      <c r="R61" s="2170"/>
      <c r="S61" s="2170"/>
      <c r="T61" s="2170"/>
      <c r="U61" s="2170"/>
      <c r="V61" s="2170"/>
      <c r="W61" s="2170"/>
      <c r="X61" s="2170"/>
      <c r="Y61" s="2170"/>
      <c r="Z61" s="2170"/>
      <c r="AA61" s="2170"/>
      <c r="AB61" s="2170"/>
      <c r="AC61" s="2170"/>
    </row>
    <row r="62" spans="1:29" s="1340" customFormat="1" ht="15.75" thickBot="1">
      <c r="A62" s="688"/>
      <c r="B62" s="679"/>
      <c r="C62" s="693"/>
      <c r="D62" s="693"/>
      <c r="E62" s="693"/>
      <c r="F62" s="693"/>
      <c r="G62" s="693"/>
      <c r="H62" s="694"/>
      <c r="I62" s="694"/>
      <c r="J62" s="694"/>
      <c r="K62" s="694"/>
      <c r="L62" s="694"/>
      <c r="M62" s="695"/>
      <c r="N62" s="2167"/>
      <c r="O62" s="2167"/>
      <c r="P62" s="2168"/>
      <c r="Q62" s="2169"/>
      <c r="R62" s="2170"/>
      <c r="S62" s="2170"/>
      <c r="T62" s="2170"/>
      <c r="U62" s="2170"/>
      <c r="V62" s="2170"/>
      <c r="W62" s="2170"/>
      <c r="X62" s="2170"/>
      <c r="Y62" s="2170"/>
      <c r="Z62" s="2170"/>
      <c r="AA62" s="2170"/>
      <c r="AB62" s="2170"/>
      <c r="AC62" s="2170"/>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4"/>
      <c r="O63" s="2164"/>
      <c r="P63" s="2174"/>
      <c r="Q63" s="2158"/>
      <c r="R63" s="2145"/>
      <c r="S63" s="2145"/>
      <c r="T63" s="2145"/>
      <c r="U63" s="2145"/>
      <c r="V63" s="2145"/>
      <c r="W63" s="2145"/>
      <c r="X63" s="2145"/>
      <c r="Y63" s="2145"/>
      <c r="Z63" s="2145"/>
      <c r="AA63" s="2145"/>
      <c r="AB63" s="2145"/>
      <c r="AC63" s="2145"/>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1896" t="s">
        <v>2561</v>
      </c>
      <c r="C65" s="709" t="s">
        <v>580</v>
      </c>
      <c r="D65" s="709" t="s">
        <v>581</v>
      </c>
      <c r="E65" s="709" t="s">
        <v>582</v>
      </c>
      <c r="F65" s="709" t="s">
        <v>583</v>
      </c>
      <c r="G65" s="709" t="s">
        <v>584</v>
      </c>
      <c r="H65" s="675"/>
      <c r="I65" s="675"/>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2621" t="s">
        <v>2562</v>
      </c>
      <c r="C67" s="2622" t="s">
        <v>2563</v>
      </c>
      <c r="D67" s="2622" t="s">
        <v>2564</v>
      </c>
      <c r="E67" s="2622" t="s">
        <v>2565</v>
      </c>
      <c r="F67" s="2622" t="s">
        <v>2566</v>
      </c>
      <c r="G67" s="2622" t="s">
        <v>2567</v>
      </c>
      <c r="H67" s="675"/>
      <c r="I67" s="675"/>
      <c r="J67" s="675"/>
      <c r="K67" s="675"/>
      <c r="L67" s="675"/>
      <c r="M67" s="2625"/>
      <c r="N67" s="2166"/>
      <c r="O67" s="2166"/>
      <c r="P67" s="2165"/>
      <c r="Q67" s="2158"/>
      <c r="R67" s="2145"/>
      <c r="S67" s="2145"/>
      <c r="T67" s="2145"/>
      <c r="U67" s="2145"/>
      <c r="V67" s="2145"/>
      <c r="W67" s="2145"/>
      <c r="X67" s="2145"/>
      <c r="Y67" s="2145"/>
      <c r="Z67" s="2145"/>
      <c r="AA67" s="2145"/>
      <c r="AB67" s="2145"/>
      <c r="AC67" s="2145"/>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745</v>
      </c>
      <c r="C69" s="709" t="s">
        <v>580</v>
      </c>
      <c r="D69" s="709" t="s">
        <v>581</v>
      </c>
      <c r="E69" s="709" t="s">
        <v>582</v>
      </c>
      <c r="F69" s="709" t="s">
        <v>583</v>
      </c>
      <c r="G69" s="709" t="s">
        <v>584</v>
      </c>
      <c r="H69" s="675"/>
      <c r="I69" s="675"/>
      <c r="J69" s="675"/>
      <c r="K69" s="676"/>
      <c r="L69" s="677"/>
      <c r="M69" s="678"/>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ht="15.75" thickTop="1">
      <c r="A71" s="670"/>
      <c r="B71" s="674" t="s">
        <v>746</v>
      </c>
      <c r="C71" s="689"/>
      <c r="D71" s="689"/>
      <c r="E71" s="689"/>
      <c r="F71" s="689"/>
      <c r="G71" s="689"/>
      <c r="H71" s="719"/>
      <c r="I71" s="719"/>
      <c r="J71" s="719"/>
      <c r="K71" s="720"/>
      <c r="L71" s="721"/>
      <c r="M71" s="722"/>
      <c r="N71" s="2164"/>
      <c r="O71" s="2164"/>
      <c r="P71" s="2165"/>
      <c r="Q71" s="2158"/>
      <c r="R71" s="2145"/>
      <c r="S71" s="2145"/>
      <c r="T71" s="2145"/>
      <c r="U71" s="2145"/>
      <c r="V71" s="2145"/>
      <c r="W71" s="2145"/>
      <c r="X71" s="2145"/>
      <c r="Y71" s="2145"/>
      <c r="Z71" s="2145"/>
      <c r="AA71" s="2145"/>
      <c r="AB71" s="2145"/>
      <c r="AC71" s="2145"/>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6"/>
      <c r="O72" s="2166"/>
      <c r="P72" s="2165"/>
      <c r="Q72" s="2158"/>
      <c r="R72" s="2145"/>
      <c r="S72" s="2145"/>
      <c r="T72" s="2145"/>
      <c r="U72" s="2145"/>
      <c r="V72" s="2145"/>
      <c r="W72" s="2145"/>
      <c r="X72" s="2145"/>
      <c r="Y72" s="2145"/>
      <c r="Z72" s="2145"/>
      <c r="AA72" s="2145"/>
      <c r="AB72" s="2145"/>
      <c r="AC72" s="2145"/>
    </row>
    <row r="73" spans="1:29" s="1221" customFormat="1" ht="15.75" thickTop="1">
      <c r="A73" s="710"/>
      <c r="B73" s="674">
        <f>B23</f>
        <v>111</v>
      </c>
      <c r="C73" s="542"/>
      <c r="D73" s="542"/>
      <c r="E73" s="542"/>
      <c r="F73" s="542"/>
      <c r="G73" s="689"/>
      <c r="H73" s="689"/>
      <c r="I73" s="689"/>
      <c r="J73" s="689"/>
      <c r="K73" s="689"/>
      <c r="L73" s="891"/>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221" customFormat="1" ht="15.75" thickTop="1">
      <c r="A75" s="710"/>
      <c r="B75" s="674">
        <f>B24</f>
        <v>111</v>
      </c>
      <c r="C75" s="542"/>
      <c r="D75" s="542"/>
      <c r="E75" s="542"/>
      <c r="F75" s="542"/>
      <c r="G75" s="689"/>
      <c r="H75" s="689"/>
      <c r="I75" s="689"/>
      <c r="J75" s="689"/>
      <c r="K75" s="689"/>
      <c r="L75" s="689"/>
      <c r="M75" s="892"/>
      <c r="N75" s="2162"/>
      <c r="O75" s="2162"/>
      <c r="P75" s="2165"/>
      <c r="Q75" s="2158"/>
      <c r="R75" s="1993"/>
      <c r="S75" s="1993"/>
      <c r="T75" s="1993"/>
      <c r="U75" s="1993"/>
      <c r="V75" s="1993"/>
      <c r="W75" s="1993"/>
      <c r="X75" s="1993"/>
      <c r="Y75" s="1993"/>
      <c r="Z75" s="1993"/>
      <c r="AA75" s="1993"/>
      <c r="AB75" s="1993"/>
      <c r="AC75" s="1993"/>
    </row>
    <row r="76" spans="1:29" s="1221" customFormat="1" ht="15.75" thickBot="1">
      <c r="A76" s="710"/>
      <c r="B76" s="679"/>
      <c r="C76" s="693"/>
      <c r="D76" s="672"/>
      <c r="E76" s="672"/>
      <c r="F76" s="672"/>
      <c r="G76" s="672"/>
      <c r="H76" s="672"/>
      <c r="I76" s="672"/>
      <c r="J76" s="672"/>
      <c r="K76" s="672"/>
      <c r="L76" s="672"/>
      <c r="M76" s="673"/>
      <c r="N76" s="2166"/>
      <c r="O76" s="2166"/>
      <c r="P76" s="2165"/>
      <c r="Q76" s="2158"/>
      <c r="R76" s="1993"/>
      <c r="S76" s="1993"/>
      <c r="T76" s="1993"/>
      <c r="U76" s="1993"/>
      <c r="V76" s="1993"/>
      <c r="W76" s="1993"/>
      <c r="X76" s="1993"/>
      <c r="Y76" s="1993"/>
      <c r="Z76" s="1993"/>
      <c r="AA76" s="1993"/>
      <c r="AB76" s="1993"/>
      <c r="AC76" s="1993"/>
    </row>
    <row r="77" spans="1:29" s="1340" customFormat="1" ht="15.75" thickTop="1">
      <c r="A77" s="688"/>
      <c r="B77" s="674">
        <f>B25</f>
        <v>111</v>
      </c>
      <c r="C77" s="689"/>
      <c r="D77" s="689"/>
      <c r="E77" s="689"/>
      <c r="F77" s="689"/>
      <c r="G77" s="689"/>
      <c r="H77" s="690"/>
      <c r="I77" s="690"/>
      <c r="J77" s="690"/>
      <c r="K77" s="690"/>
      <c r="L77" s="691"/>
      <c r="M77" s="692"/>
      <c r="N77" s="2167"/>
      <c r="O77" s="2167"/>
      <c r="P77" s="2168"/>
      <c r="Q77" s="2169"/>
      <c r="R77" s="2170"/>
      <c r="S77" s="2170"/>
      <c r="T77" s="2170"/>
      <c r="U77" s="2170"/>
      <c r="V77" s="2170"/>
      <c r="W77" s="2170"/>
      <c r="X77" s="2170"/>
      <c r="Y77" s="2170"/>
      <c r="Z77" s="2170"/>
      <c r="AA77" s="2170"/>
      <c r="AB77" s="2170"/>
      <c r="AC77" s="2170"/>
    </row>
    <row r="78" spans="1:29" s="1340" customFormat="1" ht="15.75" thickBot="1">
      <c r="A78" s="688"/>
      <c r="B78" s="679"/>
      <c r="C78" s="693"/>
      <c r="D78" s="693"/>
      <c r="E78" s="693"/>
      <c r="F78" s="693"/>
      <c r="G78" s="672"/>
      <c r="H78" s="672"/>
      <c r="I78" s="672"/>
      <c r="J78" s="672"/>
      <c r="K78" s="672"/>
      <c r="L78" s="672"/>
      <c r="M78" s="673"/>
      <c r="N78" s="2167"/>
      <c r="O78" s="2167"/>
      <c r="P78" s="2168"/>
      <c r="Q78" s="2169"/>
      <c r="R78" s="2170"/>
      <c r="S78" s="2170"/>
      <c r="T78" s="2170"/>
      <c r="U78" s="2170"/>
      <c r="V78" s="2170"/>
      <c r="W78" s="2170"/>
      <c r="X78" s="2170"/>
      <c r="Y78" s="2170"/>
      <c r="Z78" s="2170"/>
      <c r="AA78" s="2170"/>
      <c r="AB78" s="2170"/>
      <c r="AC78" s="2170"/>
    </row>
    <row r="79" spans="1:29" ht="27.75" thickTop="1">
      <c r="A79" s="665" t="s">
        <v>552</v>
      </c>
      <c r="B79" s="666" t="s">
        <v>815</v>
      </c>
      <c r="C79" s="705">
        <f>C26</f>
        <v>0</v>
      </c>
      <c r="D79" s="599"/>
      <c r="E79" s="599"/>
      <c r="F79" s="599"/>
      <c r="G79" s="599"/>
      <c r="H79" s="599"/>
      <c r="I79" s="599"/>
      <c r="J79" s="599"/>
      <c r="K79" s="667"/>
      <c r="L79" s="668"/>
      <c r="M79" s="669"/>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0"/>
      <c r="B81" s="674" t="s">
        <v>816</v>
      </c>
      <c r="C81" s="937"/>
      <c r="D81" s="937"/>
      <c r="E81" s="937"/>
      <c r="F81" s="937"/>
      <c r="G81" s="937"/>
      <c r="H81" s="937"/>
      <c r="I81" s="937"/>
      <c r="J81" s="937"/>
      <c r="K81" s="938"/>
      <c r="L81" s="939"/>
      <c r="M81" s="940"/>
      <c r="N81" s="2162"/>
      <c r="O81" s="2162"/>
      <c r="P81" s="2165"/>
      <c r="Q81" s="2158"/>
      <c r="R81" s="2145"/>
      <c r="S81" s="2145"/>
      <c r="T81" s="2145"/>
      <c r="U81" s="2145"/>
      <c r="V81" s="2145"/>
      <c r="W81" s="2145"/>
      <c r="X81" s="2145"/>
      <c r="Y81" s="2145"/>
      <c r="Z81" s="2145"/>
      <c r="AA81" s="2145"/>
      <c r="AB81" s="2145"/>
      <c r="AC81" s="2145"/>
    </row>
    <row r="82" spans="1:29" s="1340" customFormat="1" ht="15.75" thickBot="1">
      <c r="A82" s="688"/>
      <c r="B82" s="679"/>
      <c r="C82" s="693"/>
      <c r="D82" s="672"/>
      <c r="E82" s="672"/>
      <c r="F82" s="672"/>
      <c r="G82" s="672"/>
      <c r="H82" s="672"/>
      <c r="I82" s="672"/>
      <c r="J82" s="672"/>
      <c r="K82" s="672"/>
      <c r="L82" s="672"/>
      <c r="M82" s="673"/>
      <c r="N82" s="2166"/>
      <c r="O82" s="2166"/>
      <c r="P82" s="2168"/>
      <c r="Q82" s="2169"/>
      <c r="R82" s="2170"/>
      <c r="S82" s="2170"/>
      <c r="T82" s="2170"/>
      <c r="U82" s="2170"/>
      <c r="V82" s="2170"/>
      <c r="W82" s="2170"/>
      <c r="X82" s="2170"/>
      <c r="Y82" s="2170"/>
      <c r="Z82" s="2170"/>
      <c r="AA82" s="2170"/>
      <c r="AB82" s="2170"/>
      <c r="AC82" s="2170"/>
    </row>
    <row r="83" spans="1:29" ht="15" thickTop="1">
      <c r="A83" s="736"/>
      <c r="B83" s="674" t="s">
        <v>752</v>
      </c>
      <c r="C83" s="689"/>
      <c r="D83" s="689"/>
      <c r="E83" s="719"/>
      <c r="F83" s="719"/>
      <c r="G83" s="719"/>
      <c r="H83" s="719"/>
      <c r="I83" s="719"/>
      <c r="J83" s="719"/>
      <c r="K83" s="720"/>
      <c r="L83" s="721"/>
      <c r="M83" s="722"/>
      <c r="N83" s="2164"/>
      <c r="O83" s="2164"/>
      <c r="P83" s="2165"/>
      <c r="Q83" s="2158"/>
      <c r="R83" s="2145"/>
      <c r="S83" s="2145"/>
      <c r="T83" s="2145"/>
      <c r="U83" s="2145"/>
      <c r="V83" s="2145"/>
      <c r="W83" s="2145"/>
      <c r="X83" s="2145"/>
      <c r="Y83" s="2145"/>
      <c r="Z83" s="2145"/>
      <c r="AA83" s="2145"/>
      <c r="AB83" s="2145"/>
      <c r="AC83" s="2145"/>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4"/>
      <c r="O85" s="2164"/>
      <c r="P85" s="2165"/>
      <c r="Q85" s="2158"/>
      <c r="R85" s="2145"/>
      <c r="S85" s="2145"/>
      <c r="T85" s="2145"/>
      <c r="U85" s="2145"/>
      <c r="V85" s="2145"/>
      <c r="W85" s="2145"/>
      <c r="X85" s="2145"/>
      <c r="Y85" s="2145"/>
      <c r="Z85" s="2145"/>
      <c r="AA85" s="2145"/>
      <c r="AB85" s="2145"/>
      <c r="AC85" s="2145"/>
    </row>
    <row r="86" spans="1:29">
      <c r="A86" s="736"/>
      <c r="B86" s="682"/>
      <c r="C86" s="895">
        <v>0.5</v>
      </c>
      <c r="D86" s="895">
        <v>0.6</v>
      </c>
      <c r="E86" s="895">
        <v>0.7</v>
      </c>
      <c r="F86" s="895">
        <v>0.8</v>
      </c>
      <c r="G86" s="895">
        <v>0.9</v>
      </c>
      <c r="H86" s="895">
        <v>1.0001</v>
      </c>
      <c r="I86" s="906"/>
      <c r="J86" s="906"/>
      <c r="K86" s="907"/>
      <c r="L86" s="908"/>
      <c r="M86" s="909"/>
      <c r="N86" s="2164"/>
      <c r="O86" s="2164"/>
      <c r="P86" s="2165"/>
      <c r="Q86" s="2158"/>
      <c r="R86" s="2145"/>
      <c r="S86" s="2145"/>
      <c r="T86" s="2145"/>
      <c r="U86" s="2145"/>
      <c r="V86" s="2145"/>
      <c r="W86" s="2145"/>
      <c r="X86" s="2145"/>
      <c r="Y86" s="2145"/>
      <c r="Z86" s="2145"/>
      <c r="AA86" s="2145"/>
      <c r="AB86" s="2145"/>
      <c r="AC86" s="2145"/>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6"/>
      <c r="B88" s="682" t="s">
        <v>818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6"/>
      <c r="O89" s="2166"/>
      <c r="P89" s="2165"/>
      <c r="Q89" s="2158"/>
      <c r="R89" s="2145"/>
      <c r="S89" s="2145"/>
      <c r="T89" s="2145"/>
      <c r="U89" s="2145"/>
      <c r="V89" s="2145"/>
      <c r="W89" s="2145"/>
      <c r="X89" s="2145"/>
      <c r="Y89" s="2145"/>
      <c r="Z89" s="2145"/>
      <c r="AA89" s="2145"/>
      <c r="AB89" s="2145"/>
      <c r="AC89" s="2145"/>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7"/>
      <c r="O90" s="2167"/>
      <c r="P90" s="2168"/>
      <c r="Q90" s="2169"/>
      <c r="R90" s="2170"/>
      <c r="S90" s="2170"/>
      <c r="T90" s="2170"/>
      <c r="U90" s="2170"/>
      <c r="V90" s="2170"/>
      <c r="W90" s="2170"/>
      <c r="X90" s="2170"/>
      <c r="Y90" s="2170"/>
      <c r="Z90" s="2170"/>
      <c r="AA90" s="2170"/>
      <c r="AB90" s="2170"/>
      <c r="AC90" s="2170"/>
    </row>
    <row r="91" spans="1:29" s="1340" customFormat="1">
      <c r="A91" s="729"/>
      <c r="B91" s="682"/>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7"/>
      <c r="O92" s="2167"/>
      <c r="P92" s="2168"/>
      <c r="Q92" s="2169"/>
      <c r="R92" s="2170"/>
      <c r="S92" s="2170"/>
      <c r="T92" s="2170"/>
      <c r="U92" s="2170"/>
      <c r="V92" s="2170"/>
      <c r="W92" s="2170"/>
      <c r="X92" s="2170"/>
      <c r="Y92" s="2170"/>
      <c r="Z92" s="2170"/>
      <c r="AA92" s="2170"/>
      <c r="AB92" s="2170"/>
      <c r="AC92" s="2170"/>
    </row>
    <row r="93" spans="1:29" ht="15" thickTop="1">
      <c r="A93" s="736"/>
      <c r="B93" s="674" t="s">
        <v>820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821</v>
      </c>
      <c r="C95" s="599"/>
      <c r="D95" s="599"/>
      <c r="E95" s="599"/>
      <c r="F95" s="599"/>
      <c r="G95" s="599"/>
      <c r="H95" s="599"/>
      <c r="I95" s="599"/>
      <c r="J95" s="599"/>
      <c r="K95" s="667"/>
      <c r="L95" s="668"/>
      <c r="M95" s="669"/>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6"/>
      <c r="O96" s="2166"/>
      <c r="P96" s="2165"/>
      <c r="Q96" s="2158"/>
      <c r="R96" s="2145"/>
      <c r="S96" s="2145"/>
      <c r="T96" s="2145"/>
      <c r="U96" s="2145"/>
      <c r="V96" s="2145"/>
      <c r="W96" s="2145"/>
      <c r="X96" s="2145"/>
      <c r="Y96" s="2145"/>
      <c r="Z96" s="2145"/>
      <c r="AA96" s="2145"/>
      <c r="AB96" s="2145"/>
      <c r="AC96" s="2145"/>
    </row>
    <row r="97" spans="1:29" ht="15" thickTop="1">
      <c r="A97" s="736"/>
      <c r="B97" s="918">
        <f>B34</f>
        <v>111</v>
      </c>
      <c r="C97" s="542"/>
      <c r="D97" s="542"/>
      <c r="E97" s="542"/>
      <c r="F97" s="542"/>
      <c r="G97" s="689"/>
      <c r="H97" s="690"/>
      <c r="I97" s="690"/>
      <c r="J97" s="690"/>
      <c r="K97" s="690"/>
      <c r="L97" s="691"/>
      <c r="M97" s="692"/>
      <c r="N97" s="2166"/>
      <c r="O97" s="2166"/>
      <c r="P97" s="2205"/>
      <c r="Q97" s="2206"/>
      <c r="R97" s="2145"/>
      <c r="S97" s="2145"/>
      <c r="T97" s="2145"/>
      <c r="U97" s="2145"/>
      <c r="V97" s="2145"/>
      <c r="W97" s="2145"/>
      <c r="X97" s="2145"/>
      <c r="Y97" s="2145"/>
      <c r="Z97" s="2145"/>
      <c r="AA97" s="2145"/>
      <c r="AB97" s="2145"/>
      <c r="AC97" s="2145"/>
    </row>
    <row r="98" spans="1:29" ht="15.75" thickBot="1">
      <c r="A98" s="670"/>
      <c r="B98" s="679"/>
      <c r="C98" s="693"/>
      <c r="D98" s="672"/>
      <c r="E98" s="672"/>
      <c r="F98" s="672"/>
      <c r="G98" s="693"/>
      <c r="H98" s="694"/>
      <c r="I98" s="694"/>
      <c r="J98" s="694"/>
      <c r="K98" s="694"/>
      <c r="L98" s="694"/>
      <c r="M98" s="695"/>
      <c r="N98" s="2166"/>
      <c r="O98" s="2166"/>
      <c r="P98" s="2165"/>
      <c r="Q98" s="2158"/>
      <c r="R98" s="2145"/>
      <c r="S98" s="2145"/>
      <c r="T98" s="2145"/>
      <c r="U98" s="2145"/>
      <c r="V98" s="2145"/>
      <c r="W98" s="2145"/>
      <c r="X98" s="2145"/>
      <c r="Y98" s="2145"/>
      <c r="Z98" s="2145"/>
      <c r="AA98" s="2145"/>
      <c r="AB98" s="2145"/>
      <c r="AC98" s="2145"/>
    </row>
    <row r="99" spans="1:29" s="1340" customFormat="1" ht="15" thickTop="1">
      <c r="A99" s="729"/>
      <c r="B99" s="674">
        <f>B35</f>
        <v>111</v>
      </c>
      <c r="C99" s="542"/>
      <c r="D99" s="542"/>
      <c r="E99" s="542"/>
      <c r="F99" s="542"/>
      <c r="G99" s="689"/>
      <c r="H99" s="690"/>
      <c r="I99" s="690"/>
      <c r="J99" s="690"/>
      <c r="K99" s="690"/>
      <c r="L99" s="691"/>
      <c r="M99" s="692"/>
      <c r="N99" s="2167"/>
      <c r="O99" s="2167"/>
      <c r="P99" s="2168"/>
      <c r="Q99" s="2169"/>
      <c r="R99" s="2170"/>
      <c r="S99" s="2170"/>
      <c r="T99" s="2170"/>
      <c r="U99" s="2170"/>
      <c r="V99" s="2170"/>
      <c r="W99" s="2170"/>
      <c r="X99" s="2170"/>
      <c r="Y99" s="2170"/>
      <c r="Z99" s="2170"/>
      <c r="AA99" s="2170"/>
      <c r="AB99" s="2170"/>
      <c r="AC99" s="2170"/>
    </row>
    <row r="100" spans="1:29" s="1340" customFormat="1" ht="15.75" thickBot="1">
      <c r="A100" s="688"/>
      <c r="B100" s="671"/>
      <c r="C100" s="693"/>
      <c r="D100" s="672"/>
      <c r="E100" s="672"/>
      <c r="F100" s="672"/>
      <c r="G100" s="693"/>
      <c r="H100" s="694"/>
      <c r="I100" s="694"/>
      <c r="J100" s="694"/>
      <c r="K100" s="694"/>
      <c r="L100" s="694"/>
      <c r="M100" s="695"/>
      <c r="N100" s="2167"/>
      <c r="O100" s="2167"/>
      <c r="P100" s="2168"/>
      <c r="Q100" s="2169"/>
      <c r="R100" s="2170"/>
      <c r="S100" s="2170"/>
      <c r="T100" s="2170"/>
      <c r="U100" s="2170"/>
      <c r="V100" s="2170"/>
      <c r="W100" s="2170"/>
      <c r="X100" s="2170"/>
      <c r="Y100" s="2170"/>
      <c r="Z100" s="2170"/>
      <c r="AA100" s="2170"/>
      <c r="AB100" s="2170"/>
      <c r="AC100" s="2170"/>
    </row>
    <row r="101" spans="1:29" ht="15" thickTop="1">
      <c r="A101" s="736"/>
      <c r="B101" s="674">
        <f>B36</f>
        <v>111</v>
      </c>
      <c r="C101" s="689"/>
      <c r="D101" s="689"/>
      <c r="E101" s="689"/>
      <c r="F101" s="689"/>
      <c r="G101" s="689"/>
      <c r="H101" s="690"/>
      <c r="I101" s="690"/>
      <c r="J101" s="690"/>
      <c r="K101" s="690"/>
      <c r="L101" s="691"/>
      <c r="M101" s="69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93"/>
      <c r="D102" s="693"/>
      <c r="E102" s="693"/>
      <c r="F102" s="693"/>
      <c r="G102" s="693"/>
      <c r="H102" s="694"/>
      <c r="I102" s="694"/>
      <c r="J102" s="694"/>
      <c r="K102" s="694"/>
      <c r="L102" s="694"/>
      <c r="M102" s="695"/>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15" t="s">
        <v>799</v>
      </c>
      <c r="D4" s="3416"/>
      <c r="E4" s="3449" t="s">
        <v>800</v>
      </c>
      <c r="F4" s="3450"/>
      <c r="G4" s="3415" t="s">
        <v>801</v>
      </c>
      <c r="H4" s="3416"/>
      <c r="I4" s="3415" t="s">
        <v>802</v>
      </c>
      <c r="J4" s="3416"/>
      <c r="K4" s="515" t="s">
        <v>803</v>
      </c>
      <c r="L4" s="2133"/>
      <c r="M4" s="2134"/>
      <c r="N4" s="2134"/>
      <c r="O4" s="2134"/>
      <c r="P4" s="3417" t="s">
        <v>804</v>
      </c>
      <c r="Q4" s="3418"/>
      <c r="R4" s="3423" t="s">
        <v>800</v>
      </c>
      <c r="S4" s="3424"/>
      <c r="T4" s="3423" t="s">
        <v>801</v>
      </c>
      <c r="U4" s="3424"/>
      <c r="V4" s="3410" t="s">
        <v>802</v>
      </c>
      <c r="W4" s="3410"/>
      <c r="X4" s="1568"/>
      <c r="Y4" s="3423" t="s">
        <v>804</v>
      </c>
      <c r="Z4" s="3424"/>
      <c r="AA4" s="3412" t="s">
        <v>800</v>
      </c>
      <c r="AB4" s="3413" t="s">
        <v>801</v>
      </c>
      <c r="AC4" s="3412" t="s">
        <v>802</v>
      </c>
    </row>
    <row r="5" spans="1:29" ht="15">
      <c r="A5" s="516"/>
      <c r="B5" s="517"/>
      <c r="C5" s="3431" t="s">
        <v>2928</v>
      </c>
      <c r="D5" s="3432"/>
      <c r="E5" s="3451" t="s">
        <v>2929</v>
      </c>
      <c r="F5" s="3452"/>
      <c r="G5" s="3431" t="s">
        <v>2930</v>
      </c>
      <c r="H5" s="3432"/>
      <c r="I5" s="3431" t="s">
        <v>2931</v>
      </c>
      <c r="J5" s="3432"/>
      <c r="K5" s="515"/>
      <c r="L5" s="2133"/>
      <c r="M5" s="2134"/>
      <c r="N5" s="2134"/>
      <c r="O5" s="2134"/>
      <c r="P5" s="3419"/>
      <c r="Q5" s="3420"/>
      <c r="R5" s="3425"/>
      <c r="S5" s="3426"/>
      <c r="T5" s="3425"/>
      <c r="U5" s="3426"/>
      <c r="V5" s="3410"/>
      <c r="W5" s="3410"/>
      <c r="X5" s="1568"/>
      <c r="Y5" s="3425"/>
      <c r="Z5" s="3426"/>
      <c r="AA5" s="3413"/>
      <c r="AB5" s="3413"/>
      <c r="AC5" s="3413"/>
    </row>
    <row r="6" spans="1:29" ht="15.75" thickBot="1">
      <c r="A6" s="518"/>
      <c r="B6" s="519"/>
      <c r="C6" s="3429" t="s">
        <v>2932</v>
      </c>
      <c r="D6" s="3430"/>
      <c r="E6" s="3447" t="s">
        <v>2932</v>
      </c>
      <c r="F6" s="3448"/>
      <c r="G6" s="3429" t="s">
        <v>2932</v>
      </c>
      <c r="H6" s="3430"/>
      <c r="I6" s="3429" t="s">
        <v>2932</v>
      </c>
      <c r="J6" s="3430"/>
      <c r="K6" s="515" t="s">
        <v>529</v>
      </c>
      <c r="L6" s="2133"/>
      <c r="M6" s="2134"/>
      <c r="N6" s="2134"/>
      <c r="O6" s="2134"/>
      <c r="P6" s="3421"/>
      <c r="Q6" s="3422"/>
      <c r="R6" s="3425"/>
      <c r="S6" s="3426"/>
      <c r="T6" s="3427"/>
      <c r="U6" s="3428"/>
      <c r="V6" s="3410"/>
      <c r="W6" s="3410"/>
      <c r="X6" s="1568"/>
      <c r="Y6" s="3427"/>
      <c r="Z6" s="3428"/>
      <c r="AA6" s="3414"/>
      <c r="AB6" s="3414"/>
      <c r="AC6" s="3414"/>
    </row>
    <row r="7" spans="1:29" s="1221" customFormat="1" ht="15.75" thickBot="1">
      <c r="A7" s="2938"/>
      <c r="B7" s="2945" t="s">
        <v>530</v>
      </c>
      <c r="C7" s="520">
        <f>'数据-取费表'!B2</f>
        <v>43089</v>
      </c>
      <c r="D7" s="521">
        <v>100</v>
      </c>
      <c r="E7" s="522"/>
      <c r="F7" s="523">
        <f>SUMIF(46:46,YEAR(E7)&amp;"-"&amp;MONTH(E7),47:47)</f>
        <v>0</v>
      </c>
      <c r="G7" s="524"/>
      <c r="H7" s="521">
        <f>SUMIF(46:46,YEAR(G7)&amp;"-"&amp;MONTH(G7),47:47)</f>
        <v>0</v>
      </c>
      <c r="I7" s="524"/>
      <c r="J7" s="521">
        <f>SUMIF(46:46,YEAR(I7)&amp;"-"&amp;MONTH(I7),47:47)</f>
        <v>0</v>
      </c>
      <c r="K7" s="525"/>
      <c r="L7" s="2135"/>
      <c r="M7" s="2136"/>
      <c r="N7" s="2136"/>
      <c r="O7" s="2136"/>
      <c r="P7" s="3440" t="s">
        <v>531</v>
      </c>
      <c r="Q7" s="3442"/>
      <c r="R7" s="1569" t="s">
        <v>8</v>
      </c>
      <c r="S7" s="1570">
        <f t="shared" ref="S7:S14" si="0">F7</f>
        <v>0</v>
      </c>
      <c r="T7" s="1569" t="s">
        <v>8</v>
      </c>
      <c r="U7" s="1570">
        <f t="shared" ref="U7:U14" si="1">H7</f>
        <v>0</v>
      </c>
      <c r="V7" s="1569" t="s">
        <v>8</v>
      </c>
      <c r="W7" s="1570">
        <f t="shared" ref="W7:W14" si="2">J7</f>
        <v>0</v>
      </c>
      <c r="X7" s="1571"/>
      <c r="Y7" s="3440" t="s">
        <v>531</v>
      </c>
      <c r="Z7" s="3441"/>
      <c r="AA7" s="1572" t="e">
        <f>D7/F7</f>
        <v>#DIV/0!</v>
      </c>
      <c r="AB7" s="1572" t="e">
        <f>D7/H7</f>
        <v>#DIV/0!</v>
      </c>
      <c r="AC7" s="1572" t="e">
        <f>D7/J7</f>
        <v>#DIV/0!</v>
      </c>
    </row>
    <row r="8" spans="1:29" s="1221" customFormat="1" ht="15.75" thickBot="1">
      <c r="A8" s="2939"/>
      <c r="B8" s="2946" t="s">
        <v>532</v>
      </c>
      <c r="C8" s="526" t="s">
        <v>577</v>
      </c>
      <c r="D8" s="521">
        <v>100</v>
      </c>
      <c r="E8" s="526"/>
      <c r="F8" s="523">
        <f>SUMIF(49:49,E8,50:50)-SUMIF(49:49,C8,50:50)+100</f>
        <v>0</v>
      </c>
      <c r="G8" s="526"/>
      <c r="H8" s="521">
        <f>SUMIF(49:49,G8,50:50)-SUMIF(49:49,C8,50:50)+100</f>
        <v>0</v>
      </c>
      <c r="I8" s="526"/>
      <c r="J8" s="521">
        <f>SUMIF(49:49,I8,50:50)-SUMIF(49:49,C8,50:50)+100</f>
        <v>0</v>
      </c>
      <c r="K8" s="525"/>
      <c r="L8" s="2135"/>
      <c r="M8" s="2136"/>
      <c r="N8" s="2136"/>
      <c r="O8" s="2136"/>
      <c r="P8" s="3440" t="s">
        <v>534</v>
      </c>
      <c r="Q8" s="3441"/>
      <c r="R8" s="1569" t="s">
        <v>8</v>
      </c>
      <c r="S8" s="1570">
        <f t="shared" si="0"/>
        <v>0</v>
      </c>
      <c r="T8" s="1569" t="s">
        <v>8</v>
      </c>
      <c r="U8" s="1570">
        <f t="shared" si="1"/>
        <v>0</v>
      </c>
      <c r="V8" s="1569" t="s">
        <v>8</v>
      </c>
      <c r="W8" s="1570">
        <f t="shared" si="2"/>
        <v>0</v>
      </c>
      <c r="X8" s="1571"/>
      <c r="Y8" s="3440" t="s">
        <v>534</v>
      </c>
      <c r="Z8" s="3441"/>
      <c r="AA8" s="1572" t="e">
        <f t="shared" ref="AA8:AA34" si="3">D8/F8</f>
        <v>#DIV/0!</v>
      </c>
      <c r="AB8" s="1572" t="e">
        <f t="shared" ref="AB8:AB34" si="4">D8/H8</f>
        <v>#DIV/0!</v>
      </c>
      <c r="AC8" s="1572" t="e">
        <f t="shared" ref="AC8:AC34" si="5">D8/J8</f>
        <v>#DIV/0!</v>
      </c>
    </row>
    <row r="9" spans="1:29" s="1221" customFormat="1" ht="15">
      <c r="A9" s="2940"/>
      <c r="B9" s="2947" t="s">
        <v>2762</v>
      </c>
      <c r="C9" s="858"/>
      <c r="D9" s="252">
        <v>100</v>
      </c>
      <c r="E9" s="861"/>
      <c r="F9" s="252">
        <f>SUMIF(51:51,E9,52:52)-SUMIF(51:51,C9,52:52)+100</f>
        <v>100</v>
      </c>
      <c r="G9" s="861"/>
      <c r="H9" s="252">
        <f>SUMIF(51:51,G9,52:52)-SUMIF(51:51,C9,52:52)+100</f>
        <v>100</v>
      </c>
      <c r="I9" s="861"/>
      <c r="J9" s="252">
        <f>SUMIF(51:51,I9,52:52)-SUMIF(51:51,C9,52:52)+100</f>
        <v>100</v>
      </c>
      <c r="K9" s="525"/>
      <c r="L9" s="2135"/>
      <c r="M9" s="2136"/>
      <c r="N9" s="2136"/>
      <c r="O9" s="2137"/>
      <c r="P9" s="3409" t="s">
        <v>536</v>
      </c>
      <c r="Q9" s="1152" t="str">
        <f t="shared" ref="Q9:Q14" si="6">B9</f>
        <v>用途</v>
      </c>
      <c r="R9" s="1569" t="s">
        <v>8</v>
      </c>
      <c r="S9" s="1570">
        <f t="shared" si="0"/>
        <v>100</v>
      </c>
      <c r="T9" s="1569" t="s">
        <v>8</v>
      </c>
      <c r="U9" s="1570">
        <f t="shared" si="1"/>
        <v>100</v>
      </c>
      <c r="V9" s="1569" t="s">
        <v>8</v>
      </c>
      <c r="W9" s="1570">
        <f t="shared" si="2"/>
        <v>100</v>
      </c>
      <c r="X9" s="1571"/>
      <c r="Y9" s="3355"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SUMIF(53:53,E10,54:54)-SUMIF(53:53,C10,54:54)+100</f>
        <v>100</v>
      </c>
      <c r="G10" s="863"/>
      <c r="H10" s="253">
        <f>SUMIF(53:53,G10,54:54)-SUMIF(53:53,C10,54:54)+100</f>
        <v>100</v>
      </c>
      <c r="I10" s="862"/>
      <c r="J10" s="253">
        <f>SUMIF(53:53,I10,54:54)-SUMIF(53:53,C10,54:54)+100</f>
        <v>100</v>
      </c>
      <c r="K10" s="585"/>
      <c r="L10" s="2138"/>
      <c r="M10" s="2178"/>
      <c r="N10" s="2178"/>
      <c r="O10" s="2139"/>
      <c r="P10" s="3409"/>
      <c r="Q10" s="1152" t="str">
        <f t="shared" si="6"/>
        <v>土地使用年限（年）</v>
      </c>
      <c r="R10" s="1569" t="s">
        <v>8</v>
      </c>
      <c r="S10" s="1570">
        <f t="shared" si="0"/>
        <v>100</v>
      </c>
      <c r="T10" s="1569" t="s">
        <v>8</v>
      </c>
      <c r="U10" s="1570">
        <f t="shared" si="1"/>
        <v>100</v>
      </c>
      <c r="V10" s="1569" t="s">
        <v>8</v>
      </c>
      <c r="W10" s="1570">
        <f t="shared" si="2"/>
        <v>100</v>
      </c>
      <c r="X10" s="1571"/>
      <c r="Y10" s="3355"/>
      <c r="Z10" s="1151" t="str">
        <f t="shared" si="7"/>
        <v>土地使用年限（年）</v>
      </c>
      <c r="AA10" s="1572">
        <f t="shared" si="3"/>
        <v>1</v>
      </c>
      <c r="AB10" s="1572">
        <f t="shared" si="4"/>
        <v>1</v>
      </c>
      <c r="AC10" s="1572">
        <f t="shared" si="5"/>
        <v>1</v>
      </c>
    </row>
    <row r="11" spans="1:29" ht="15">
      <c r="A11" s="2943"/>
      <c r="B11" s="2949">
        <v>111</v>
      </c>
      <c r="C11" s="529"/>
      <c r="D11" s="253">
        <v>100</v>
      </c>
      <c r="E11" s="881"/>
      <c r="F11" s="253">
        <f>SUMIF(55:55,E11,56:56)-SUMIF(55:55,C11,56:56)+100</f>
        <v>100</v>
      </c>
      <c r="G11" s="881"/>
      <c r="H11" s="253">
        <f>SUMIF(55:55,G11,56:56)-SUMIF(55:55,C11,56:56)+100</f>
        <v>100</v>
      </c>
      <c r="I11" s="881"/>
      <c r="J11" s="253">
        <f>SUMIF(55:55,I11,56:56)-SUMIF(55:55,C11,56:56)+100</f>
        <v>100</v>
      </c>
      <c r="K11" s="582"/>
      <c r="L11" s="2140"/>
      <c r="M11" s="2134"/>
      <c r="N11" s="2134"/>
      <c r="O11" s="2141"/>
      <c r="P11" s="3409"/>
      <c r="Q11" s="1152">
        <f t="shared" si="6"/>
        <v>111</v>
      </c>
      <c r="R11" s="1569" t="s">
        <v>8</v>
      </c>
      <c r="S11" s="1570">
        <f t="shared" si="0"/>
        <v>100</v>
      </c>
      <c r="T11" s="1569" t="s">
        <v>8</v>
      </c>
      <c r="U11" s="1570">
        <f t="shared" si="1"/>
        <v>100</v>
      </c>
      <c r="V11" s="1569" t="s">
        <v>8</v>
      </c>
      <c r="W11" s="1570">
        <f t="shared" si="2"/>
        <v>100</v>
      </c>
      <c r="X11" s="1571"/>
      <c r="Y11" s="3355"/>
      <c r="Z11" s="1151">
        <f t="shared" si="7"/>
        <v>111</v>
      </c>
      <c r="AA11" s="1572">
        <f t="shared" si="3"/>
        <v>1</v>
      </c>
      <c r="AB11" s="1572">
        <f t="shared" si="4"/>
        <v>1</v>
      </c>
      <c r="AC11" s="1572">
        <f t="shared" si="5"/>
        <v>1</v>
      </c>
    </row>
    <row r="12" spans="1:29" s="1221" customFormat="1" ht="15">
      <c r="A12" s="2943"/>
      <c r="B12" s="2949">
        <v>111</v>
      </c>
      <c r="C12" s="529"/>
      <c r="D12" s="539">
        <v>100</v>
      </c>
      <c r="E12" s="881"/>
      <c r="F12" s="253">
        <f>SUMIF(57:57,E12,58:58)-SUMIF(57:57,C12,58:58)+100</f>
        <v>100</v>
      </c>
      <c r="G12" s="881"/>
      <c r="H12" s="253">
        <f>SUMIF(57:57,G12,58:58)-SUMIF(57:57,C12,58:58)+100</f>
        <v>100</v>
      </c>
      <c r="I12" s="881"/>
      <c r="J12" s="253">
        <f>SUMIF(57:57,I12,58:58)-SUMIF(57:57,C12,58:58)+100</f>
        <v>100</v>
      </c>
      <c r="K12" s="582"/>
      <c r="L12" s="2135"/>
      <c r="M12" s="2136"/>
      <c r="N12" s="2136"/>
      <c r="O12" s="2137"/>
      <c r="P12" s="3409"/>
      <c r="Q12" s="1152">
        <f t="shared" si="6"/>
        <v>111</v>
      </c>
      <c r="R12" s="1569" t="s">
        <v>8</v>
      </c>
      <c r="S12" s="1570">
        <f t="shared" si="0"/>
        <v>100</v>
      </c>
      <c r="T12" s="1569" t="s">
        <v>8</v>
      </c>
      <c r="U12" s="1570">
        <f t="shared" si="1"/>
        <v>100</v>
      </c>
      <c r="V12" s="1569" t="s">
        <v>8</v>
      </c>
      <c r="W12" s="1570">
        <f t="shared" si="2"/>
        <v>100</v>
      </c>
      <c r="X12" s="1571"/>
      <c r="Y12" s="3355"/>
      <c r="Z12" s="1151">
        <f t="shared" si="7"/>
        <v>111</v>
      </c>
      <c r="AA12" s="1572">
        <f>D12/F12</f>
        <v>1</v>
      </c>
      <c r="AB12" s="1572">
        <f>D12/H12</f>
        <v>1</v>
      </c>
      <c r="AC12" s="1572">
        <f>D12/J12</f>
        <v>1</v>
      </c>
    </row>
    <row r="13" spans="1:29" ht="15.75" thickBot="1">
      <c r="A13" s="2944"/>
      <c r="B13" s="2950">
        <v>111</v>
      </c>
      <c r="C13" s="540"/>
      <c r="D13" s="541">
        <v>100</v>
      </c>
      <c r="E13" s="881"/>
      <c r="F13" s="253">
        <f>SUMIF(59:59,E13,60:60)-SUMIF(59:59,C13,60:60)+100</f>
        <v>100</v>
      </c>
      <c r="G13" s="881"/>
      <c r="H13" s="541">
        <f>SUMIF(59:59,G13,60:60)-SUMIF(59:59,C13,60:60)+100</f>
        <v>100</v>
      </c>
      <c r="I13" s="881"/>
      <c r="J13" s="541">
        <f>SUMIF(59:59,I13,60:60)-SUMIF(59:59,C13,60:60)+100</f>
        <v>100</v>
      </c>
      <c r="K13" s="582"/>
      <c r="L13" s="2142"/>
      <c r="M13" s="2134"/>
      <c r="N13" s="2134"/>
      <c r="O13" s="2141"/>
      <c r="P13" s="3409"/>
      <c r="Q13" s="1152">
        <f t="shared" si="6"/>
        <v>111</v>
      </c>
      <c r="R13" s="1569" t="s">
        <v>8</v>
      </c>
      <c r="S13" s="1570">
        <f t="shared" si="0"/>
        <v>100</v>
      </c>
      <c r="T13" s="1569" t="s">
        <v>8</v>
      </c>
      <c r="U13" s="1570">
        <f t="shared" si="1"/>
        <v>100</v>
      </c>
      <c r="V13" s="1569" t="s">
        <v>8</v>
      </c>
      <c r="W13" s="1570">
        <f t="shared" si="2"/>
        <v>100</v>
      </c>
      <c r="X13" s="1571"/>
      <c r="Y13" s="3355"/>
      <c r="Z13" s="1151">
        <f t="shared" si="7"/>
        <v>111</v>
      </c>
      <c r="AA13" s="1572">
        <f t="shared" si="3"/>
        <v>1</v>
      </c>
      <c r="AB13" s="1572">
        <f t="shared" si="4"/>
        <v>1</v>
      </c>
      <c r="AC13" s="1572">
        <f t="shared" si="5"/>
        <v>1</v>
      </c>
    </row>
    <row r="14" spans="1:29" ht="114">
      <c r="A14" s="2936" t="s">
        <v>2760</v>
      </c>
      <c r="B14" s="165"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SUMIF(61:61,E15,62:62)-SUMIF(61:61,C15,62:62)+100</f>
        <v>100</v>
      </c>
      <c r="G14" s="553"/>
      <c r="H14" s="550">
        <f>SUMIF(61:61,G15,62:62)-SUMIF(61:61,C15,62:62)+100</f>
        <v>100</v>
      </c>
      <c r="I14" s="551"/>
      <c r="J14" s="550">
        <f>SUMIF(61:61,I15,62:62)-SUMIF(61:61,C15,62:62)+100</f>
        <v>100</v>
      </c>
      <c r="K14" s="899"/>
      <c r="L14" s="2142"/>
      <c r="M14" s="2134"/>
      <c r="N14" s="2134"/>
      <c r="O14" s="2141"/>
      <c r="P14" s="3443" t="s">
        <v>541</v>
      </c>
      <c r="Q14" s="1573" t="str">
        <f t="shared" si="6"/>
        <v>交通便捷度</v>
      </c>
      <c r="R14" s="1574" t="s">
        <v>8</v>
      </c>
      <c r="S14" s="1575">
        <f t="shared" si="0"/>
        <v>100</v>
      </c>
      <c r="T14" s="1574" t="s">
        <v>8</v>
      </c>
      <c r="U14" s="1575">
        <f t="shared" si="1"/>
        <v>100</v>
      </c>
      <c r="V14" s="1574" t="s">
        <v>8</v>
      </c>
      <c r="W14" s="1575">
        <f t="shared" si="2"/>
        <v>100</v>
      </c>
      <c r="X14" s="1568"/>
      <c r="Y14" s="3443"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2"/>
      <c r="M15" s="2134"/>
      <c r="N15" s="2134"/>
      <c r="O15" s="2141"/>
      <c r="P15" s="3444"/>
      <c r="Q15" s="1573"/>
      <c r="R15" s="1574"/>
      <c r="S15" s="1575"/>
      <c r="T15" s="1574"/>
      <c r="U15" s="1575"/>
      <c r="V15" s="1574"/>
      <c r="W15" s="1575"/>
      <c r="X15" s="1568"/>
      <c r="Y15" s="3444"/>
      <c r="Z15" s="1576"/>
      <c r="AA15" s="1577">
        <v>1</v>
      </c>
      <c r="AB15" s="1577">
        <v>1</v>
      </c>
      <c r="AC15" s="1577">
        <v>1</v>
      </c>
    </row>
    <row r="16" spans="1:29" ht="99.75">
      <c r="A16" s="533"/>
      <c r="B16" s="2627" t="s">
        <v>2550</v>
      </c>
      <c r="C16" s="873" t="str">
        <f>IF(B1="工业",估价对象房地状况!G5,估价对象房地状况!C7)</f>
        <v>估价对象所在区域有农业银行、龙跃财富广场、八里台第一小学、天津津南新华医院，公共配套设施较好</v>
      </c>
      <c r="D16" s="566">
        <v>100</v>
      </c>
      <c r="E16" s="571"/>
      <c r="F16" s="572">
        <f>SUMIF(63:63,E17,64:64)-SUMIF(63:63,C17,64:64)+100</f>
        <v>100</v>
      </c>
      <c r="G16" s="573"/>
      <c r="H16" s="566">
        <f>SUMIF(63:63,G17,64:64)-SUMIF(63:63,C17,64:64)+100</f>
        <v>100</v>
      </c>
      <c r="I16" s="571"/>
      <c r="J16" s="566">
        <f>SUMIF(63:63,I17,64:64)-SUMIF(63:63,C17,64:64)+100</f>
        <v>100</v>
      </c>
      <c r="K16" s="899"/>
      <c r="L16" s="2142"/>
      <c r="M16" s="2134"/>
      <c r="N16" s="2134"/>
      <c r="O16" s="2141"/>
      <c r="P16" s="3444"/>
      <c r="Q16" s="1573" t="str">
        <f>B16</f>
        <v>公共配套设施</v>
      </c>
      <c r="R16" s="1574" t="s">
        <v>8</v>
      </c>
      <c r="S16" s="1575">
        <f>F16</f>
        <v>100</v>
      </c>
      <c r="T16" s="1574" t="s">
        <v>8</v>
      </c>
      <c r="U16" s="1575">
        <f>H16</f>
        <v>100</v>
      </c>
      <c r="V16" s="1574" t="s">
        <v>8</v>
      </c>
      <c r="W16" s="1575">
        <f>J16</f>
        <v>100</v>
      </c>
      <c r="X16" s="1568"/>
      <c r="Y16" s="3444"/>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2"/>
      <c r="M17" s="2134"/>
      <c r="N17" s="2134"/>
      <c r="O17" s="2141"/>
      <c r="P17" s="3444"/>
      <c r="Q17" s="1573"/>
      <c r="R17" s="1574"/>
      <c r="S17" s="1575"/>
      <c r="T17" s="1574"/>
      <c r="U17" s="1575"/>
      <c r="V17" s="1574"/>
      <c r="W17" s="1575"/>
      <c r="X17" s="1568"/>
      <c r="Y17" s="3444"/>
      <c r="Z17" s="1576"/>
      <c r="AA17" s="1577">
        <v>1</v>
      </c>
      <c r="AB17" s="1577">
        <v>1</v>
      </c>
      <c r="AC17" s="1577">
        <v>1</v>
      </c>
    </row>
    <row r="18" spans="1:29" ht="15">
      <c r="A18" s="533"/>
      <c r="B18" s="2615" t="s">
        <v>2562</v>
      </c>
      <c r="C18" s="873" t="str">
        <f>IF(B1="工业",估价对象房地状况!G6,估价对象房地状况!C8)</f>
        <v>七通一平</v>
      </c>
      <c r="D18" s="560">
        <v>100</v>
      </c>
      <c r="E18" s="563"/>
      <c r="F18" s="564">
        <f>SUMIF(65:65,E19,66:66)-SUMIF(65:65,C19,66:66)+100</f>
        <v>100</v>
      </c>
      <c r="G18" s="565"/>
      <c r="H18" s="566">
        <f>SUMIF(65:65,G19,66:66)-SUMIF(65:65,C19,66:66)+100</f>
        <v>100</v>
      </c>
      <c r="I18" s="571"/>
      <c r="J18" s="566">
        <f>SUMIF(65:65,I19,66:66)-SUMIF(65:65,C19,66:66)+100</f>
        <v>100</v>
      </c>
      <c r="K18" s="899"/>
      <c r="L18" s="2142"/>
      <c r="M18" s="2134"/>
      <c r="N18" s="2134"/>
      <c r="O18" s="2141"/>
      <c r="P18" s="3444"/>
      <c r="Q18" s="2603" t="str">
        <f>B18</f>
        <v>基础设施水平</v>
      </c>
      <c r="R18" s="1574" t="s">
        <v>8</v>
      </c>
      <c r="S18" s="1575">
        <f>F18</f>
        <v>100</v>
      </c>
      <c r="T18" s="1574" t="s">
        <v>8</v>
      </c>
      <c r="U18" s="1575">
        <f>H18</f>
        <v>100</v>
      </c>
      <c r="V18" s="1574" t="s">
        <v>8</v>
      </c>
      <c r="W18" s="1575">
        <f>J18</f>
        <v>100</v>
      </c>
      <c r="X18" s="2605"/>
      <c r="Y18" s="3444"/>
      <c r="Z18" s="2604"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6"/>
      <c r="L19" s="2142"/>
      <c r="M19" s="2134"/>
      <c r="N19" s="2134"/>
      <c r="O19" s="2141"/>
      <c r="P19" s="3444"/>
      <c r="Q19" s="2603"/>
      <c r="R19" s="1574"/>
      <c r="S19" s="1575"/>
      <c r="T19" s="1574"/>
      <c r="U19" s="1575"/>
      <c r="V19" s="1574"/>
      <c r="W19" s="1575"/>
      <c r="X19" s="2605"/>
      <c r="Y19" s="3444"/>
      <c r="Z19" s="2604"/>
      <c r="AA19" s="1577">
        <v>1</v>
      </c>
      <c r="AB19" s="1577">
        <v>1</v>
      </c>
      <c r="AC19" s="1577">
        <v>1</v>
      </c>
    </row>
    <row r="20" spans="1:29" ht="57">
      <c r="A20" s="533"/>
      <c r="B20" s="872" t="s">
        <v>805</v>
      </c>
      <c r="C20" s="873" t="str">
        <f>IF(B1="工业",估价对象房地状况!G7,估价对象房地状况!C9)</f>
        <v>区域内无特殊自然环境及大学，综合评价环境状况一般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2"/>
      <c r="M20" s="2134"/>
      <c r="N20" s="2134"/>
      <c r="O20" s="2141"/>
      <c r="P20" s="3444"/>
      <c r="Q20" s="1573" t="str">
        <f>B20</f>
        <v>自然及人文环境</v>
      </c>
      <c r="R20" s="1574" t="s">
        <v>8</v>
      </c>
      <c r="S20" s="1575">
        <f>F20</f>
        <v>100</v>
      </c>
      <c r="T20" s="1574" t="s">
        <v>8</v>
      </c>
      <c r="U20" s="1575">
        <f>H20</f>
        <v>100</v>
      </c>
      <c r="V20" s="1574" t="s">
        <v>8</v>
      </c>
      <c r="W20" s="1575">
        <f>J20</f>
        <v>100</v>
      </c>
      <c r="X20" s="1568"/>
      <c r="Y20" s="3444"/>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2"/>
      <c r="M21" s="2134"/>
      <c r="N21" s="2134"/>
      <c r="O21" s="2141"/>
      <c r="P21" s="3444"/>
      <c r="Q21" s="1573"/>
      <c r="R21" s="1574"/>
      <c r="S21" s="1575"/>
      <c r="T21" s="1574"/>
      <c r="U21" s="1575"/>
      <c r="V21" s="1574"/>
      <c r="W21" s="1575"/>
      <c r="X21" s="1568"/>
      <c r="Y21" s="3444"/>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2"/>
      <c r="M22" s="2134"/>
      <c r="N22" s="2134"/>
      <c r="O22" s="2141"/>
      <c r="P22" s="3444"/>
      <c r="Q22" s="1573" t="str">
        <f>B22</f>
        <v>楼层</v>
      </c>
      <c r="R22" s="1574" t="s">
        <v>8</v>
      </c>
      <c r="S22" s="1575">
        <f>F22</f>
        <v>100</v>
      </c>
      <c r="T22" s="1574" t="s">
        <v>8</v>
      </c>
      <c r="U22" s="1575">
        <f>H22</f>
        <v>100</v>
      </c>
      <c r="V22" s="1574" t="s">
        <v>8</v>
      </c>
      <c r="W22" s="1575">
        <f>J22</f>
        <v>100</v>
      </c>
      <c r="X22" s="1568"/>
      <c r="Y22" s="3444"/>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2"/>
      <c r="M23" s="2134"/>
      <c r="N23" s="2134"/>
      <c r="O23" s="2141"/>
      <c r="P23" s="3444"/>
      <c r="Q23" s="1573">
        <f>B23</f>
        <v>111</v>
      </c>
      <c r="R23" s="1574" t="s">
        <v>8</v>
      </c>
      <c r="S23" s="1575">
        <f>F23</f>
        <v>100</v>
      </c>
      <c r="T23" s="1574" t="s">
        <v>8</v>
      </c>
      <c r="U23" s="1575">
        <f>H23</f>
        <v>100</v>
      </c>
      <c r="V23" s="1574" t="s">
        <v>8</v>
      </c>
      <c r="W23" s="1575">
        <f>J23</f>
        <v>100</v>
      </c>
      <c r="X23" s="1568"/>
      <c r="Y23" s="3444"/>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2"/>
      <c r="M24" s="2134"/>
      <c r="N24" s="2134"/>
      <c r="O24" s="2141"/>
      <c r="P24" s="3444"/>
      <c r="Q24" s="1573">
        <f t="shared" ref="Q24:Q34" si="11">B24</f>
        <v>111</v>
      </c>
      <c r="R24" s="1574" t="s">
        <v>8</v>
      </c>
      <c r="S24" s="1575">
        <f>F24</f>
        <v>100</v>
      </c>
      <c r="T24" s="1574" t="s">
        <v>8</v>
      </c>
      <c r="U24" s="1575">
        <f>H24</f>
        <v>100</v>
      </c>
      <c r="V24" s="1574" t="s">
        <v>8</v>
      </c>
      <c r="W24" s="1575">
        <f>J24</f>
        <v>100</v>
      </c>
      <c r="X24" s="1568"/>
      <c r="Y24" s="3444"/>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5"/>
      <c r="M25" s="2136"/>
      <c r="N25" s="2136"/>
      <c r="O25" s="2137"/>
      <c r="P25" s="3444"/>
      <c r="Q25" s="1152">
        <f t="shared" si="11"/>
        <v>111</v>
      </c>
      <c r="R25" s="1569" t="s">
        <v>8</v>
      </c>
      <c r="S25" s="1570">
        <f>F25</f>
        <v>100</v>
      </c>
      <c r="T25" s="1569" t="s">
        <v>8</v>
      </c>
      <c r="U25" s="1570">
        <f>H25</f>
        <v>100</v>
      </c>
      <c r="V25" s="1569" t="s">
        <v>8</v>
      </c>
      <c r="W25" s="1570">
        <f>J25</f>
        <v>100</v>
      </c>
      <c r="X25" s="1571"/>
      <c r="Y25" s="3444"/>
      <c r="Z25" s="1151">
        <f>Q25</f>
        <v>111</v>
      </c>
      <c r="AA25" s="1577">
        <f>D25/F25</f>
        <v>1</v>
      </c>
      <c r="AB25" s="1577">
        <f>D25/H25</f>
        <v>1</v>
      </c>
      <c r="AC25" s="1577">
        <f>D25/J25</f>
        <v>1</v>
      </c>
    </row>
    <row r="26" spans="1:29" ht="15">
      <c r="A26" s="2933" t="s">
        <v>2761</v>
      </c>
      <c r="B26" s="171" t="s">
        <v>809</v>
      </c>
      <c r="C26" s="917"/>
      <c r="D26" s="598">
        <v>100</v>
      </c>
      <c r="E26" s="917"/>
      <c r="F26" s="944">
        <f>SUMIF(77:77,E26,78:78)-SUMIF(77:77,C26,78:78)+100</f>
        <v>100</v>
      </c>
      <c r="G26" s="917"/>
      <c r="H26" s="598">
        <f>SUMIF(77:77,G26,78:78)-SUMIF(77:77,C26,78:78)+100</f>
        <v>100</v>
      </c>
      <c r="I26" s="917"/>
      <c r="J26" s="598">
        <f>SUMIF(77:77,I26,78:78)-SUMIF(77:77,C26,78:78)+100</f>
        <v>100</v>
      </c>
      <c r="K26" s="585"/>
      <c r="L26" s="2142"/>
      <c r="M26" s="2134"/>
      <c r="N26" s="2134"/>
      <c r="O26" s="2141"/>
      <c r="P26" s="3445"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6"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0"/>
      <c r="M27" s="2171"/>
      <c r="N27" s="2171"/>
      <c r="O27" s="2143"/>
      <c r="P27" s="3446"/>
      <c r="Q27" s="1606" t="str">
        <f t="shared" si="11"/>
        <v>成新率</v>
      </c>
      <c r="R27" s="1578" t="s">
        <v>8</v>
      </c>
      <c r="S27" s="1579" t="e">
        <f t="shared" si="12"/>
        <v>#N/A</v>
      </c>
      <c r="T27" s="1578" t="s">
        <v>8</v>
      </c>
      <c r="U27" s="1579" t="e">
        <f t="shared" si="13"/>
        <v>#N/A</v>
      </c>
      <c r="V27" s="1578" t="s">
        <v>8</v>
      </c>
      <c r="W27" s="1579" t="e">
        <f t="shared" si="14"/>
        <v>#N/A</v>
      </c>
      <c r="X27" s="1580"/>
      <c r="Y27" s="3446"/>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2"/>
      <c r="M28" s="2134"/>
      <c r="N28" s="2134"/>
      <c r="O28" s="2141"/>
      <c r="P28" s="3446"/>
      <c r="Q28" s="1573" t="str">
        <f t="shared" si="11"/>
        <v>物业等级</v>
      </c>
      <c r="R28" s="1574" t="s">
        <v>8</v>
      </c>
      <c r="S28" s="1575">
        <f t="shared" si="12"/>
        <v>100</v>
      </c>
      <c r="T28" s="1574" t="s">
        <v>8</v>
      </c>
      <c r="U28" s="1575">
        <f t="shared" si="13"/>
        <v>100</v>
      </c>
      <c r="V28" s="1574" t="s">
        <v>8</v>
      </c>
      <c r="W28" s="1575">
        <f t="shared" si="14"/>
        <v>100</v>
      </c>
      <c r="X28" s="1568"/>
      <c r="Y28" s="3446"/>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2"/>
      <c r="M29" s="2134"/>
      <c r="N29" s="2134"/>
      <c r="O29" s="2141"/>
      <c r="P29" s="3446"/>
      <c r="Q29" s="1573" t="str">
        <f t="shared" si="11"/>
        <v>有无电梯</v>
      </c>
      <c r="R29" s="1574" t="s">
        <v>8</v>
      </c>
      <c r="S29" s="1575">
        <f t="shared" si="12"/>
        <v>100</v>
      </c>
      <c r="T29" s="1574" t="s">
        <v>8</v>
      </c>
      <c r="U29" s="1575">
        <f t="shared" si="13"/>
        <v>100</v>
      </c>
      <c r="V29" s="1574" t="s">
        <v>8</v>
      </c>
      <c r="W29" s="1575">
        <f t="shared" si="14"/>
        <v>100</v>
      </c>
      <c r="X29" s="1568"/>
      <c r="Y29" s="3446"/>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2"/>
      <c r="M30" s="2134"/>
      <c r="N30" s="2134"/>
      <c r="O30" s="2141"/>
      <c r="P30" s="3446"/>
      <c r="Q30" s="1573" t="str">
        <f t="shared" si="11"/>
        <v>建筑面积</v>
      </c>
      <c r="R30" s="1574" t="s">
        <v>8</v>
      </c>
      <c r="S30" s="1575" t="e">
        <f t="shared" si="12"/>
        <v>#N/A</v>
      </c>
      <c r="T30" s="1574" t="s">
        <v>8</v>
      </c>
      <c r="U30" s="1575" t="e">
        <f t="shared" si="13"/>
        <v>#N/A</v>
      </c>
      <c r="V30" s="1574" t="s">
        <v>8</v>
      </c>
      <c r="W30" s="1575" t="e">
        <f t="shared" si="14"/>
        <v>#N/A</v>
      </c>
      <c r="X30" s="1568"/>
      <c r="Y30" s="3446"/>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5"/>
      <c r="M31" s="2136"/>
      <c r="N31" s="2136"/>
      <c r="O31" s="2137"/>
      <c r="P31" s="3446"/>
      <c r="Q31" s="1152" t="str">
        <f t="shared" si="11"/>
        <v>是否封闭</v>
      </c>
      <c r="R31" s="1569" t="s">
        <v>8</v>
      </c>
      <c r="S31" s="1570">
        <f t="shared" si="12"/>
        <v>100</v>
      </c>
      <c r="T31" s="1569" t="s">
        <v>8</v>
      </c>
      <c r="U31" s="1570">
        <f t="shared" si="13"/>
        <v>100</v>
      </c>
      <c r="V31" s="1569" t="s">
        <v>8</v>
      </c>
      <c r="W31" s="1570">
        <f t="shared" si="14"/>
        <v>100</v>
      </c>
      <c r="X31" s="1571"/>
      <c r="Y31" s="3446"/>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2"/>
      <c r="M32" s="2134"/>
      <c r="N32" s="2134"/>
      <c r="O32" s="2141"/>
      <c r="P32" s="3446" t="s">
        <v>551</v>
      </c>
      <c r="Q32" s="1573">
        <f t="shared" si="11"/>
        <v>111</v>
      </c>
      <c r="R32" s="1574" t="s">
        <v>8</v>
      </c>
      <c r="S32" s="1575">
        <f t="shared" si="12"/>
        <v>100</v>
      </c>
      <c r="T32" s="1574" t="s">
        <v>8</v>
      </c>
      <c r="U32" s="1575">
        <f t="shared" si="13"/>
        <v>100</v>
      </c>
      <c r="V32" s="1574" t="s">
        <v>8</v>
      </c>
      <c r="W32" s="1575">
        <f t="shared" si="14"/>
        <v>100</v>
      </c>
      <c r="X32" s="1568"/>
      <c r="Y32" s="3446"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2"/>
      <c r="M33" s="2134"/>
      <c r="N33" s="2134"/>
      <c r="O33" s="2141"/>
      <c r="P33" s="3446"/>
      <c r="Q33" s="1573">
        <f t="shared" si="11"/>
        <v>111</v>
      </c>
      <c r="R33" s="1574" t="s">
        <v>8</v>
      </c>
      <c r="S33" s="1575">
        <f t="shared" si="12"/>
        <v>100</v>
      </c>
      <c r="T33" s="1574" t="s">
        <v>8</v>
      </c>
      <c r="U33" s="1575">
        <f t="shared" si="13"/>
        <v>100</v>
      </c>
      <c r="V33" s="1574" t="s">
        <v>8</v>
      </c>
      <c r="W33" s="1575">
        <f t="shared" si="14"/>
        <v>100</v>
      </c>
      <c r="X33" s="1568"/>
      <c r="Y33" s="3446"/>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2"/>
      <c r="M34" s="2134"/>
      <c r="N34" s="2134"/>
      <c r="O34" s="2141"/>
      <c r="P34" s="3446"/>
      <c r="Q34" s="1573">
        <f t="shared" si="11"/>
        <v>111</v>
      </c>
      <c r="R34" s="1574" t="s">
        <v>8</v>
      </c>
      <c r="S34" s="1575">
        <f t="shared" si="12"/>
        <v>100</v>
      </c>
      <c r="T34" s="1574" t="s">
        <v>8</v>
      </c>
      <c r="U34" s="1575">
        <f t="shared" si="13"/>
        <v>100</v>
      </c>
      <c r="V34" s="1574" t="s">
        <v>8</v>
      </c>
      <c r="W34" s="1575">
        <f t="shared" si="14"/>
        <v>100</v>
      </c>
      <c r="X34" s="1568"/>
      <c r="Y34" s="3446"/>
      <c r="Z34" s="1576">
        <f t="shared" si="15"/>
        <v>111</v>
      </c>
      <c r="AA34" s="1577">
        <f t="shared" si="3"/>
        <v>1</v>
      </c>
      <c r="AB34" s="1577">
        <f t="shared" si="4"/>
        <v>1</v>
      </c>
      <c r="AC34" s="1577">
        <f t="shared" si="5"/>
        <v>1</v>
      </c>
    </row>
    <row r="35" spans="1:29" ht="15">
      <c r="A35" s="608" t="s">
        <v>737</v>
      </c>
      <c r="B35" s="888"/>
      <c r="C35" s="2651" t="s">
        <v>1</v>
      </c>
      <c r="D35" s="2652"/>
      <c r="E35" s="2653"/>
      <c r="F35" s="2654"/>
      <c r="G35" s="2655"/>
      <c r="H35" s="2656"/>
      <c r="I35" s="2653"/>
      <c r="J35" s="2656"/>
      <c r="K35" s="1612"/>
      <c r="L35" s="2144"/>
      <c r="M35" s="2145"/>
      <c r="N35" s="2134"/>
      <c r="O35" s="2145"/>
      <c r="P35" s="3409" t="str">
        <f>A35</f>
        <v>成交单价（元/平方米）</v>
      </c>
      <c r="Q35" s="3409"/>
      <c r="R35" s="3528">
        <f>E35</f>
        <v>0</v>
      </c>
      <c r="S35" s="3528"/>
      <c r="T35" s="3528">
        <f>G35</f>
        <v>0</v>
      </c>
      <c r="U35" s="3528"/>
      <c r="V35" s="3528">
        <f>I35</f>
        <v>0</v>
      </c>
      <c r="W35" s="3528"/>
      <c r="X35" s="1560"/>
      <c r="Y35" s="1582"/>
      <c r="Z35" s="1560"/>
      <c r="AA35" s="1560"/>
      <c r="AB35" s="1560"/>
      <c r="AC35" s="1560"/>
    </row>
    <row r="36" spans="1:29" ht="15.75" thickBot="1">
      <c r="A36" s="616" t="s">
        <v>2766</v>
      </c>
      <c r="B36" s="889"/>
      <c r="C36" s="2657" t="e">
        <f>R37</f>
        <v>#DIV/0!</v>
      </c>
      <c r="D36" s="2658"/>
      <c r="E36" s="2659" t="e">
        <f>R36</f>
        <v>#DIV/0!</v>
      </c>
      <c r="F36" s="2659"/>
      <c r="G36" s="2657" t="e">
        <f>T36</f>
        <v>#DIV/0!</v>
      </c>
      <c r="H36" s="2658"/>
      <c r="I36" s="2659" t="e">
        <f>V36</f>
        <v>#DIV/0!</v>
      </c>
      <c r="J36" s="2658"/>
      <c r="K36" s="1613"/>
      <c r="L36" s="2144"/>
      <c r="M36" s="2145"/>
      <c r="N36" s="2134"/>
      <c r="O36" s="2145"/>
      <c r="P36" s="3409" t="str">
        <f>A36</f>
        <v>比较价格（元/平方米）</v>
      </c>
      <c r="Q36" s="3409"/>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60"/>
      <c r="Y36" s="1560"/>
      <c r="Z36" s="1560"/>
      <c r="AA36" s="1560"/>
      <c r="AB36" s="1560"/>
      <c r="AC36" s="1560"/>
    </row>
    <row r="37" spans="1:29" ht="15.75" thickBot="1">
      <c r="A37" s="622" t="s">
        <v>2934</v>
      </c>
      <c r="B37" s="623"/>
      <c r="C37" s="2660" t="e">
        <f>R37</f>
        <v>#DIV/0!</v>
      </c>
      <c r="D37" s="2660"/>
      <c r="E37" s="2660"/>
      <c r="F37" s="2660"/>
      <c r="G37" s="2660"/>
      <c r="H37" s="2660"/>
      <c r="I37" s="2660"/>
      <c r="J37" s="2660"/>
      <c r="K37" s="1614"/>
      <c r="L37" s="2144"/>
      <c r="M37" s="2145"/>
      <c r="N37" s="2145"/>
      <c r="O37" s="2145"/>
      <c r="P37" s="3406" t="str">
        <f>A37</f>
        <v>估价对象XX用房的比较价格（楼面单价，元/平方米）</v>
      </c>
      <c r="Q37" s="3407"/>
      <c r="R37" s="3527" t="e">
        <f>IF(F1="售价",ROUND(AVERAGE(R36:V36),0),ROUND(AVERAGE(R36:V36),1))</f>
        <v>#DIV/0!</v>
      </c>
      <c r="S37" s="3527"/>
      <c r="T37" s="3527"/>
      <c r="U37" s="3527"/>
      <c r="V37" s="3527"/>
      <c r="W37" s="352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6" customFormat="1" ht="13.5" customHeight="1">
      <c r="A42" s="2146"/>
      <c r="B42" s="2146"/>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6"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8" customFormat="1" ht="15">
      <c r="A46" s="646" t="s">
        <v>530</v>
      </c>
      <c r="B46" s="647"/>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21" customFormat="1" ht="15">
      <c r="A47" s="648"/>
      <c r="B47" s="649"/>
      <c r="C47" s="650">
        <v>100</v>
      </c>
      <c r="D47" s="651"/>
      <c r="E47" s="651"/>
      <c r="F47" s="651"/>
      <c r="G47" s="651"/>
      <c r="H47" s="651"/>
      <c r="I47" s="651"/>
      <c r="J47" s="651"/>
      <c r="K47" s="651"/>
      <c r="L47" s="651"/>
      <c r="M47" s="652"/>
      <c r="N47" s="651"/>
      <c r="O47" s="653"/>
      <c r="P47" s="2158"/>
      <c r="Q47" s="1993"/>
      <c r="R47" s="1993"/>
      <c r="S47" s="1993"/>
      <c r="T47" s="1993"/>
      <c r="U47" s="1993"/>
      <c r="V47" s="1993"/>
      <c r="W47" s="1993"/>
      <c r="X47" s="1993"/>
      <c r="Y47" s="1993"/>
      <c r="Z47" s="1993"/>
      <c r="AA47" s="1993"/>
      <c r="AB47" s="1993"/>
      <c r="AC47" s="1993"/>
    </row>
    <row r="48" spans="1:29" s="1221" customFormat="1" ht="15.75" thickBot="1">
      <c r="A48" s="654" t="s">
        <v>576</v>
      </c>
      <c r="B48" s="655"/>
      <c r="C48" s="656"/>
      <c r="D48" s="657"/>
      <c r="E48" s="657"/>
      <c r="F48" s="657"/>
      <c r="G48" s="657"/>
      <c r="H48" s="657"/>
      <c r="I48" s="657"/>
      <c r="J48" s="657"/>
      <c r="K48" s="657"/>
      <c r="L48" s="657"/>
      <c r="M48" s="658"/>
      <c r="N48" s="657"/>
      <c r="O48" s="659"/>
      <c r="P48" s="2158"/>
      <c r="Q48" s="2158"/>
      <c r="R48" s="1993"/>
      <c r="S48" s="1993"/>
      <c r="T48" s="1993"/>
      <c r="U48" s="1993"/>
      <c r="V48" s="1993"/>
      <c r="W48" s="1993"/>
      <c r="X48" s="1993"/>
      <c r="Y48" s="1993"/>
      <c r="Z48" s="1993"/>
      <c r="AA48" s="1993"/>
      <c r="AB48" s="1993"/>
      <c r="AC48" s="1993"/>
    </row>
    <row r="49" spans="1:29" s="1221" customFormat="1" ht="15">
      <c r="A49" s="660" t="s">
        <v>532</v>
      </c>
      <c r="B49" s="649"/>
      <c r="C49" s="661" t="s">
        <v>577</v>
      </c>
      <c r="D49" s="662"/>
      <c r="E49" s="662"/>
      <c r="F49" s="662"/>
      <c r="G49" s="662"/>
      <c r="H49" s="662"/>
      <c r="I49" s="662"/>
      <c r="J49" s="662"/>
      <c r="K49" s="662"/>
      <c r="L49" s="663"/>
      <c r="M49" s="664"/>
      <c r="N49" s="2162"/>
      <c r="O49" s="2162"/>
      <c r="P49" s="2163"/>
      <c r="Q49" s="2158"/>
      <c r="R49" s="1993"/>
      <c r="S49" s="1993"/>
      <c r="T49" s="1993"/>
      <c r="U49" s="1993"/>
      <c r="V49" s="1993"/>
      <c r="W49" s="1993"/>
      <c r="X49" s="1993"/>
      <c r="Y49" s="1993"/>
      <c r="Z49" s="1993"/>
      <c r="AA49" s="1993"/>
      <c r="AB49" s="1993"/>
      <c r="AC49" s="1993"/>
    </row>
    <row r="50" spans="1:29" s="1221" customFormat="1" ht="15.75" thickBot="1">
      <c r="A50" s="660"/>
      <c r="B50" s="649"/>
      <c r="C50" s="650">
        <v>100</v>
      </c>
      <c r="D50" s="651"/>
      <c r="E50" s="651"/>
      <c r="F50" s="651"/>
      <c r="G50" s="651"/>
      <c r="H50" s="651"/>
      <c r="I50" s="651"/>
      <c r="J50" s="651"/>
      <c r="K50" s="651"/>
      <c r="L50" s="651"/>
      <c r="M50" s="653"/>
      <c r="N50" s="2162"/>
      <c r="O50" s="2162"/>
      <c r="P50" s="2158"/>
      <c r="Q50" s="2158"/>
      <c r="R50" s="1993"/>
      <c r="S50" s="1993"/>
      <c r="T50" s="1993"/>
      <c r="U50" s="1993"/>
      <c r="V50" s="1993"/>
      <c r="W50" s="1993"/>
      <c r="X50" s="1993"/>
      <c r="Y50" s="1993"/>
      <c r="Z50" s="1993"/>
      <c r="AA50" s="1993"/>
      <c r="AB50" s="1993"/>
      <c r="AC50" s="1993"/>
    </row>
    <row r="51" spans="1:29">
      <c r="A51" s="665" t="s">
        <v>578</v>
      </c>
      <c r="B51" s="666" t="s">
        <v>535</v>
      </c>
      <c r="C51" s="705">
        <f>C9</f>
        <v>0</v>
      </c>
      <c r="D51" s="599"/>
      <c r="E51" s="599"/>
      <c r="F51" s="599"/>
      <c r="G51" s="599"/>
      <c r="H51" s="599"/>
      <c r="I51" s="599"/>
      <c r="J51" s="599"/>
      <c r="K51" s="667"/>
      <c r="L51" s="668"/>
      <c r="M51" s="669"/>
      <c r="N51" s="2164"/>
      <c r="O51" s="2164"/>
      <c r="P51" s="2165"/>
      <c r="Q51" s="2158"/>
      <c r="R51" s="2145"/>
      <c r="S51" s="2145"/>
      <c r="T51" s="2145"/>
      <c r="U51" s="2145"/>
      <c r="V51" s="2145"/>
      <c r="W51" s="2145"/>
      <c r="X51" s="2145"/>
      <c r="Y51" s="2145"/>
      <c r="Z51" s="2145"/>
      <c r="AA51" s="2145"/>
      <c r="AB51" s="2145"/>
      <c r="AC51" s="2145"/>
    </row>
    <row r="52" spans="1:29" ht="15.75" thickBot="1">
      <c r="A52" s="670"/>
      <c r="B52" s="671"/>
      <c r="C52" s="672">
        <v>100</v>
      </c>
      <c r="D52" s="672"/>
      <c r="E52" s="672"/>
      <c r="F52" s="672"/>
      <c r="G52" s="672"/>
      <c r="H52" s="672"/>
      <c r="I52" s="672"/>
      <c r="J52" s="672"/>
      <c r="K52" s="672"/>
      <c r="L52" s="672"/>
      <c r="M52" s="673"/>
      <c r="N52" s="2166"/>
      <c r="O52" s="2166"/>
      <c r="P52" s="2165"/>
      <c r="Q52" s="2158"/>
      <c r="R52" s="2145"/>
      <c r="S52" s="2145"/>
      <c r="T52" s="2145"/>
      <c r="U52" s="2145"/>
      <c r="V52" s="2145"/>
      <c r="W52" s="2145"/>
      <c r="X52" s="2145"/>
      <c r="Y52" s="2145"/>
      <c r="Z52" s="2145"/>
      <c r="AA52" s="2145"/>
      <c r="AB52" s="2145"/>
      <c r="AC52" s="2145"/>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4"/>
      <c r="O53" s="2164"/>
      <c r="P53" s="2165"/>
      <c r="Q53" s="2158"/>
      <c r="R53" s="2145"/>
      <c r="S53" s="2145"/>
      <c r="T53" s="2145"/>
      <c r="U53" s="2145"/>
      <c r="V53" s="2145"/>
      <c r="W53" s="2145"/>
      <c r="X53" s="2145"/>
      <c r="Y53" s="2145"/>
      <c r="Z53" s="2145"/>
      <c r="AA53" s="2145"/>
      <c r="AB53" s="2145"/>
      <c r="AC53" s="2145"/>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6"/>
      <c r="O54" s="2166"/>
      <c r="P54" s="2165"/>
      <c r="Q54" s="2158"/>
      <c r="R54" s="2145"/>
      <c r="S54" s="2145"/>
      <c r="T54" s="2145"/>
      <c r="U54" s="2145"/>
      <c r="V54" s="2145"/>
      <c r="W54" s="2145"/>
      <c r="X54" s="2145"/>
      <c r="Y54" s="2145"/>
      <c r="Z54" s="2145"/>
      <c r="AA54" s="2145"/>
      <c r="AB54" s="2145"/>
      <c r="AC54" s="2145"/>
    </row>
    <row r="55" spans="1:29" ht="15.75" thickTop="1">
      <c r="A55" s="670"/>
      <c r="B55" s="936">
        <f>B11</f>
        <v>111</v>
      </c>
      <c r="C55" s="542"/>
      <c r="D55" s="542"/>
      <c r="E55" s="542"/>
      <c r="F55" s="542"/>
      <c r="G55" s="542"/>
      <c r="H55" s="542"/>
      <c r="I55" s="542"/>
      <c r="J55" s="542"/>
      <c r="K55" s="685"/>
      <c r="L55" s="686"/>
      <c r="M55" s="687"/>
      <c r="N55" s="2164"/>
      <c r="O55" s="2164"/>
      <c r="P55" s="2165"/>
      <c r="Q55" s="2158"/>
      <c r="R55" s="2145"/>
      <c r="S55" s="2145"/>
      <c r="T55" s="2145"/>
      <c r="U55" s="2145"/>
      <c r="V55" s="2145"/>
      <c r="W55" s="2145"/>
      <c r="X55" s="2145"/>
      <c r="Y55" s="2145"/>
      <c r="Z55" s="2145"/>
      <c r="AA55" s="2145"/>
      <c r="AB55" s="2145"/>
      <c r="AC55" s="2145"/>
    </row>
    <row r="56" spans="1:29" ht="15.75" thickBot="1">
      <c r="A56" s="670"/>
      <c r="B56" s="671"/>
      <c r="C56" s="693"/>
      <c r="D56" s="672"/>
      <c r="E56" s="672"/>
      <c r="F56" s="672"/>
      <c r="G56" s="672"/>
      <c r="H56" s="672"/>
      <c r="I56" s="672"/>
      <c r="J56" s="672"/>
      <c r="K56" s="672"/>
      <c r="L56" s="672"/>
      <c r="M56" s="673"/>
      <c r="N56" s="2166"/>
      <c r="O56" s="2166"/>
      <c r="P56" s="2165"/>
      <c r="Q56" s="2158"/>
      <c r="R56" s="2145"/>
      <c r="S56" s="2145"/>
      <c r="T56" s="2145"/>
      <c r="U56" s="2145"/>
      <c r="V56" s="2145"/>
      <c r="W56" s="2145"/>
      <c r="X56" s="2145"/>
      <c r="Y56" s="2145"/>
      <c r="Z56" s="2145"/>
      <c r="AA56" s="2145"/>
      <c r="AB56" s="2145"/>
      <c r="AC56" s="2145"/>
    </row>
    <row r="57" spans="1:29" s="1340" customFormat="1" ht="15.75" thickTop="1">
      <c r="A57" s="688"/>
      <c r="B57" s="674">
        <f>B12</f>
        <v>111</v>
      </c>
      <c r="C57" s="542"/>
      <c r="D57" s="542"/>
      <c r="E57" s="542"/>
      <c r="F57" s="542"/>
      <c r="G57" s="689"/>
      <c r="H57" s="690"/>
      <c r="I57" s="690"/>
      <c r="J57" s="690"/>
      <c r="K57" s="690"/>
      <c r="L57" s="691"/>
      <c r="M57" s="692"/>
      <c r="N57" s="2167"/>
      <c r="O57" s="2167"/>
      <c r="P57" s="2168"/>
      <c r="Q57" s="2169"/>
      <c r="R57" s="2170"/>
      <c r="S57" s="2170"/>
      <c r="T57" s="2170"/>
      <c r="U57" s="2170"/>
      <c r="V57" s="2170"/>
      <c r="W57" s="2170"/>
      <c r="X57" s="2170"/>
      <c r="Y57" s="2170"/>
      <c r="Z57" s="2170"/>
      <c r="AA57" s="2170"/>
      <c r="AB57" s="2170"/>
      <c r="AC57" s="2170"/>
    </row>
    <row r="58" spans="1:29" s="1340" customFormat="1" ht="15.75" thickBot="1">
      <c r="A58" s="688"/>
      <c r="B58" s="679"/>
      <c r="C58" s="693"/>
      <c r="D58" s="672"/>
      <c r="E58" s="672"/>
      <c r="F58" s="672"/>
      <c r="G58" s="672"/>
      <c r="H58" s="672"/>
      <c r="I58" s="672"/>
      <c r="J58" s="672"/>
      <c r="K58" s="672"/>
      <c r="L58" s="672"/>
      <c r="M58" s="673"/>
      <c r="N58" s="2166"/>
      <c r="O58" s="2166"/>
      <c r="P58" s="2168"/>
      <c r="Q58" s="2169"/>
      <c r="R58" s="2170"/>
      <c r="S58" s="2170"/>
      <c r="T58" s="2170"/>
      <c r="U58" s="2170"/>
      <c r="V58" s="2170"/>
      <c r="W58" s="2170"/>
      <c r="X58" s="2170"/>
      <c r="Y58" s="2170"/>
      <c r="Z58" s="2170"/>
      <c r="AA58" s="2170"/>
      <c r="AB58" s="2170"/>
      <c r="AC58" s="2170"/>
    </row>
    <row r="59" spans="1:29" s="1340" customFormat="1" ht="15.75" thickTop="1">
      <c r="A59" s="688"/>
      <c r="B59" s="674">
        <f>B13</f>
        <v>111</v>
      </c>
      <c r="C59" s="542"/>
      <c r="D59" s="542"/>
      <c r="E59" s="542"/>
      <c r="F59" s="542"/>
      <c r="G59" s="689"/>
      <c r="H59" s="690"/>
      <c r="I59" s="690"/>
      <c r="J59" s="690"/>
      <c r="K59" s="690"/>
      <c r="L59" s="691"/>
      <c r="M59" s="692"/>
      <c r="N59" s="2167"/>
      <c r="O59" s="2167"/>
      <c r="P59" s="2171"/>
      <c r="Q59" s="2172"/>
      <c r="R59" s="2170"/>
      <c r="S59" s="2170"/>
      <c r="T59" s="2170"/>
      <c r="U59" s="2170"/>
      <c r="V59" s="2170"/>
      <c r="W59" s="2170"/>
      <c r="X59" s="2170"/>
      <c r="Y59" s="2170"/>
      <c r="Z59" s="2170"/>
      <c r="AA59" s="2170"/>
      <c r="AB59" s="2170"/>
      <c r="AC59" s="2170"/>
    </row>
    <row r="60" spans="1:29" s="1340" customFormat="1" ht="15.75" thickBot="1">
      <c r="A60" s="688"/>
      <c r="B60" s="679"/>
      <c r="C60" s="693"/>
      <c r="D60" s="693"/>
      <c r="E60" s="693"/>
      <c r="F60" s="693"/>
      <c r="G60" s="693"/>
      <c r="H60" s="694"/>
      <c r="I60" s="694"/>
      <c r="J60" s="694"/>
      <c r="K60" s="694"/>
      <c r="L60" s="694"/>
      <c r="M60" s="695"/>
      <c r="N60" s="2167"/>
      <c r="O60" s="2167"/>
      <c r="P60" s="2168"/>
      <c r="Q60" s="2169"/>
      <c r="R60" s="2170"/>
      <c r="S60" s="2170"/>
      <c r="T60" s="2170"/>
      <c r="U60" s="2170"/>
      <c r="V60" s="2170"/>
      <c r="W60" s="2170"/>
      <c r="X60" s="2170"/>
      <c r="Y60" s="2170"/>
      <c r="Z60" s="2170"/>
      <c r="AA60" s="2170"/>
      <c r="AB60" s="2170"/>
      <c r="AC60" s="2170"/>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4"/>
      <c r="O61" s="2164"/>
      <c r="P61" s="2174"/>
      <c r="Q61" s="2158"/>
      <c r="R61" s="2145"/>
      <c r="S61" s="2145"/>
      <c r="T61" s="2145"/>
      <c r="U61" s="2145"/>
      <c r="V61" s="2145"/>
      <c r="W61" s="2145"/>
      <c r="X61" s="2145"/>
      <c r="Y61" s="2145"/>
      <c r="Z61" s="2145"/>
      <c r="AA61" s="2145"/>
      <c r="AB61" s="2145"/>
      <c r="AC61" s="2145"/>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6"/>
      <c r="O62" s="2166"/>
      <c r="P62" s="2165"/>
      <c r="Q62" s="2158"/>
      <c r="R62" s="2145"/>
      <c r="S62" s="2145"/>
      <c r="T62" s="2145"/>
      <c r="U62" s="2145"/>
      <c r="V62" s="2145"/>
      <c r="W62" s="2145"/>
      <c r="X62" s="2145"/>
      <c r="Y62" s="2145"/>
      <c r="Z62" s="2145"/>
      <c r="AA62" s="2145"/>
      <c r="AB62" s="2145"/>
      <c r="AC62" s="2145"/>
    </row>
    <row r="63" spans="1:29" ht="15.75" thickTop="1">
      <c r="A63" s="670"/>
      <c r="B63" s="1896" t="s">
        <v>2561</v>
      </c>
      <c r="C63" s="709" t="s">
        <v>580</v>
      </c>
      <c r="D63" s="709" t="s">
        <v>581</v>
      </c>
      <c r="E63" s="709" t="s">
        <v>582</v>
      </c>
      <c r="F63" s="709" t="s">
        <v>583</v>
      </c>
      <c r="G63" s="709" t="s">
        <v>584</v>
      </c>
      <c r="H63" s="675"/>
      <c r="I63" s="675"/>
      <c r="J63" s="675"/>
      <c r="K63" s="676"/>
      <c r="L63" s="677"/>
      <c r="M63" s="678"/>
      <c r="N63" s="2164"/>
      <c r="O63" s="2164"/>
      <c r="P63" s="2165"/>
      <c r="Q63" s="2158"/>
      <c r="R63" s="2145"/>
      <c r="S63" s="2145"/>
      <c r="T63" s="2145"/>
      <c r="U63" s="2145"/>
      <c r="V63" s="2145"/>
      <c r="W63" s="2145"/>
      <c r="X63" s="2145"/>
      <c r="Y63" s="2145"/>
      <c r="Z63" s="2145"/>
      <c r="AA63" s="2145"/>
      <c r="AB63" s="2145"/>
      <c r="AC63" s="2145"/>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2621" t="s">
        <v>2562</v>
      </c>
      <c r="C65" s="2622" t="s">
        <v>2563</v>
      </c>
      <c r="D65" s="2622" t="s">
        <v>2564</v>
      </c>
      <c r="E65" s="2622" t="s">
        <v>2565</v>
      </c>
      <c r="F65" s="2622" t="s">
        <v>2566</v>
      </c>
      <c r="G65" s="2622" t="s">
        <v>2567</v>
      </c>
      <c r="H65" s="675"/>
      <c r="I65" s="675"/>
      <c r="J65" s="675"/>
      <c r="K65" s="675"/>
      <c r="L65" s="675"/>
      <c r="M65" s="2625"/>
      <c r="N65" s="2166"/>
      <c r="O65" s="2166"/>
      <c r="P65" s="2165"/>
      <c r="Q65" s="2158"/>
      <c r="R65" s="2145"/>
      <c r="S65" s="2145"/>
      <c r="T65" s="2145"/>
      <c r="U65" s="2145"/>
      <c r="V65" s="2145"/>
      <c r="W65" s="2145"/>
      <c r="X65" s="2145"/>
      <c r="Y65" s="2145"/>
      <c r="Z65" s="2145"/>
      <c r="AA65" s="2145"/>
      <c r="AB65" s="2145"/>
      <c r="AC65" s="2145"/>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6"/>
      <c r="O66" s="2166"/>
      <c r="P66" s="2165"/>
      <c r="Q66" s="2158"/>
      <c r="R66" s="2145"/>
      <c r="S66" s="2145"/>
      <c r="T66" s="2145"/>
      <c r="U66" s="2145"/>
      <c r="V66" s="2145"/>
      <c r="W66" s="2145"/>
      <c r="X66" s="2145"/>
      <c r="Y66" s="2145"/>
      <c r="Z66" s="2145"/>
      <c r="AA66" s="2145"/>
      <c r="AB66" s="2145"/>
      <c r="AC66" s="2145"/>
    </row>
    <row r="67" spans="1:29" ht="15.75" thickTop="1">
      <c r="A67" s="670"/>
      <c r="B67" s="674" t="s">
        <v>745</v>
      </c>
      <c r="C67" s="709" t="s">
        <v>580</v>
      </c>
      <c r="D67" s="709" t="s">
        <v>581</v>
      </c>
      <c r="E67" s="709" t="s">
        <v>582</v>
      </c>
      <c r="F67" s="709" t="s">
        <v>583</v>
      </c>
      <c r="G67" s="709" t="s">
        <v>584</v>
      </c>
      <c r="H67" s="675"/>
      <c r="I67" s="675"/>
      <c r="J67" s="675"/>
      <c r="K67" s="676"/>
      <c r="L67" s="677"/>
      <c r="M67" s="678"/>
      <c r="N67" s="2164"/>
      <c r="O67" s="2164"/>
      <c r="P67" s="2165"/>
      <c r="Q67" s="2158"/>
      <c r="R67" s="2145"/>
      <c r="S67" s="2145"/>
      <c r="T67" s="2145"/>
      <c r="U67" s="2145"/>
      <c r="V67" s="2145"/>
      <c r="W67" s="2145"/>
      <c r="X67" s="2145"/>
      <c r="Y67" s="2145"/>
      <c r="Z67" s="2145"/>
      <c r="AA67" s="2145"/>
      <c r="AB67" s="2145"/>
      <c r="AC67" s="2145"/>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746</v>
      </c>
      <c r="C69" s="689"/>
      <c r="D69" s="689"/>
      <c r="E69" s="689"/>
      <c r="F69" s="689"/>
      <c r="G69" s="689"/>
      <c r="H69" s="719"/>
      <c r="I69" s="719"/>
      <c r="J69" s="719"/>
      <c r="K69" s="720"/>
      <c r="L69" s="721"/>
      <c r="M69" s="722"/>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C70-$K22</f>
        <v>100</v>
      </c>
      <c r="E70" s="680"/>
      <c r="F70" s="680"/>
      <c r="G70" s="680"/>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s="1221" customFormat="1" ht="15.75" thickTop="1">
      <c r="A71" s="710"/>
      <c r="B71" s="674">
        <f>B23</f>
        <v>111</v>
      </c>
      <c r="C71" s="542"/>
      <c r="D71" s="542"/>
      <c r="E71" s="542"/>
      <c r="F71" s="542"/>
      <c r="G71" s="689"/>
      <c r="H71" s="689"/>
      <c r="I71" s="689"/>
      <c r="J71" s="689"/>
      <c r="K71" s="689"/>
      <c r="L71" s="891"/>
      <c r="M71" s="892"/>
      <c r="N71" s="2162"/>
      <c r="O71" s="2162"/>
      <c r="P71" s="2165"/>
      <c r="Q71" s="2158"/>
      <c r="R71" s="1993"/>
      <c r="S71" s="1993"/>
      <c r="T71" s="1993"/>
      <c r="U71" s="1993"/>
      <c r="V71" s="1993"/>
      <c r="W71" s="1993"/>
      <c r="X71" s="1993"/>
      <c r="Y71" s="1993"/>
      <c r="Z71" s="1993"/>
      <c r="AA71" s="1993"/>
      <c r="AB71" s="1993"/>
      <c r="AC71" s="1993"/>
    </row>
    <row r="72" spans="1:29" s="1221" customFormat="1" ht="15.75" thickBot="1">
      <c r="A72" s="710"/>
      <c r="B72" s="679"/>
      <c r="C72" s="693"/>
      <c r="D72" s="672"/>
      <c r="E72" s="672"/>
      <c r="F72" s="672"/>
      <c r="G72" s="672"/>
      <c r="H72" s="672"/>
      <c r="I72" s="672"/>
      <c r="J72" s="672"/>
      <c r="K72" s="672"/>
      <c r="L72" s="672"/>
      <c r="M72" s="673"/>
      <c r="N72" s="2166"/>
      <c r="O72" s="2166"/>
      <c r="P72" s="2165"/>
      <c r="Q72" s="2158"/>
      <c r="R72" s="1993"/>
      <c r="S72" s="1993"/>
      <c r="T72" s="1993"/>
      <c r="U72" s="1993"/>
      <c r="V72" s="1993"/>
      <c r="W72" s="1993"/>
      <c r="X72" s="1993"/>
      <c r="Y72" s="1993"/>
      <c r="Z72" s="1993"/>
      <c r="AA72" s="1993"/>
      <c r="AB72" s="1993"/>
      <c r="AC72" s="1993"/>
    </row>
    <row r="73" spans="1:29" s="1221" customFormat="1" ht="15.75" thickTop="1">
      <c r="A73" s="710"/>
      <c r="B73" s="674">
        <f>B24</f>
        <v>111</v>
      </c>
      <c r="C73" s="542"/>
      <c r="D73" s="542"/>
      <c r="E73" s="542"/>
      <c r="F73" s="542"/>
      <c r="G73" s="689"/>
      <c r="H73" s="689"/>
      <c r="I73" s="689"/>
      <c r="J73" s="689"/>
      <c r="K73" s="689"/>
      <c r="L73" s="689"/>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340" customFormat="1" ht="15.75" thickTop="1">
      <c r="A75" s="688"/>
      <c r="B75" s="674">
        <f>B25</f>
        <v>111</v>
      </c>
      <c r="C75" s="542"/>
      <c r="D75" s="542"/>
      <c r="E75" s="542"/>
      <c r="F75" s="542"/>
      <c r="G75" s="689"/>
      <c r="H75" s="690"/>
      <c r="I75" s="690"/>
      <c r="J75" s="690"/>
      <c r="K75" s="690"/>
      <c r="L75" s="691"/>
      <c r="M75" s="692"/>
      <c r="N75" s="2167"/>
      <c r="O75" s="2167"/>
      <c r="P75" s="2168"/>
      <c r="Q75" s="2169"/>
      <c r="R75" s="2170"/>
      <c r="S75" s="2170"/>
      <c r="T75" s="2170"/>
      <c r="U75" s="2170"/>
      <c r="V75" s="2170"/>
      <c r="W75" s="2170"/>
      <c r="X75" s="2170"/>
      <c r="Y75" s="2170"/>
      <c r="Z75" s="2170"/>
      <c r="AA75" s="2170"/>
      <c r="AB75" s="2170"/>
      <c r="AC75" s="2170"/>
    </row>
    <row r="76" spans="1:29" s="1340" customFormat="1" ht="15.75" thickBot="1">
      <c r="A76" s="688"/>
      <c r="B76" s="679"/>
      <c r="C76" s="693"/>
      <c r="D76" s="693"/>
      <c r="E76" s="693"/>
      <c r="F76" s="693"/>
      <c r="G76" s="672"/>
      <c r="H76" s="672"/>
      <c r="I76" s="672"/>
      <c r="J76" s="672"/>
      <c r="K76" s="672"/>
      <c r="L76" s="672"/>
      <c r="M76" s="673"/>
      <c r="N76" s="2167"/>
      <c r="O76" s="2167"/>
      <c r="P76" s="2168"/>
      <c r="Q76" s="2169"/>
      <c r="R76" s="2170"/>
      <c r="S76" s="2170"/>
      <c r="T76" s="2170"/>
      <c r="U76" s="2170"/>
      <c r="V76" s="2170"/>
      <c r="W76" s="2170"/>
      <c r="X76" s="2170"/>
      <c r="Y76" s="2170"/>
      <c r="Z76" s="2170"/>
      <c r="AA76" s="2170"/>
      <c r="AB76" s="2170"/>
      <c r="AC76" s="2170"/>
    </row>
    <row r="77" spans="1:29" ht="15" thickTop="1">
      <c r="A77" s="665" t="s">
        <v>552</v>
      </c>
      <c r="B77" s="666" t="s">
        <v>752</v>
      </c>
      <c r="C77" s="689"/>
      <c r="D77" s="68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2"/>
      <c r="O79" s="2162"/>
      <c r="P79" s="2165"/>
      <c r="Q79" s="2158"/>
      <c r="R79" s="2145"/>
      <c r="S79" s="2145"/>
      <c r="T79" s="2145"/>
      <c r="U79" s="2145"/>
      <c r="V79" s="2145"/>
      <c r="W79" s="2145"/>
      <c r="X79" s="2145"/>
      <c r="Y79" s="2145"/>
      <c r="Z79" s="2145"/>
      <c r="AA79" s="2145"/>
      <c r="AB79" s="2145"/>
      <c r="AC79" s="2145"/>
    </row>
    <row r="80" spans="1:29" ht="15">
      <c r="A80" s="670"/>
      <c r="B80" s="682"/>
      <c r="C80" s="895">
        <v>0.5</v>
      </c>
      <c r="D80" s="895">
        <v>0.6</v>
      </c>
      <c r="E80" s="895">
        <v>0.7</v>
      </c>
      <c r="F80" s="895">
        <v>0.8</v>
      </c>
      <c r="G80" s="895">
        <v>0.9</v>
      </c>
      <c r="H80" s="895">
        <v>1.0001</v>
      </c>
      <c r="I80" s="936"/>
      <c r="J80" s="936"/>
      <c r="K80" s="946"/>
      <c r="L80" s="947"/>
      <c r="M80" s="948"/>
      <c r="N80" s="2162"/>
      <c r="O80" s="2162"/>
      <c r="P80" s="2165"/>
      <c r="Q80" s="2158"/>
      <c r="R80" s="2145"/>
      <c r="S80" s="2145"/>
      <c r="T80" s="2145"/>
      <c r="U80" s="2145"/>
      <c r="V80" s="2145"/>
      <c r="W80" s="2145"/>
      <c r="X80" s="2145"/>
      <c r="Y80" s="2145"/>
      <c r="Z80" s="2145"/>
      <c r="AA80" s="2145"/>
      <c r="AB80" s="2145"/>
      <c r="AC80" s="2145"/>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6"/>
      <c r="B82" s="682" t="s">
        <v>818</v>
      </c>
      <c r="C82" s="689"/>
      <c r="D82" s="689"/>
      <c r="E82" s="719"/>
      <c r="F82" s="719"/>
      <c r="G82" s="719"/>
      <c r="H82" s="719"/>
      <c r="I82" s="719"/>
      <c r="J82" s="719"/>
      <c r="K82" s="720"/>
      <c r="L82" s="721"/>
      <c r="M82" s="722"/>
      <c r="N82" s="2164"/>
      <c r="O82" s="2164"/>
      <c r="P82" s="2165"/>
      <c r="Q82" s="2158"/>
      <c r="R82" s="2145"/>
      <c r="S82" s="2145"/>
      <c r="T82" s="2145"/>
      <c r="U82" s="2145"/>
      <c r="V82" s="2145"/>
      <c r="W82" s="2145"/>
      <c r="X82" s="2145"/>
      <c r="Y82" s="2145"/>
      <c r="Z82" s="2145"/>
      <c r="AA82" s="2145"/>
      <c r="AB82" s="2145"/>
      <c r="AC82" s="2145"/>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6"/>
      <c r="B84" s="674" t="s">
        <v>826</v>
      </c>
      <c r="C84" s="689"/>
      <c r="D84" s="689"/>
      <c r="E84" s="689"/>
      <c r="F84" s="689"/>
      <c r="G84" s="689"/>
      <c r="H84" s="689"/>
      <c r="I84" s="719"/>
      <c r="J84" s="719"/>
      <c r="K84" s="720"/>
      <c r="L84" s="721"/>
      <c r="M84" s="722"/>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4"/>
      <c r="O86" s="2164"/>
      <c r="P86" s="2165"/>
      <c r="Q86" s="2158"/>
      <c r="R86" s="2145"/>
      <c r="S86" s="2145"/>
      <c r="T86" s="2145"/>
      <c r="U86" s="2145"/>
      <c r="V86" s="2145"/>
      <c r="W86" s="2145"/>
      <c r="X86" s="2145"/>
      <c r="Y86" s="2145"/>
      <c r="Z86" s="2145"/>
      <c r="AA86" s="2145"/>
      <c r="AB86" s="2145"/>
      <c r="AC86" s="2145"/>
    </row>
    <row r="87" spans="1:29">
      <c r="A87" s="736"/>
      <c r="B87" s="682"/>
      <c r="C87" s="731"/>
      <c r="D87" s="731"/>
      <c r="E87" s="731"/>
      <c r="F87" s="731"/>
      <c r="G87" s="731"/>
      <c r="H87" s="731"/>
      <c r="I87" s="731"/>
      <c r="J87" s="732"/>
      <c r="K87" s="732"/>
      <c r="L87" s="733"/>
      <c r="M87" s="734"/>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93"/>
      <c r="D88" s="672"/>
      <c r="E88" s="672"/>
      <c r="F88" s="672"/>
      <c r="G88" s="672"/>
      <c r="H88" s="672"/>
      <c r="I88" s="672"/>
      <c r="J88" s="672"/>
      <c r="K88" s="672"/>
      <c r="L88" s="672"/>
      <c r="M88" s="672"/>
      <c r="N88" s="2166"/>
      <c r="O88" s="2166"/>
      <c r="P88" s="2165"/>
      <c r="Q88" s="2158"/>
      <c r="R88" s="2145"/>
      <c r="S88" s="2145"/>
      <c r="T88" s="2145"/>
      <c r="U88" s="2145"/>
      <c r="V88" s="2145"/>
      <c r="W88" s="2145"/>
      <c r="X88" s="2145"/>
      <c r="Y88" s="2145"/>
      <c r="Z88" s="2145"/>
      <c r="AA88" s="2145"/>
      <c r="AB88" s="2145"/>
      <c r="AC88" s="2145"/>
    </row>
    <row r="89" spans="1:29" s="1340" customFormat="1" ht="15" thickTop="1">
      <c r="A89" s="729"/>
      <c r="B89" s="674" t="s">
        <v>828</v>
      </c>
      <c r="C89" s="689"/>
      <c r="D89" s="689"/>
      <c r="E89" s="689"/>
      <c r="F89" s="689"/>
      <c r="G89" s="689"/>
      <c r="H89" s="689"/>
      <c r="I89" s="689"/>
      <c r="J89" s="689"/>
      <c r="K89" s="689"/>
      <c r="L89" s="689"/>
      <c r="M89" s="892"/>
      <c r="N89" s="2167"/>
      <c r="O89" s="2167"/>
      <c r="P89" s="2168"/>
      <c r="Q89" s="2169"/>
      <c r="R89" s="2170"/>
      <c r="S89" s="2170"/>
      <c r="T89" s="2170"/>
      <c r="U89" s="2170"/>
      <c r="V89" s="2170"/>
      <c r="W89" s="2170"/>
      <c r="X89" s="2170"/>
      <c r="Y89" s="2170"/>
      <c r="Z89" s="2170"/>
      <c r="AA89" s="2170"/>
      <c r="AB89" s="2170"/>
      <c r="AC89" s="2170"/>
    </row>
    <row r="90" spans="1:29" s="1340" customFormat="1" ht="15.75" thickBot="1">
      <c r="A90" s="688"/>
      <c r="B90" s="679"/>
      <c r="C90" s="693"/>
      <c r="D90" s="672"/>
      <c r="E90" s="672"/>
      <c r="F90" s="672"/>
      <c r="G90" s="672"/>
      <c r="H90" s="672"/>
      <c r="I90" s="672"/>
      <c r="J90" s="672"/>
      <c r="K90" s="672"/>
      <c r="L90" s="672"/>
      <c r="M90" s="673"/>
      <c r="N90" s="2167"/>
      <c r="O90" s="2167"/>
      <c r="P90" s="2168"/>
      <c r="Q90" s="2169"/>
      <c r="R90" s="2170"/>
      <c r="S90" s="2170"/>
      <c r="T90" s="2170"/>
      <c r="U90" s="2170"/>
      <c r="V90" s="2170"/>
      <c r="W90" s="2170"/>
      <c r="X90" s="2170"/>
      <c r="Y90" s="2170"/>
      <c r="Z90" s="2170"/>
      <c r="AA90" s="2170"/>
      <c r="AB90" s="2170"/>
      <c r="AC90" s="2170"/>
    </row>
    <row r="91" spans="1:29" ht="15" thickTop="1">
      <c r="A91" s="736"/>
      <c r="B91" s="674">
        <f>B32</f>
        <v>111</v>
      </c>
      <c r="C91" s="542"/>
      <c r="D91" s="542"/>
      <c r="E91" s="542"/>
      <c r="F91" s="542"/>
      <c r="G91" s="689"/>
      <c r="H91" s="690"/>
      <c r="I91" s="690"/>
      <c r="J91" s="690"/>
      <c r="K91" s="690"/>
      <c r="L91" s="691"/>
      <c r="M91" s="692"/>
      <c r="N91" s="2164"/>
      <c r="O91" s="2164"/>
      <c r="P91" s="2165"/>
      <c r="Q91" s="2158"/>
      <c r="R91" s="2145"/>
      <c r="S91" s="2145"/>
      <c r="T91" s="2145"/>
      <c r="U91" s="2145"/>
      <c r="V91" s="2145"/>
      <c r="W91" s="2145"/>
      <c r="X91" s="2145"/>
      <c r="Y91" s="2145"/>
      <c r="Z91" s="2145"/>
      <c r="AA91" s="2145"/>
      <c r="AB91" s="2145"/>
      <c r="AC91" s="2145"/>
    </row>
    <row r="92" spans="1:29" ht="15.75" thickBot="1">
      <c r="A92" s="670"/>
      <c r="B92" s="679"/>
      <c r="C92" s="693"/>
      <c r="D92" s="672"/>
      <c r="E92" s="672"/>
      <c r="F92" s="672"/>
      <c r="G92" s="693"/>
      <c r="H92" s="694"/>
      <c r="I92" s="694"/>
      <c r="J92" s="694"/>
      <c r="K92" s="694"/>
      <c r="L92" s="694"/>
      <c r="M92" s="695"/>
      <c r="N92" s="2166"/>
      <c r="O92" s="2166"/>
      <c r="P92" s="2165"/>
      <c r="Q92" s="2158"/>
      <c r="R92" s="2145"/>
      <c r="S92" s="2145"/>
      <c r="T92" s="2145"/>
      <c r="U92" s="2145"/>
      <c r="V92" s="2145"/>
      <c r="W92" s="2145"/>
      <c r="X92" s="2145"/>
      <c r="Y92" s="2145"/>
      <c r="Z92" s="2145"/>
      <c r="AA92" s="2145"/>
      <c r="AB92" s="2145"/>
      <c r="AC92" s="2145"/>
    </row>
    <row r="93" spans="1:29" ht="15" thickTop="1">
      <c r="A93" s="736"/>
      <c r="B93" s="674">
        <f>B33</f>
        <v>111</v>
      </c>
      <c r="C93" s="542"/>
      <c r="D93" s="542"/>
      <c r="E93" s="542"/>
      <c r="F93" s="542"/>
      <c r="G93" s="689"/>
      <c r="H93" s="690"/>
      <c r="I93" s="690"/>
      <c r="J93" s="690"/>
      <c r="K93" s="690"/>
      <c r="L93" s="691"/>
      <c r="M93" s="69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93"/>
      <c r="H94" s="694"/>
      <c r="I94" s="694"/>
      <c r="J94" s="694"/>
      <c r="K94" s="694"/>
      <c r="L94" s="694"/>
      <c r="M94" s="695"/>
      <c r="N94" s="2166"/>
      <c r="O94" s="2166"/>
      <c r="P94" s="2165"/>
      <c r="Q94" s="2158"/>
      <c r="R94" s="2145"/>
      <c r="S94" s="2145"/>
      <c r="T94" s="2145"/>
      <c r="U94" s="2145"/>
      <c r="V94" s="2145"/>
      <c r="W94" s="2145"/>
      <c r="X94" s="2145"/>
      <c r="Y94" s="2145"/>
      <c r="Z94" s="2145"/>
      <c r="AA94" s="2145"/>
      <c r="AB94" s="2145"/>
      <c r="AC94" s="2145"/>
    </row>
    <row r="95" spans="1:29" ht="15" thickTop="1">
      <c r="A95" s="736"/>
      <c r="B95" s="918">
        <f>B34</f>
        <v>111</v>
      </c>
      <c r="C95" s="542"/>
      <c r="D95" s="542"/>
      <c r="E95" s="542"/>
      <c r="F95" s="542"/>
      <c r="G95" s="689"/>
      <c r="H95" s="690"/>
      <c r="I95" s="690"/>
      <c r="J95" s="690"/>
      <c r="K95" s="690"/>
      <c r="L95" s="691"/>
      <c r="M95" s="692"/>
      <c r="N95" s="2166"/>
      <c r="O95" s="2166"/>
      <c r="P95" s="2205"/>
      <c r="Q95" s="2206"/>
      <c r="R95" s="2145"/>
      <c r="S95" s="2145"/>
      <c r="T95" s="2145"/>
      <c r="U95" s="2145"/>
      <c r="V95" s="2145"/>
      <c r="W95" s="2145"/>
      <c r="X95" s="2145"/>
      <c r="Y95" s="2145"/>
      <c r="Z95" s="2145"/>
      <c r="AA95" s="2145"/>
      <c r="AB95" s="2145"/>
      <c r="AC95" s="2145"/>
    </row>
    <row r="96" spans="1:29" ht="15.75" thickBot="1">
      <c r="A96" s="670"/>
      <c r="B96" s="679"/>
      <c r="C96" s="693"/>
      <c r="D96" s="693"/>
      <c r="E96" s="693"/>
      <c r="F96" s="693"/>
      <c r="G96" s="693"/>
      <c r="H96" s="694"/>
      <c r="I96" s="694"/>
      <c r="J96" s="694"/>
      <c r="K96" s="694"/>
      <c r="L96" s="694"/>
      <c r="M96" s="695"/>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43089</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3</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Q33" sqref="Q33"/>
    </sheetView>
  </sheetViews>
  <sheetFormatPr defaultRowHeight="14.25"/>
  <cols>
    <col min="1" max="1" width="10.5" style="1338" customWidth="1"/>
    <col min="2" max="2" width="15.75" style="1338" customWidth="1"/>
    <col min="3" max="3" width="15.125" style="1338" customWidth="1"/>
    <col min="4" max="4" width="12.25" style="1338" customWidth="1"/>
    <col min="5" max="5" width="16" style="1338" customWidth="1"/>
    <col min="6" max="6" width="12.25" style="1338" customWidth="1"/>
    <col min="7" max="7" width="17.12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3092</v>
      </c>
      <c r="E1" s="2650"/>
      <c r="F1" s="2833" t="s">
        <v>3089</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69724</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15133</v>
      </c>
      <c r="C3" s="853" t="s">
        <v>723</v>
      </c>
      <c r="D3" s="852">
        <f>SUMIF('数据-汇总表'!$C19:$C33,D1,'数据-汇总表'!$E19:$E33)</f>
        <v>46073.919999999998</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15" t="s">
        <v>523</v>
      </c>
      <c r="D4" s="3416"/>
      <c r="E4" s="3449" t="s">
        <v>524</v>
      </c>
      <c r="F4" s="3450"/>
      <c r="G4" s="3415" t="s">
        <v>525</v>
      </c>
      <c r="H4" s="3416"/>
      <c r="I4" s="3415" t="s">
        <v>526</v>
      </c>
      <c r="J4" s="3416"/>
      <c r="K4" s="854" t="s">
        <v>527</v>
      </c>
      <c r="L4" s="2133"/>
      <c r="M4" s="2134"/>
      <c r="N4" s="2134"/>
      <c r="O4" s="2134"/>
      <c r="P4" s="3417" t="s">
        <v>528</v>
      </c>
      <c r="Q4" s="3418"/>
      <c r="R4" s="3423" t="s">
        <v>524</v>
      </c>
      <c r="S4" s="3424"/>
      <c r="T4" s="3423" t="s">
        <v>525</v>
      </c>
      <c r="U4" s="3424"/>
      <c r="V4" s="3410" t="s">
        <v>526</v>
      </c>
      <c r="W4" s="3410"/>
      <c r="X4" s="3198"/>
      <c r="Y4" s="3423" t="s">
        <v>528</v>
      </c>
      <c r="Z4" s="3424"/>
      <c r="AA4" s="3412" t="s">
        <v>524</v>
      </c>
      <c r="AB4" s="3412" t="s">
        <v>525</v>
      </c>
      <c r="AC4" s="3412" t="s">
        <v>526</v>
      </c>
    </row>
    <row r="5" spans="1:29" ht="15">
      <c r="A5" s="516"/>
      <c r="B5" s="517"/>
      <c r="C5" s="3431" t="s">
        <v>2928</v>
      </c>
      <c r="D5" s="3432"/>
      <c r="E5" s="3451" t="str">
        <f>Sheet2!A17</f>
        <v>通用陆院</v>
      </c>
      <c r="F5" s="3452"/>
      <c r="G5" s="3431" t="str">
        <f>Sheet2!A18</f>
        <v>中海公园城</v>
      </c>
      <c r="H5" s="3432"/>
      <c r="I5" s="3431" t="str">
        <f>Sheet2!A19</f>
        <v>天嘉湖花园</v>
      </c>
      <c r="J5" s="3432"/>
      <c r="K5" s="855"/>
      <c r="L5" s="2133"/>
      <c r="M5" s="2134"/>
      <c r="N5" s="2134"/>
      <c r="O5" s="2134"/>
      <c r="P5" s="3419"/>
      <c r="Q5" s="3420"/>
      <c r="R5" s="3425"/>
      <c r="S5" s="3426"/>
      <c r="T5" s="3425"/>
      <c r="U5" s="3426"/>
      <c r="V5" s="3410"/>
      <c r="W5" s="3410"/>
      <c r="X5" s="3198"/>
      <c r="Y5" s="3425"/>
      <c r="Z5" s="3426"/>
      <c r="AA5" s="3413"/>
      <c r="AB5" s="3413"/>
      <c r="AC5" s="3413"/>
    </row>
    <row r="6" spans="1:29" ht="15.75" thickBot="1">
      <c r="A6" s="518"/>
      <c r="B6" s="519"/>
      <c r="C6" s="3429" t="s">
        <v>2932</v>
      </c>
      <c r="D6" s="3430"/>
      <c r="E6" s="3447" t="s">
        <v>2932</v>
      </c>
      <c r="F6" s="3448"/>
      <c r="G6" s="3429" t="s">
        <v>2932</v>
      </c>
      <c r="H6" s="3430"/>
      <c r="I6" s="3429" t="s">
        <v>2932</v>
      </c>
      <c r="J6" s="3430"/>
      <c r="K6" s="855" t="s">
        <v>529</v>
      </c>
      <c r="L6" s="2133"/>
      <c r="M6" s="2134"/>
      <c r="N6" s="2134"/>
      <c r="O6" s="2134"/>
      <c r="P6" s="3421"/>
      <c r="Q6" s="3422"/>
      <c r="R6" s="3425"/>
      <c r="S6" s="3426"/>
      <c r="T6" s="3427"/>
      <c r="U6" s="3428"/>
      <c r="V6" s="3410"/>
      <c r="W6" s="3410"/>
      <c r="X6" s="3198"/>
      <c r="Y6" s="3427"/>
      <c r="Z6" s="3428"/>
      <c r="AA6" s="3414"/>
      <c r="AB6" s="3414"/>
      <c r="AC6" s="3414"/>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40" t="s">
        <v>531</v>
      </c>
      <c r="Q7" s="3442"/>
      <c r="R7" s="1569" t="s">
        <v>13</v>
      </c>
      <c r="S7" s="1570">
        <f t="shared" ref="S7:S15" si="0">F7</f>
        <v>100</v>
      </c>
      <c r="T7" s="1569" t="s">
        <v>13</v>
      </c>
      <c r="U7" s="1570">
        <f t="shared" ref="U7:U15" si="1">H7</f>
        <v>100</v>
      </c>
      <c r="V7" s="1569" t="s">
        <v>13</v>
      </c>
      <c r="W7" s="1570">
        <f t="shared" ref="W7:W15" si="2">J7</f>
        <v>100</v>
      </c>
      <c r="X7" s="1571"/>
      <c r="Y7" s="3440" t="s">
        <v>531</v>
      </c>
      <c r="Z7" s="3441"/>
      <c r="AA7" s="1572">
        <f>D7/F7</f>
        <v>1</v>
      </c>
      <c r="AB7" s="1572">
        <f>D7/H7</f>
        <v>1</v>
      </c>
      <c r="AC7" s="1572">
        <f>D7/J7</f>
        <v>1</v>
      </c>
    </row>
    <row r="8" spans="1:29" s="1221" customFormat="1" ht="15.75" thickBot="1">
      <c r="A8" s="2939"/>
      <c r="B8" s="2946" t="s">
        <v>532</v>
      </c>
      <c r="C8" s="526" t="s">
        <v>577</v>
      </c>
      <c r="D8" s="521">
        <v>100</v>
      </c>
      <c r="E8" s="3192" t="s">
        <v>3087</v>
      </c>
      <c r="F8" s="523">
        <f>SUMIF(61:61,E8,62:62)-SUMIF(61:61,C8,62:62)+100</f>
        <v>100</v>
      </c>
      <c r="G8" s="3193" t="s">
        <v>3087</v>
      </c>
      <c r="H8" s="521">
        <f>SUMIF(61:61,G8,62:62)-SUMIF(61:61,C8,62:62)+100</f>
        <v>100</v>
      </c>
      <c r="I8" s="3192" t="s">
        <v>3087</v>
      </c>
      <c r="J8" s="521">
        <f>SUMIF(61:61,I8,62:62)-SUMIF(61:61,C8,62:62)+100</f>
        <v>100</v>
      </c>
      <c r="K8" s="856"/>
      <c r="L8" s="2135"/>
      <c r="M8" s="2136"/>
      <c r="N8" s="2136"/>
      <c r="O8" s="2136"/>
      <c r="P8" s="3440" t="s">
        <v>534</v>
      </c>
      <c r="Q8" s="3441"/>
      <c r="R8" s="1569" t="s">
        <v>13</v>
      </c>
      <c r="S8" s="1570">
        <f t="shared" si="0"/>
        <v>100</v>
      </c>
      <c r="T8" s="1569" t="s">
        <v>13</v>
      </c>
      <c r="U8" s="1570">
        <f t="shared" si="1"/>
        <v>100</v>
      </c>
      <c r="V8" s="1569" t="s">
        <v>13</v>
      </c>
      <c r="W8" s="1570">
        <f t="shared" si="2"/>
        <v>100</v>
      </c>
      <c r="X8" s="1571"/>
      <c r="Y8" s="3440" t="s">
        <v>534</v>
      </c>
      <c r="Z8" s="3441"/>
      <c r="AA8" s="1572">
        <f t="shared" ref="AA8:AA46" si="3">D8/F8</f>
        <v>1</v>
      </c>
      <c r="AB8" s="1572">
        <f t="shared" ref="AB8:AB46" si="4">D8/H8</f>
        <v>1</v>
      </c>
      <c r="AC8" s="1572">
        <f t="shared" ref="AC8:AC46" si="5">D8/J8</f>
        <v>1</v>
      </c>
    </row>
    <row r="9" spans="1:29" s="1221" customFormat="1" ht="15">
      <c r="A9" s="2940"/>
      <c r="B9" s="2947" t="s">
        <v>2762</v>
      </c>
      <c r="C9" s="3223" t="s">
        <v>3173</v>
      </c>
      <c r="D9" s="252">
        <v>100</v>
      </c>
      <c r="E9" s="859" t="s">
        <v>923</v>
      </c>
      <c r="F9" s="860">
        <f>SUMIF(63:63,E9,64:64)-SUMIF(63:63,C9,64:64)+100</f>
        <v>100</v>
      </c>
      <c r="G9" s="3225" t="s">
        <v>3032</v>
      </c>
      <c r="H9" s="252">
        <f>SUMIF(63:63,G9,64:64)-SUMIF(63:63,C9,64:64)+100</f>
        <v>100</v>
      </c>
      <c r="I9" s="3225" t="s">
        <v>3173</v>
      </c>
      <c r="J9" s="252">
        <f>SUMIF(63:63,I9,64:64)-SUMIF(63:63,C9,64:64)+100</f>
        <v>100</v>
      </c>
      <c r="K9" s="856"/>
      <c r="L9" s="2135"/>
      <c r="M9" s="2136"/>
      <c r="N9" s="2136"/>
      <c r="O9" s="2137"/>
      <c r="P9" s="3409" t="s">
        <v>536</v>
      </c>
      <c r="Q9" s="3195" t="str">
        <f t="shared" ref="Q9:Q15" si="6">B9</f>
        <v>用途</v>
      </c>
      <c r="R9" s="1569" t="s">
        <v>8</v>
      </c>
      <c r="S9" s="1570">
        <f t="shared" si="0"/>
        <v>100</v>
      </c>
      <c r="T9" s="1569" t="s">
        <v>8</v>
      </c>
      <c r="U9" s="1570">
        <f t="shared" si="1"/>
        <v>100</v>
      </c>
      <c r="V9" s="1569" t="s">
        <v>8</v>
      </c>
      <c r="W9" s="1570">
        <f t="shared" si="2"/>
        <v>100</v>
      </c>
      <c r="X9" s="1571"/>
      <c r="Y9" s="3355" t="s">
        <v>537</v>
      </c>
      <c r="Z9" s="3194" t="str">
        <f t="shared" ref="Z9:Z15" si="7">Q9</f>
        <v>用途</v>
      </c>
      <c r="AA9" s="1572">
        <f t="shared" si="3"/>
        <v>1</v>
      </c>
      <c r="AB9" s="1572">
        <f t="shared" si="4"/>
        <v>1</v>
      </c>
      <c r="AC9" s="1572">
        <f t="shared" si="5"/>
        <v>1</v>
      </c>
    </row>
    <row r="10" spans="1:29" s="1339" customFormat="1" ht="27">
      <c r="A10" s="2941"/>
      <c r="B10" s="2946" t="s">
        <v>2763</v>
      </c>
      <c r="C10" s="862" t="s">
        <v>3135</v>
      </c>
      <c r="D10" s="253">
        <v>100</v>
      </c>
      <c r="E10" s="863" t="s">
        <v>3135</v>
      </c>
      <c r="F10" s="864">
        <f>SUMIF(65:65,E10,66:66)-SUMIF(65:65,C10,66:66)+100</f>
        <v>100</v>
      </c>
      <c r="G10" s="862" t="s">
        <v>3135</v>
      </c>
      <c r="H10" s="253">
        <f>SUMIF(65:65,G10,66:66)-SUMIF(65:65,C10,66:66)+100</f>
        <v>100</v>
      </c>
      <c r="I10" s="862" t="s">
        <v>3135</v>
      </c>
      <c r="J10" s="253">
        <f>SUMIF(65:65,I10,66:66)-SUMIF(65:65,C10,66:66)+100</f>
        <v>100</v>
      </c>
      <c r="K10" s="865"/>
      <c r="L10" s="2138"/>
      <c r="M10" s="2178"/>
      <c r="N10" s="2178"/>
      <c r="O10" s="2139"/>
      <c r="P10" s="3409"/>
      <c r="Q10" s="3195" t="str">
        <f t="shared" si="6"/>
        <v>土地使用年限（年）</v>
      </c>
      <c r="R10" s="1569" t="s">
        <v>8</v>
      </c>
      <c r="S10" s="1570">
        <f t="shared" si="0"/>
        <v>100</v>
      </c>
      <c r="T10" s="1569" t="s">
        <v>8</v>
      </c>
      <c r="U10" s="1570">
        <f t="shared" si="1"/>
        <v>100</v>
      </c>
      <c r="V10" s="1569" t="s">
        <v>8</v>
      </c>
      <c r="W10" s="1570">
        <f t="shared" si="2"/>
        <v>100</v>
      </c>
      <c r="X10" s="1571"/>
      <c r="Y10" s="3355"/>
      <c r="Z10" s="3194"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f>Sheet2!D17</f>
        <v>1.6</v>
      </c>
      <c r="F11" s="864">
        <f>LOOKUP(E11,68:68,69:69)-LOOKUP(C11,68:68,69:69)+100</f>
        <v>100</v>
      </c>
      <c r="G11" s="534">
        <f>Sheet2!D18</f>
        <v>1.01</v>
      </c>
      <c r="H11" s="253">
        <f>LOOKUP(G11,68:68,69:69)-LOOKUP(C11,68:68,69:69)+100</f>
        <v>100</v>
      </c>
      <c r="I11" s="534">
        <f>Sheet2!D19</f>
        <v>1.2</v>
      </c>
      <c r="J11" s="253">
        <f>LOOKUP(I11,68:68,69:69)-LOOKUP(C11,68:68,69:69)+100</f>
        <v>100</v>
      </c>
      <c r="K11" s="865"/>
      <c r="L11" s="2140"/>
      <c r="M11" s="2134"/>
      <c r="N11" s="2134"/>
      <c r="O11" s="2141"/>
      <c r="P11" s="3409"/>
      <c r="Q11" s="3195" t="str">
        <f t="shared" si="6"/>
        <v>容积率</v>
      </c>
      <c r="R11" s="1569" t="s">
        <v>11</v>
      </c>
      <c r="S11" s="1570">
        <f t="shared" si="0"/>
        <v>100</v>
      </c>
      <c r="T11" s="1569" t="s">
        <v>11</v>
      </c>
      <c r="U11" s="1570">
        <f t="shared" si="1"/>
        <v>100</v>
      </c>
      <c r="V11" s="1569" t="s">
        <v>11</v>
      </c>
      <c r="W11" s="1570">
        <f t="shared" si="2"/>
        <v>100</v>
      </c>
      <c r="X11" s="1571"/>
      <c r="Y11" s="3355"/>
      <c r="Z11" s="3194" t="str">
        <f t="shared" si="7"/>
        <v>容积率</v>
      </c>
      <c r="AA11" s="1572">
        <f t="shared" si="3"/>
        <v>1</v>
      </c>
      <c r="AB11" s="1572">
        <f t="shared" si="4"/>
        <v>1</v>
      </c>
      <c r="AC11" s="1572">
        <f t="shared" si="5"/>
        <v>1</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09"/>
      <c r="Q12" s="3195">
        <f t="shared" si="6"/>
        <v>111</v>
      </c>
      <c r="R12" s="1569" t="s">
        <v>11</v>
      </c>
      <c r="S12" s="1570">
        <f t="shared" si="0"/>
        <v>100</v>
      </c>
      <c r="T12" s="1569" t="s">
        <v>11</v>
      </c>
      <c r="U12" s="1570">
        <f t="shared" si="1"/>
        <v>100</v>
      </c>
      <c r="V12" s="1569" t="s">
        <v>11</v>
      </c>
      <c r="W12" s="1570">
        <f t="shared" si="2"/>
        <v>100</v>
      </c>
      <c r="X12" s="1571"/>
      <c r="Y12" s="3355"/>
      <c r="Z12" s="3194">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09"/>
      <c r="Q13" s="3195">
        <f t="shared" si="6"/>
        <v>111</v>
      </c>
      <c r="R13" s="1569" t="s">
        <v>11</v>
      </c>
      <c r="S13" s="1570">
        <f t="shared" si="0"/>
        <v>100</v>
      </c>
      <c r="T13" s="1569" t="s">
        <v>11</v>
      </c>
      <c r="U13" s="1570">
        <f t="shared" si="1"/>
        <v>100</v>
      </c>
      <c r="V13" s="1569" t="s">
        <v>11</v>
      </c>
      <c r="W13" s="1570">
        <f t="shared" si="2"/>
        <v>100</v>
      </c>
      <c r="X13" s="1571"/>
      <c r="Y13" s="3355"/>
      <c r="Z13" s="3194">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09"/>
      <c r="Q14" s="3195">
        <f t="shared" si="6"/>
        <v>111</v>
      </c>
      <c r="R14" s="1569" t="s">
        <v>11</v>
      </c>
      <c r="S14" s="1570">
        <f t="shared" si="0"/>
        <v>100</v>
      </c>
      <c r="T14" s="1569" t="s">
        <v>11</v>
      </c>
      <c r="U14" s="1570">
        <f t="shared" si="1"/>
        <v>100</v>
      </c>
      <c r="V14" s="1569" t="s">
        <v>11</v>
      </c>
      <c r="W14" s="1570">
        <f t="shared" si="2"/>
        <v>100</v>
      </c>
      <c r="X14" s="1571"/>
      <c r="Y14" s="3355"/>
      <c r="Z14" s="3194">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100</v>
      </c>
      <c r="I15" s="551"/>
      <c r="J15" s="550">
        <f>SUMIF(76:76,I16,77:77)-SUMIF(76:76,C16,77:77)+100</f>
        <v>100</v>
      </c>
      <c r="K15" s="869">
        <v>2</v>
      </c>
      <c r="L15" s="2142"/>
      <c r="M15" s="2134"/>
      <c r="N15" s="2134"/>
      <c r="O15" s="2141"/>
      <c r="P15" s="3443" t="s">
        <v>541</v>
      </c>
      <c r="Q15" s="3196" t="str">
        <f t="shared" si="6"/>
        <v>居住社区成熟度</v>
      </c>
      <c r="R15" s="1574" t="s">
        <v>11</v>
      </c>
      <c r="S15" s="1575">
        <f t="shared" si="0"/>
        <v>102</v>
      </c>
      <c r="T15" s="1574" t="s">
        <v>11</v>
      </c>
      <c r="U15" s="1575">
        <f t="shared" si="1"/>
        <v>100</v>
      </c>
      <c r="V15" s="1574" t="s">
        <v>11</v>
      </c>
      <c r="W15" s="1575">
        <f t="shared" si="2"/>
        <v>100</v>
      </c>
      <c r="X15" s="3198"/>
      <c r="Y15" s="3443" t="s">
        <v>541</v>
      </c>
      <c r="Z15" s="3197" t="str">
        <f t="shared" si="7"/>
        <v>居住社区成熟度</v>
      </c>
      <c r="AA15" s="3199">
        <f t="shared" si="3"/>
        <v>0.98039215686274506</v>
      </c>
      <c r="AB15" s="3199">
        <f t="shared" si="4"/>
        <v>1</v>
      </c>
      <c r="AC15" s="3199">
        <f t="shared" si="5"/>
        <v>1</v>
      </c>
    </row>
    <row r="16" spans="1:29" ht="15">
      <c r="A16" s="533"/>
      <c r="B16" s="870"/>
      <c r="C16" s="577" t="s">
        <v>3122</v>
      </c>
      <c r="D16" s="556"/>
      <c r="E16" s="557" t="s">
        <v>3010</v>
      </c>
      <c r="F16" s="558"/>
      <c r="G16" s="559" t="s">
        <v>3122</v>
      </c>
      <c r="H16" s="560"/>
      <c r="I16" s="557" t="s">
        <v>3122</v>
      </c>
      <c r="J16" s="556"/>
      <c r="K16" s="871"/>
      <c r="L16" s="2142"/>
      <c r="M16" s="2134"/>
      <c r="N16" s="2134"/>
      <c r="O16" s="2141"/>
      <c r="P16" s="3444"/>
      <c r="Q16" s="3196"/>
      <c r="R16" s="1574"/>
      <c r="S16" s="1575"/>
      <c r="T16" s="1574"/>
      <c r="U16" s="1575"/>
      <c r="V16" s="1574"/>
      <c r="W16" s="1575"/>
      <c r="X16" s="3198"/>
      <c r="Y16" s="3444"/>
      <c r="Z16" s="3197"/>
      <c r="AA16" s="3199">
        <v>1</v>
      </c>
      <c r="AB16" s="3199">
        <v>1</v>
      </c>
      <c r="AC16" s="3199">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98</v>
      </c>
      <c r="I17" s="563"/>
      <c r="J17" s="566">
        <f>SUMIF(78:78,I18,79:79)-SUMIF(78:78,C18,79:79)+100</f>
        <v>98</v>
      </c>
      <c r="K17" s="869">
        <v>2</v>
      </c>
      <c r="L17" s="2142"/>
      <c r="M17" s="2134"/>
      <c r="N17" s="2134"/>
      <c r="O17" s="2141"/>
      <c r="P17" s="3444"/>
      <c r="Q17" s="3196" t="str">
        <f>B17</f>
        <v>交通便捷度</v>
      </c>
      <c r="R17" s="1574" t="s">
        <v>11</v>
      </c>
      <c r="S17" s="1575">
        <f>F17</f>
        <v>100</v>
      </c>
      <c r="T17" s="1574" t="s">
        <v>11</v>
      </c>
      <c r="U17" s="1575">
        <f>H17</f>
        <v>98</v>
      </c>
      <c r="V17" s="1574" t="s">
        <v>11</v>
      </c>
      <c r="W17" s="1575">
        <f>J17</f>
        <v>98</v>
      </c>
      <c r="X17" s="3198"/>
      <c r="Y17" s="3444"/>
      <c r="Z17" s="3197" t="str">
        <f>Q17</f>
        <v>交通便捷度</v>
      </c>
      <c r="AA17" s="3199">
        <f t="shared" si="3"/>
        <v>1</v>
      </c>
      <c r="AB17" s="3199">
        <f t="shared" si="4"/>
        <v>1.0204081632653061</v>
      </c>
      <c r="AC17" s="3199">
        <f t="shared" si="5"/>
        <v>1.0204081632653061</v>
      </c>
    </row>
    <row r="18" spans="1:29" ht="15">
      <c r="A18" s="533"/>
      <c r="B18" s="596"/>
      <c r="C18" s="874" t="s">
        <v>3010</v>
      </c>
      <c r="D18" s="560"/>
      <c r="E18" s="569" t="s">
        <v>3010</v>
      </c>
      <c r="F18" s="564"/>
      <c r="G18" s="570" t="s">
        <v>3122</v>
      </c>
      <c r="H18" s="556"/>
      <c r="I18" s="569" t="s">
        <v>3122</v>
      </c>
      <c r="J18" s="556"/>
      <c r="K18" s="871"/>
      <c r="L18" s="2142"/>
      <c r="M18" s="2134"/>
      <c r="N18" s="2134"/>
      <c r="O18" s="2141"/>
      <c r="P18" s="3444"/>
      <c r="Q18" s="3196"/>
      <c r="R18" s="1574"/>
      <c r="S18" s="1575"/>
      <c r="T18" s="1574"/>
      <c r="U18" s="1575"/>
      <c r="V18" s="1574"/>
      <c r="W18" s="1575"/>
      <c r="X18" s="3198"/>
      <c r="Y18" s="3444"/>
      <c r="Z18" s="3197"/>
      <c r="AA18" s="3199">
        <v>1</v>
      </c>
      <c r="AB18" s="3199">
        <v>1</v>
      </c>
      <c r="AC18" s="3199">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v>2</v>
      </c>
      <c r="L19" s="2142"/>
      <c r="M19" s="2134"/>
      <c r="N19" s="2134"/>
      <c r="O19" s="2141"/>
      <c r="P19" s="3444"/>
      <c r="Q19" s="3196" t="str">
        <f>B19</f>
        <v>公共配套设施</v>
      </c>
      <c r="R19" s="1574" t="s">
        <v>11</v>
      </c>
      <c r="S19" s="1575">
        <f>F19</f>
        <v>100</v>
      </c>
      <c r="T19" s="1574" t="s">
        <v>11</v>
      </c>
      <c r="U19" s="1575">
        <f>H19</f>
        <v>100</v>
      </c>
      <c r="V19" s="1574" t="s">
        <v>11</v>
      </c>
      <c r="W19" s="1575">
        <f>J19</f>
        <v>100</v>
      </c>
      <c r="X19" s="3198"/>
      <c r="Y19" s="3444"/>
      <c r="Z19" s="3197" t="str">
        <f>Q19</f>
        <v>公共配套设施</v>
      </c>
      <c r="AA19" s="3199">
        <f t="shared" si="3"/>
        <v>1</v>
      </c>
      <c r="AB19" s="3199">
        <f t="shared" si="4"/>
        <v>1</v>
      </c>
      <c r="AC19" s="3199">
        <f t="shared" si="5"/>
        <v>1</v>
      </c>
    </row>
    <row r="20" spans="1:29" ht="15">
      <c r="A20" s="533"/>
      <c r="B20" s="596"/>
      <c r="C20" s="577" t="s">
        <v>3010</v>
      </c>
      <c r="D20" s="556"/>
      <c r="E20" s="557" t="s">
        <v>3010</v>
      </c>
      <c r="F20" s="558"/>
      <c r="G20" s="559" t="s">
        <v>3010</v>
      </c>
      <c r="H20" s="556"/>
      <c r="I20" s="557" t="s">
        <v>3010</v>
      </c>
      <c r="J20" s="556"/>
      <c r="K20" s="871"/>
      <c r="L20" s="2142"/>
      <c r="M20" s="2134"/>
      <c r="N20" s="2134"/>
      <c r="O20" s="2141"/>
      <c r="P20" s="3444"/>
      <c r="Q20" s="3196"/>
      <c r="R20" s="1574"/>
      <c r="S20" s="1575"/>
      <c r="T20" s="1574"/>
      <c r="U20" s="1575"/>
      <c r="V20" s="1574"/>
      <c r="W20" s="1575"/>
      <c r="X20" s="3198"/>
      <c r="Y20" s="3444"/>
      <c r="Z20" s="3197"/>
      <c r="AA20" s="3199">
        <v>1</v>
      </c>
      <c r="AB20" s="3199">
        <v>1</v>
      </c>
      <c r="AC20" s="3199">
        <v>1</v>
      </c>
    </row>
    <row r="21" spans="1:29" ht="15">
      <c r="A21" s="533"/>
      <c r="B21" s="2617" t="s">
        <v>2551</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69"/>
      <c r="L21" s="2142"/>
      <c r="M21" s="2134"/>
      <c r="N21" s="2134"/>
      <c r="O21" s="2141"/>
      <c r="P21" s="3444"/>
      <c r="Q21" s="3196" t="str">
        <f>B21</f>
        <v>基础设施水平</v>
      </c>
      <c r="R21" s="1574" t="s">
        <v>11</v>
      </c>
      <c r="S21" s="1575">
        <f>F21</f>
        <v>100</v>
      </c>
      <c r="T21" s="1574" t="s">
        <v>11</v>
      </c>
      <c r="U21" s="1575">
        <f>H21</f>
        <v>100</v>
      </c>
      <c r="V21" s="1574" t="s">
        <v>11</v>
      </c>
      <c r="W21" s="1575">
        <f>J21</f>
        <v>100</v>
      </c>
      <c r="X21" s="3198"/>
      <c r="Y21" s="3444"/>
      <c r="Z21" s="3197" t="str">
        <f>Q21</f>
        <v>基础设施水平</v>
      </c>
      <c r="AA21" s="3199">
        <f t="shared" ref="AA21" si="8">D21/F21</f>
        <v>1</v>
      </c>
      <c r="AB21" s="3199">
        <f t="shared" ref="AB21" si="9">D21/H21</f>
        <v>1</v>
      </c>
      <c r="AC21" s="3199">
        <f t="shared" ref="AC21" si="10">D21/J21</f>
        <v>1</v>
      </c>
    </row>
    <row r="22" spans="1:29" ht="15">
      <c r="A22" s="533"/>
      <c r="B22" s="923"/>
      <c r="C22" s="874" t="s">
        <v>3134</v>
      </c>
      <c r="D22" s="556"/>
      <c r="E22" s="577" t="s">
        <v>3134</v>
      </c>
      <c r="F22" s="558"/>
      <c r="G22" s="577" t="s">
        <v>3134</v>
      </c>
      <c r="H22" s="556"/>
      <c r="I22" s="577" t="s">
        <v>3134</v>
      </c>
      <c r="J22" s="556"/>
      <c r="K22" s="2623"/>
      <c r="L22" s="2142"/>
      <c r="M22" s="2134"/>
      <c r="N22" s="2134"/>
      <c r="O22" s="2141"/>
      <c r="P22" s="3444"/>
      <c r="Q22" s="3196"/>
      <c r="R22" s="1574"/>
      <c r="S22" s="1575"/>
      <c r="T22" s="1574"/>
      <c r="U22" s="1575"/>
      <c r="V22" s="1574"/>
      <c r="W22" s="1575"/>
      <c r="X22" s="3198"/>
      <c r="Y22" s="3444"/>
      <c r="Z22" s="3197"/>
      <c r="AA22" s="3199">
        <v>1</v>
      </c>
      <c r="AB22" s="3199">
        <v>1</v>
      </c>
      <c r="AC22" s="3199">
        <v>1</v>
      </c>
    </row>
    <row r="23" spans="1:29" ht="57">
      <c r="A23" s="533"/>
      <c r="B23" s="872" t="s">
        <v>297</v>
      </c>
      <c r="C23" s="873"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2"/>
      <c r="M23" s="2134"/>
      <c r="N23" s="2134"/>
      <c r="O23" s="2141"/>
      <c r="P23" s="3444"/>
      <c r="Q23" s="3196" t="str">
        <f>B23</f>
        <v>自然及人文环境</v>
      </c>
      <c r="R23" s="1574" t="s">
        <v>11</v>
      </c>
      <c r="S23" s="1575">
        <f>F23</f>
        <v>100</v>
      </c>
      <c r="T23" s="1574" t="s">
        <v>11</v>
      </c>
      <c r="U23" s="1575">
        <f>H23</f>
        <v>100</v>
      </c>
      <c r="V23" s="1574" t="s">
        <v>11</v>
      </c>
      <c r="W23" s="1575">
        <f>J23</f>
        <v>100</v>
      </c>
      <c r="X23" s="3198"/>
      <c r="Y23" s="3444"/>
      <c r="Z23" s="3197" t="str">
        <f>Q23</f>
        <v>自然及人文环境</v>
      </c>
      <c r="AA23" s="3199">
        <f t="shared" si="3"/>
        <v>1</v>
      </c>
      <c r="AB23" s="3199">
        <f t="shared" si="4"/>
        <v>1</v>
      </c>
      <c r="AC23" s="3199">
        <f t="shared" si="5"/>
        <v>1</v>
      </c>
    </row>
    <row r="24" spans="1:29" ht="15">
      <c r="A24" s="533"/>
      <c r="B24" s="596"/>
      <c r="C24" s="577" t="s">
        <v>3122</v>
      </c>
      <c r="D24" s="556"/>
      <c r="E24" s="557" t="s">
        <v>3122</v>
      </c>
      <c r="F24" s="558"/>
      <c r="G24" s="559" t="s">
        <v>3122</v>
      </c>
      <c r="H24" s="556"/>
      <c r="I24" s="557" t="s">
        <v>3122</v>
      </c>
      <c r="J24" s="556"/>
      <c r="K24" s="871"/>
      <c r="L24" s="2142"/>
      <c r="M24" s="2134"/>
      <c r="N24" s="2134"/>
      <c r="O24" s="2141"/>
      <c r="P24" s="3444"/>
      <c r="Q24" s="3196"/>
      <c r="R24" s="1574"/>
      <c r="S24" s="1575"/>
      <c r="T24" s="1574"/>
      <c r="U24" s="1575"/>
      <c r="V24" s="1574"/>
      <c r="W24" s="1575"/>
      <c r="X24" s="3198"/>
      <c r="Y24" s="3444"/>
      <c r="Z24" s="3197"/>
      <c r="AA24" s="3199">
        <v>1</v>
      </c>
      <c r="AB24" s="3199">
        <v>1</v>
      </c>
      <c r="AC24" s="3199">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44"/>
      <c r="Q25" s="3196" t="str">
        <f t="shared" ref="Q25:Q46" si="11">B25</f>
        <v>楼层-1</v>
      </c>
      <c r="R25" s="1574" t="s">
        <v>11</v>
      </c>
      <c r="S25" s="1575">
        <f>F25</f>
        <v>100</v>
      </c>
      <c r="T25" s="1574" t="s">
        <v>11</v>
      </c>
      <c r="U25" s="1575">
        <f>H25</f>
        <v>100</v>
      </c>
      <c r="V25" s="1574" t="s">
        <v>11</v>
      </c>
      <c r="W25" s="1575">
        <f>J25</f>
        <v>100</v>
      </c>
      <c r="X25" s="3198"/>
      <c r="Y25" s="3444"/>
      <c r="Z25" s="3197" t="str">
        <f>Q25</f>
        <v>楼层-1</v>
      </c>
      <c r="AA25" s="3199">
        <f t="shared" si="3"/>
        <v>1</v>
      </c>
      <c r="AB25" s="3199">
        <f t="shared" si="4"/>
        <v>1</v>
      </c>
      <c r="AC25" s="3199">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44"/>
      <c r="Q26" s="3196" t="str">
        <f t="shared" si="11"/>
        <v>朝向</v>
      </c>
      <c r="R26" s="1574" t="s">
        <v>11</v>
      </c>
      <c r="S26" s="1575">
        <f>F26</f>
        <v>100</v>
      </c>
      <c r="T26" s="1574" t="s">
        <v>11</v>
      </c>
      <c r="U26" s="1575">
        <f>H26</f>
        <v>100</v>
      </c>
      <c r="V26" s="1574" t="s">
        <v>11</v>
      </c>
      <c r="W26" s="1575">
        <f>J26</f>
        <v>100</v>
      </c>
      <c r="X26" s="3198"/>
      <c r="Y26" s="3444"/>
      <c r="Z26" s="3197" t="str">
        <f>Q26</f>
        <v>朝向</v>
      </c>
      <c r="AA26" s="3199">
        <f t="shared" si="3"/>
        <v>1</v>
      </c>
      <c r="AB26" s="3199">
        <f t="shared" si="4"/>
        <v>1</v>
      </c>
      <c r="AC26" s="3199">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44"/>
      <c r="Q27" s="3195" t="str">
        <f t="shared" si="11"/>
        <v>道路级别</v>
      </c>
      <c r="R27" s="1569" t="s">
        <v>11</v>
      </c>
      <c r="S27" s="1570">
        <f>F27</f>
        <v>100</v>
      </c>
      <c r="T27" s="1569" t="s">
        <v>11</v>
      </c>
      <c r="U27" s="1570">
        <f>H27</f>
        <v>100</v>
      </c>
      <c r="V27" s="1569" t="s">
        <v>11</v>
      </c>
      <c r="W27" s="1570">
        <f>J27</f>
        <v>100</v>
      </c>
      <c r="X27" s="1571"/>
      <c r="Y27" s="3444"/>
      <c r="Z27" s="3194" t="str">
        <f>Q27</f>
        <v>道路级别</v>
      </c>
      <c r="AA27" s="3199">
        <f>D27/F27</f>
        <v>1</v>
      </c>
      <c r="AB27" s="3199">
        <f>D27/H27</f>
        <v>1</v>
      </c>
      <c r="AC27" s="3199">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44"/>
      <c r="Q28" s="3196">
        <f t="shared" si="11"/>
        <v>111</v>
      </c>
      <c r="R28" s="1574" t="s">
        <v>11</v>
      </c>
      <c r="S28" s="1575">
        <f t="shared" ref="S28:S46" si="12">F28</f>
        <v>100</v>
      </c>
      <c r="T28" s="1574" t="s">
        <v>11</v>
      </c>
      <c r="U28" s="1575">
        <f t="shared" ref="U28:U46" si="13">H28</f>
        <v>100</v>
      </c>
      <c r="V28" s="1574" t="s">
        <v>11</v>
      </c>
      <c r="W28" s="1575">
        <f t="shared" ref="W28:W46" si="14">J28</f>
        <v>100</v>
      </c>
      <c r="X28" s="3198"/>
      <c r="Y28" s="3444"/>
      <c r="Z28" s="3197">
        <f t="shared" ref="Z28:Z46" si="15">Q28</f>
        <v>111</v>
      </c>
      <c r="AA28" s="3199">
        <f t="shared" si="3"/>
        <v>1</v>
      </c>
      <c r="AB28" s="3199">
        <f t="shared" si="4"/>
        <v>1</v>
      </c>
      <c r="AC28" s="319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44"/>
      <c r="Q29" s="3196">
        <f t="shared" si="11"/>
        <v>111</v>
      </c>
      <c r="R29" s="1574" t="s">
        <v>11</v>
      </c>
      <c r="S29" s="1575">
        <f t="shared" si="12"/>
        <v>100</v>
      </c>
      <c r="T29" s="1574" t="s">
        <v>11</v>
      </c>
      <c r="U29" s="1575">
        <f t="shared" si="13"/>
        <v>100</v>
      </c>
      <c r="V29" s="1574" t="s">
        <v>11</v>
      </c>
      <c r="W29" s="1575">
        <f t="shared" si="14"/>
        <v>100</v>
      </c>
      <c r="X29" s="3198"/>
      <c r="Y29" s="3444"/>
      <c r="Z29" s="3197">
        <f t="shared" si="15"/>
        <v>111</v>
      </c>
      <c r="AA29" s="3199">
        <f t="shared" si="3"/>
        <v>1</v>
      </c>
      <c r="AB29" s="3199">
        <f t="shared" si="4"/>
        <v>1</v>
      </c>
      <c r="AC29" s="319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44"/>
      <c r="Q30" s="3196">
        <f t="shared" si="11"/>
        <v>111</v>
      </c>
      <c r="R30" s="1574" t="s">
        <v>11</v>
      </c>
      <c r="S30" s="1575">
        <f t="shared" si="12"/>
        <v>100</v>
      </c>
      <c r="T30" s="1574" t="s">
        <v>11</v>
      </c>
      <c r="U30" s="1575">
        <f t="shared" si="13"/>
        <v>100</v>
      </c>
      <c r="V30" s="1574" t="s">
        <v>11</v>
      </c>
      <c r="W30" s="1575">
        <f t="shared" si="14"/>
        <v>100</v>
      </c>
      <c r="X30" s="3198"/>
      <c r="Y30" s="3444"/>
      <c r="Z30" s="3197">
        <f t="shared" si="15"/>
        <v>111</v>
      </c>
      <c r="AA30" s="3199">
        <f t="shared" si="3"/>
        <v>1</v>
      </c>
      <c r="AB30" s="3199">
        <f t="shared" si="4"/>
        <v>1</v>
      </c>
      <c r="AC30" s="3199">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44"/>
      <c r="Q31" s="3196">
        <f t="shared" si="11"/>
        <v>111</v>
      </c>
      <c r="R31" s="1574" t="s">
        <v>11</v>
      </c>
      <c r="S31" s="1575">
        <f t="shared" si="12"/>
        <v>100</v>
      </c>
      <c r="T31" s="1574" t="s">
        <v>11</v>
      </c>
      <c r="U31" s="1575">
        <f t="shared" si="13"/>
        <v>100</v>
      </c>
      <c r="V31" s="1574" t="s">
        <v>11</v>
      </c>
      <c r="W31" s="1575">
        <f t="shared" si="14"/>
        <v>100</v>
      </c>
      <c r="X31" s="3198"/>
      <c r="Y31" s="3444"/>
      <c r="Z31" s="3197">
        <f t="shared" si="15"/>
        <v>111</v>
      </c>
      <c r="AA31" s="3199">
        <f t="shared" si="3"/>
        <v>1</v>
      </c>
      <c r="AB31" s="3199">
        <f t="shared" si="4"/>
        <v>1</v>
      </c>
      <c r="AC31" s="3199">
        <f t="shared" si="5"/>
        <v>1</v>
      </c>
    </row>
    <row r="32" spans="1:29" ht="15">
      <c r="A32" s="2933" t="s">
        <v>2761</v>
      </c>
      <c r="B32" s="171" t="s">
        <v>726</v>
      </c>
      <c r="C32" s="879" t="s">
        <v>3092</v>
      </c>
      <c r="D32" s="598">
        <v>100</v>
      </c>
      <c r="E32" s="880" t="s">
        <v>3092</v>
      </c>
      <c r="F32" s="576">
        <f>SUMIF(100:100,E32,101:101)-SUMIF(100:100,C32,101:101)+100</f>
        <v>100</v>
      </c>
      <c r="G32" s="879" t="s">
        <v>3092</v>
      </c>
      <c r="H32" s="598">
        <f>SUMIF(100:100,G32,101:101)-SUMIF(100:100,C32,101:101)+100</f>
        <v>100</v>
      </c>
      <c r="I32" s="880" t="s">
        <v>3092</v>
      </c>
      <c r="J32" s="541">
        <f>SUMIF(100:100,I32,101:101)-SUMIF(100:100,C32,101:101)+100</f>
        <v>100</v>
      </c>
      <c r="K32" s="865"/>
      <c r="L32" s="2142"/>
      <c r="M32" s="2134"/>
      <c r="N32" s="2134"/>
      <c r="O32" s="2141"/>
      <c r="P32" s="3445" t="s">
        <v>551</v>
      </c>
      <c r="Q32" s="3196" t="str">
        <f t="shared" si="11"/>
        <v>建筑类型</v>
      </c>
      <c r="R32" s="1574" t="s">
        <v>11</v>
      </c>
      <c r="S32" s="1575">
        <f t="shared" si="12"/>
        <v>100</v>
      </c>
      <c r="T32" s="1574" t="s">
        <v>11</v>
      </c>
      <c r="U32" s="1575">
        <f t="shared" si="13"/>
        <v>100</v>
      </c>
      <c r="V32" s="1574" t="s">
        <v>11</v>
      </c>
      <c r="W32" s="1575">
        <f t="shared" si="14"/>
        <v>100</v>
      </c>
      <c r="X32" s="3198"/>
      <c r="Y32" s="3446" t="s">
        <v>551</v>
      </c>
      <c r="Z32" s="3197" t="str">
        <f t="shared" si="15"/>
        <v>建筑类型</v>
      </c>
      <c r="AA32" s="3199">
        <f t="shared" si="3"/>
        <v>1</v>
      </c>
      <c r="AB32" s="3199">
        <f t="shared" si="4"/>
        <v>1</v>
      </c>
      <c r="AC32" s="3199">
        <f t="shared" si="5"/>
        <v>1</v>
      </c>
    </row>
    <row r="33" spans="1:29" s="1340" customFormat="1" ht="15">
      <c r="A33" s="604"/>
      <c r="B33" s="528" t="s">
        <v>727</v>
      </c>
      <c r="C33" s="881">
        <f>'不动产比较法-中高层'!C33</f>
        <v>294706.12</v>
      </c>
      <c r="D33" s="253">
        <v>100</v>
      </c>
      <c r="E33" s="3222">
        <f>Sheet2!C17</f>
        <v>189023</v>
      </c>
      <c r="F33" s="864">
        <f>LOOKUP(E33,103:103,104:104)-LOOKUP(C33,103:103,104:104)+100</f>
        <v>98</v>
      </c>
      <c r="G33" s="534">
        <f>Sheet2!C18</f>
        <v>2510000</v>
      </c>
      <c r="H33" s="253">
        <f>LOOKUP(G33,103:103,104:104)-LOOKUP(C33,103:103,104:104)+100</f>
        <v>100</v>
      </c>
      <c r="I33" s="535">
        <f>Sheet2!C19</f>
        <v>172700</v>
      </c>
      <c r="J33" s="253">
        <f>LOOKUP(I33,103:103,104:104)-LOOKUP(C33,103:103,104:104)+100</f>
        <v>98</v>
      </c>
      <c r="K33" s="866"/>
      <c r="L33" s="2140"/>
      <c r="M33" s="2171"/>
      <c r="N33" s="2171"/>
      <c r="O33" s="2143"/>
      <c r="P33" s="3446"/>
      <c r="Q33" s="1606" t="str">
        <f t="shared" si="11"/>
        <v>项目建筑规模</v>
      </c>
      <c r="R33" s="1578" t="s">
        <v>11</v>
      </c>
      <c r="S33" s="1579">
        <f t="shared" si="12"/>
        <v>98</v>
      </c>
      <c r="T33" s="1578" t="s">
        <v>11</v>
      </c>
      <c r="U33" s="1579">
        <f t="shared" si="13"/>
        <v>100</v>
      </c>
      <c r="V33" s="1578" t="s">
        <v>11</v>
      </c>
      <c r="W33" s="1579">
        <f t="shared" si="14"/>
        <v>98</v>
      </c>
      <c r="X33" s="1580"/>
      <c r="Y33" s="3446"/>
      <c r="Z33" s="1581" t="str">
        <f t="shared" si="15"/>
        <v>项目建筑规模</v>
      </c>
      <c r="AA33" s="3199">
        <f t="shared" si="3"/>
        <v>1.0204081632653061</v>
      </c>
      <c r="AB33" s="3199">
        <f t="shared" si="4"/>
        <v>1</v>
      </c>
      <c r="AC33" s="3199">
        <f t="shared" si="5"/>
        <v>1.0204081632653061</v>
      </c>
    </row>
    <row r="34" spans="1:29" ht="15">
      <c r="A34" s="595"/>
      <c r="B34" s="528" t="s">
        <v>728</v>
      </c>
      <c r="C34" s="882" t="s">
        <v>2991</v>
      </c>
      <c r="D34" s="541">
        <v>100</v>
      </c>
      <c r="E34" s="883" t="s">
        <v>2991</v>
      </c>
      <c r="F34" s="576">
        <f>SUMIF(105:105,E34,106:106)-SUMIF(105:105,C34,106:106)+100</f>
        <v>100</v>
      </c>
      <c r="G34" s="882" t="s">
        <v>2991</v>
      </c>
      <c r="H34" s="541">
        <f>SUMIF(105:105,G34,106:106)-SUMIF(105:105,C34,106:106)+100</f>
        <v>100</v>
      </c>
      <c r="I34" s="883" t="s">
        <v>2991</v>
      </c>
      <c r="J34" s="541">
        <f>SUMIF(105:105,I34,106:106)-SUMIF(105:105,C34,106:106)+100</f>
        <v>100</v>
      </c>
      <c r="K34" s="865"/>
      <c r="L34" s="2142"/>
      <c r="M34" s="2134"/>
      <c r="N34" s="2134"/>
      <c r="O34" s="2141"/>
      <c r="P34" s="3446"/>
      <c r="Q34" s="3196" t="str">
        <f t="shared" si="11"/>
        <v>建筑结构</v>
      </c>
      <c r="R34" s="1574" t="s">
        <v>11</v>
      </c>
      <c r="S34" s="1575">
        <f t="shared" si="12"/>
        <v>100</v>
      </c>
      <c r="T34" s="1574" t="s">
        <v>11</v>
      </c>
      <c r="U34" s="1575">
        <f t="shared" si="13"/>
        <v>100</v>
      </c>
      <c r="V34" s="1574" t="s">
        <v>11</v>
      </c>
      <c r="W34" s="1575">
        <f t="shared" si="14"/>
        <v>100</v>
      </c>
      <c r="X34" s="3198"/>
      <c r="Y34" s="3446"/>
      <c r="Z34" s="3197" t="str">
        <f t="shared" si="15"/>
        <v>建筑结构</v>
      </c>
      <c r="AA34" s="3199">
        <f t="shared" si="3"/>
        <v>1</v>
      </c>
      <c r="AB34" s="3199">
        <f t="shared" si="4"/>
        <v>1</v>
      </c>
      <c r="AC34" s="3199">
        <f t="shared" si="5"/>
        <v>1</v>
      </c>
    </row>
    <row r="35" spans="1:29" ht="15">
      <c r="A35" s="595"/>
      <c r="B35" s="528" t="s">
        <v>729</v>
      </c>
      <c r="C35" s="600" t="s">
        <v>3010</v>
      </c>
      <c r="D35" s="541">
        <v>100</v>
      </c>
      <c r="E35" s="3216" t="s">
        <v>3162</v>
      </c>
      <c r="F35" s="576">
        <f>SUMIF(107:107,E35,108:108)-SUMIF(107:107,C35,108:108)+100</f>
        <v>100</v>
      </c>
      <c r="G35" s="3215" t="s">
        <v>3166</v>
      </c>
      <c r="H35" s="541">
        <f>SUMIF(107:107,G35,108:108)-SUMIF(107:107,C35,108:108)+100</f>
        <v>100</v>
      </c>
      <c r="I35" s="3216" t="s">
        <v>3166</v>
      </c>
      <c r="J35" s="541">
        <f>SUMIF(107:107,I35,108:108)-SUMIF(107:107,C35,108:108)+100</f>
        <v>100</v>
      </c>
      <c r="K35" s="865"/>
      <c r="L35" s="2142"/>
      <c r="M35" s="2134"/>
      <c r="N35" s="2134"/>
      <c r="O35" s="2141"/>
      <c r="P35" s="3446"/>
      <c r="Q35" s="3196" t="str">
        <f t="shared" si="11"/>
        <v>建筑品质</v>
      </c>
      <c r="R35" s="1574" t="s">
        <v>11</v>
      </c>
      <c r="S35" s="1575">
        <f t="shared" si="12"/>
        <v>100</v>
      </c>
      <c r="T35" s="1574" t="s">
        <v>11</v>
      </c>
      <c r="U35" s="1575">
        <f t="shared" si="13"/>
        <v>100</v>
      </c>
      <c r="V35" s="1574" t="s">
        <v>11</v>
      </c>
      <c r="W35" s="1575">
        <f t="shared" si="14"/>
        <v>100</v>
      </c>
      <c r="X35" s="3198"/>
      <c r="Y35" s="3446"/>
      <c r="Z35" s="3197" t="str">
        <f t="shared" si="15"/>
        <v>建筑品质</v>
      </c>
      <c r="AA35" s="3199">
        <f t="shared" si="3"/>
        <v>1</v>
      </c>
      <c r="AB35" s="3199">
        <f t="shared" si="4"/>
        <v>1</v>
      </c>
      <c r="AC35" s="3199">
        <f t="shared" si="5"/>
        <v>1</v>
      </c>
    </row>
    <row r="36" spans="1:29" ht="15">
      <c r="A36" s="595"/>
      <c r="B36" s="528" t="s">
        <v>730</v>
      </c>
      <c r="C36" s="3215" t="s">
        <v>3167</v>
      </c>
      <c r="D36" s="541">
        <v>100</v>
      </c>
      <c r="E36" s="3216" t="s">
        <v>3163</v>
      </c>
      <c r="F36" s="576">
        <f>SUMIF(109:109,E36,110:110)-SUMIF(109:109,C36,110:110)+100</f>
        <v>100</v>
      </c>
      <c r="G36" s="3215" t="s">
        <v>3163</v>
      </c>
      <c r="H36" s="541">
        <f>SUMIF(109:109,G36,110:110)-SUMIF(109:109,C36,110:110)+100</f>
        <v>100</v>
      </c>
      <c r="I36" s="3216" t="s">
        <v>3167</v>
      </c>
      <c r="J36" s="541">
        <f>SUMIF(109:109,I36,110:110)-SUMIF(109:109,C36,110:110)+100</f>
        <v>100</v>
      </c>
      <c r="K36" s="865"/>
      <c r="L36" s="2142"/>
      <c r="M36" s="2134"/>
      <c r="N36" s="2134"/>
      <c r="O36" s="2141"/>
      <c r="P36" s="3446"/>
      <c r="Q36" s="3196" t="str">
        <f t="shared" si="11"/>
        <v>公共部分装修</v>
      </c>
      <c r="R36" s="1574" t="s">
        <v>11</v>
      </c>
      <c r="S36" s="1575">
        <f t="shared" si="12"/>
        <v>100</v>
      </c>
      <c r="T36" s="1574" t="s">
        <v>11</v>
      </c>
      <c r="U36" s="1575">
        <f t="shared" si="13"/>
        <v>100</v>
      </c>
      <c r="V36" s="1574" t="s">
        <v>11</v>
      </c>
      <c r="W36" s="1575">
        <f t="shared" si="14"/>
        <v>100</v>
      </c>
      <c r="X36" s="3198"/>
      <c r="Y36" s="3446"/>
      <c r="Z36" s="3197" t="str">
        <f t="shared" si="15"/>
        <v>公共部分装修</v>
      </c>
      <c r="AA36" s="3199">
        <f t="shared" si="3"/>
        <v>1</v>
      </c>
      <c r="AB36" s="3199">
        <f t="shared" si="4"/>
        <v>1</v>
      </c>
      <c r="AC36" s="3199">
        <f t="shared" si="5"/>
        <v>1</v>
      </c>
    </row>
    <row r="37" spans="1:29" s="1221" customFormat="1" ht="15">
      <c r="A37" s="601"/>
      <c r="B37" s="528" t="s">
        <v>731</v>
      </c>
      <c r="C37" s="884">
        <v>1</v>
      </c>
      <c r="D37" s="253">
        <v>100</v>
      </c>
      <c r="E37" s="885">
        <v>1</v>
      </c>
      <c r="F37" s="864">
        <f>LOOKUP(E37,112:112,113:113)-LOOKUP(C37,112:112,113:113)+100</f>
        <v>100</v>
      </c>
      <c r="G37" s="885">
        <f>ROUND(1-(2017-2016)/60,2)</f>
        <v>0.98</v>
      </c>
      <c r="H37" s="253">
        <f>LOOKUP(G37,112:112,113:113)-LOOKUP(C37,112:112,113:113)+100</f>
        <v>100</v>
      </c>
      <c r="I37" s="885">
        <f>ROUND(1-(2017-2012)/60,2)</f>
        <v>0.92</v>
      </c>
      <c r="J37" s="253">
        <f>LOOKUP(I37,112:112,113:113)-LOOKUP(C37,112:112,113:113)+100</f>
        <v>100</v>
      </c>
      <c r="K37" s="865"/>
      <c r="L37" s="2135"/>
      <c r="M37" s="2136"/>
      <c r="N37" s="2136"/>
      <c r="O37" s="2137"/>
      <c r="P37" s="3446"/>
      <c r="Q37" s="3195" t="str">
        <f t="shared" si="11"/>
        <v>成新度</v>
      </c>
      <c r="R37" s="1569" t="s">
        <v>11</v>
      </c>
      <c r="S37" s="1570">
        <f t="shared" si="12"/>
        <v>100</v>
      </c>
      <c r="T37" s="1569" t="s">
        <v>11</v>
      </c>
      <c r="U37" s="1570">
        <f t="shared" si="13"/>
        <v>100</v>
      </c>
      <c r="V37" s="1569" t="s">
        <v>11</v>
      </c>
      <c r="W37" s="1570">
        <f t="shared" si="14"/>
        <v>100</v>
      </c>
      <c r="X37" s="1571"/>
      <c r="Y37" s="3446"/>
      <c r="Z37" s="3194" t="str">
        <f t="shared" si="15"/>
        <v>成新度</v>
      </c>
      <c r="AA37" s="1572">
        <f t="shared" si="3"/>
        <v>1</v>
      </c>
      <c r="AB37" s="1572">
        <f t="shared" si="4"/>
        <v>1</v>
      </c>
      <c r="AC37" s="1572">
        <f t="shared" si="5"/>
        <v>1</v>
      </c>
    </row>
    <row r="38" spans="1:29" ht="15">
      <c r="A38" s="595"/>
      <c r="B38" s="528" t="s">
        <v>732</v>
      </c>
      <c r="C38" s="3215" t="s">
        <v>3168</v>
      </c>
      <c r="D38" s="541">
        <v>100</v>
      </c>
      <c r="E38" s="3216" t="s">
        <v>3164</v>
      </c>
      <c r="F38" s="576">
        <f>SUMIF(114:114,E38,115:115)-SUMIF(114:114,C38,115:115)+100</f>
        <v>100</v>
      </c>
      <c r="G38" s="3215" t="s">
        <v>3168</v>
      </c>
      <c r="H38" s="541">
        <f>SUMIF(114:114,G38,115:115)-SUMIF(114:114,C38,115:115)+100</f>
        <v>100</v>
      </c>
      <c r="I38" s="3216" t="s">
        <v>3168</v>
      </c>
      <c r="J38" s="541">
        <f>SUMIF(114:114,I38,115:115)-SUMIF(114:114,C38,115:115)+100</f>
        <v>100</v>
      </c>
      <c r="K38" s="865"/>
      <c r="L38" s="2142"/>
      <c r="M38" s="2134"/>
      <c r="N38" s="2134"/>
      <c r="O38" s="2141"/>
      <c r="P38" s="3446" t="s">
        <v>551</v>
      </c>
      <c r="Q38" s="3196" t="str">
        <f t="shared" si="11"/>
        <v>物业管理</v>
      </c>
      <c r="R38" s="1574" t="s">
        <v>11</v>
      </c>
      <c r="S38" s="1575">
        <f t="shared" si="12"/>
        <v>100</v>
      </c>
      <c r="T38" s="1574" t="s">
        <v>11</v>
      </c>
      <c r="U38" s="1575">
        <f t="shared" si="13"/>
        <v>100</v>
      </c>
      <c r="V38" s="1574" t="s">
        <v>11</v>
      </c>
      <c r="W38" s="1575">
        <f t="shared" si="14"/>
        <v>100</v>
      </c>
      <c r="X38" s="3198"/>
      <c r="Y38" s="3446" t="s">
        <v>551</v>
      </c>
      <c r="Z38" s="3197" t="str">
        <f t="shared" si="15"/>
        <v>物业管理</v>
      </c>
      <c r="AA38" s="3199">
        <f t="shared" si="3"/>
        <v>1</v>
      </c>
      <c r="AB38" s="3199">
        <f t="shared" si="4"/>
        <v>1</v>
      </c>
      <c r="AC38" s="3199">
        <f t="shared" si="5"/>
        <v>1</v>
      </c>
    </row>
    <row r="39" spans="1:29" ht="15">
      <c r="A39" s="595"/>
      <c r="B39" s="1895" t="s">
        <v>2568</v>
      </c>
      <c r="C39" s="600" t="s">
        <v>3134</v>
      </c>
      <c r="D39" s="541">
        <v>100</v>
      </c>
      <c r="E39" s="875" t="s">
        <v>3134</v>
      </c>
      <c r="F39" s="576">
        <f>SUMIF(116:116,E39,117:117)-SUMIF(116:116,C39,117:117)+100</f>
        <v>100</v>
      </c>
      <c r="G39" s="600" t="s">
        <v>3134</v>
      </c>
      <c r="H39" s="541">
        <f>SUMIF(116:116,G39,117:117)-SUMIF(116:116,C39,117:117)+100</f>
        <v>100</v>
      </c>
      <c r="I39" s="875" t="s">
        <v>3134</v>
      </c>
      <c r="J39" s="541">
        <f>SUMIF(116:116,I39,117:117)-SUMIF(116:116,C39,117:117)+100</f>
        <v>100</v>
      </c>
      <c r="K39" s="865"/>
      <c r="L39" s="2142"/>
      <c r="M39" s="2134"/>
      <c r="N39" s="2134"/>
      <c r="O39" s="2141"/>
      <c r="P39" s="3446"/>
      <c r="Q39" s="3196" t="str">
        <f t="shared" si="11"/>
        <v>市政基础设施</v>
      </c>
      <c r="R39" s="1574" t="s">
        <v>11</v>
      </c>
      <c r="S39" s="1575">
        <f t="shared" si="12"/>
        <v>100</v>
      </c>
      <c r="T39" s="1574" t="s">
        <v>11</v>
      </c>
      <c r="U39" s="1575">
        <f t="shared" si="13"/>
        <v>100</v>
      </c>
      <c r="V39" s="1574" t="s">
        <v>11</v>
      </c>
      <c r="W39" s="1575">
        <f t="shared" si="14"/>
        <v>100</v>
      </c>
      <c r="X39" s="3198"/>
      <c r="Y39" s="3446"/>
      <c r="Z39" s="3197" t="str">
        <f t="shared" si="15"/>
        <v>市政基础设施</v>
      </c>
      <c r="AA39" s="3199">
        <f t="shared" si="3"/>
        <v>1</v>
      </c>
      <c r="AB39" s="3199">
        <f t="shared" si="4"/>
        <v>1</v>
      </c>
      <c r="AC39" s="3199">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46"/>
      <c r="Q40" s="3196" t="str">
        <f t="shared" si="11"/>
        <v>房型</v>
      </c>
      <c r="R40" s="1574" t="s">
        <v>11</v>
      </c>
      <c r="S40" s="1575">
        <f t="shared" si="12"/>
        <v>100</v>
      </c>
      <c r="T40" s="1574" t="s">
        <v>11</v>
      </c>
      <c r="U40" s="1575">
        <f t="shared" si="13"/>
        <v>100</v>
      </c>
      <c r="V40" s="1574" t="s">
        <v>11</v>
      </c>
      <c r="W40" s="1575">
        <f t="shared" si="14"/>
        <v>100</v>
      </c>
      <c r="X40" s="3198"/>
      <c r="Y40" s="3446"/>
      <c r="Z40" s="3197" t="str">
        <f t="shared" si="15"/>
        <v>房型</v>
      </c>
      <c r="AA40" s="3199">
        <f t="shared" si="3"/>
        <v>1</v>
      </c>
      <c r="AB40" s="3199">
        <f t="shared" si="4"/>
        <v>1</v>
      </c>
      <c r="AC40" s="3199">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46"/>
      <c r="Q41" s="1606" t="str">
        <f t="shared" si="11"/>
        <v>单套/主力户型建筑面积</v>
      </c>
      <c r="R41" s="1578" t="s">
        <v>11</v>
      </c>
      <c r="S41" s="1579">
        <f t="shared" si="12"/>
        <v>100</v>
      </c>
      <c r="T41" s="1578" t="s">
        <v>11</v>
      </c>
      <c r="U41" s="1579">
        <f t="shared" si="13"/>
        <v>100</v>
      </c>
      <c r="V41" s="1578" t="s">
        <v>11</v>
      </c>
      <c r="W41" s="1579">
        <f t="shared" si="14"/>
        <v>100</v>
      </c>
      <c r="X41" s="1580"/>
      <c r="Y41" s="3446"/>
      <c r="Z41" s="1581" t="str">
        <f t="shared" si="15"/>
        <v>单套/主力户型建筑面积</v>
      </c>
      <c r="AA41" s="3199">
        <f t="shared" si="3"/>
        <v>1</v>
      </c>
      <c r="AB41" s="3199">
        <f t="shared" si="4"/>
        <v>1</v>
      </c>
      <c r="AC41" s="3199">
        <f t="shared" si="5"/>
        <v>1</v>
      </c>
    </row>
    <row r="42" spans="1:29" ht="15">
      <c r="A42" s="595"/>
      <c r="B42" s="528" t="s">
        <v>735</v>
      </c>
      <c r="C42" s="3215" t="s">
        <v>3169</v>
      </c>
      <c r="D42" s="541">
        <v>100</v>
      </c>
      <c r="E42" s="3216" t="s">
        <v>3170</v>
      </c>
      <c r="F42" s="576">
        <f>SUMIF(122:122,E42,123:123)-SUMIF(122:122,C42,123:123)+100</f>
        <v>100</v>
      </c>
      <c r="G42" s="3215" t="s">
        <v>3169</v>
      </c>
      <c r="H42" s="541">
        <f>SUMIF(122:122,G42,123:123)-SUMIF(122:122,C42,123:123)+100</f>
        <v>100</v>
      </c>
      <c r="I42" s="3216" t="s">
        <v>3170</v>
      </c>
      <c r="J42" s="541">
        <f>SUMIF(122:122,I42,123:123)-SUMIF(122:122,C42,123:123)+100</f>
        <v>100</v>
      </c>
      <c r="K42" s="865"/>
      <c r="L42" s="2142"/>
      <c r="M42" s="2134"/>
      <c r="N42" s="2134"/>
      <c r="O42" s="2141"/>
      <c r="P42" s="3446"/>
      <c r="Q42" s="3196" t="str">
        <f t="shared" si="11"/>
        <v>内部装修</v>
      </c>
      <c r="R42" s="1574" t="s">
        <v>11</v>
      </c>
      <c r="S42" s="1575">
        <f t="shared" si="12"/>
        <v>100</v>
      </c>
      <c r="T42" s="1574" t="s">
        <v>11</v>
      </c>
      <c r="U42" s="1575">
        <f t="shared" si="13"/>
        <v>100</v>
      </c>
      <c r="V42" s="1574" t="s">
        <v>11</v>
      </c>
      <c r="W42" s="1575">
        <f t="shared" si="14"/>
        <v>100</v>
      </c>
      <c r="X42" s="3198"/>
      <c r="Y42" s="3446"/>
      <c r="Z42" s="3197" t="str">
        <f t="shared" si="15"/>
        <v>内部装修</v>
      </c>
      <c r="AA42" s="3199">
        <f t="shared" si="3"/>
        <v>1</v>
      </c>
      <c r="AB42" s="3199">
        <f t="shared" si="4"/>
        <v>1</v>
      </c>
      <c r="AC42" s="3199">
        <f t="shared" si="5"/>
        <v>1</v>
      </c>
    </row>
    <row r="43" spans="1:29" ht="27">
      <c r="A43" s="595"/>
      <c r="B43" s="528" t="s">
        <v>736</v>
      </c>
      <c r="C43" s="3215" t="s">
        <v>3166</v>
      </c>
      <c r="D43" s="541">
        <v>100</v>
      </c>
      <c r="E43" s="3216" t="s">
        <v>3162</v>
      </c>
      <c r="F43" s="576">
        <f>SUMIF(124:124,E43,125:125)-SUMIF(124:124,C43,125:125)+100</f>
        <v>100</v>
      </c>
      <c r="G43" s="3215" t="s">
        <v>3166</v>
      </c>
      <c r="H43" s="541">
        <f>SUMIF(124:124,G43,125:125)-SUMIF(124:124,C43,125:125)+100</f>
        <v>100</v>
      </c>
      <c r="I43" s="3216" t="s">
        <v>3162</v>
      </c>
      <c r="J43" s="541">
        <f>SUMIF(124:124,I43,125:125)-SUMIF(124:124,C43,125:125)+100</f>
        <v>100</v>
      </c>
      <c r="K43" s="865"/>
      <c r="L43" s="2142"/>
      <c r="M43" s="2134"/>
      <c r="N43" s="2134"/>
      <c r="O43" s="2141"/>
      <c r="P43" s="3446"/>
      <c r="Q43" s="3196" t="str">
        <f t="shared" si="11"/>
        <v>内部装修维护情况</v>
      </c>
      <c r="R43" s="1574" t="s">
        <v>11</v>
      </c>
      <c r="S43" s="1575">
        <f t="shared" si="12"/>
        <v>100</v>
      </c>
      <c r="T43" s="1574" t="s">
        <v>11</v>
      </c>
      <c r="U43" s="1575">
        <f t="shared" si="13"/>
        <v>100</v>
      </c>
      <c r="V43" s="1574" t="s">
        <v>11</v>
      </c>
      <c r="W43" s="1575">
        <f t="shared" si="14"/>
        <v>100</v>
      </c>
      <c r="X43" s="3198"/>
      <c r="Y43" s="3446"/>
      <c r="Z43" s="3197" t="str">
        <f t="shared" si="15"/>
        <v>内部装修维护情况</v>
      </c>
      <c r="AA43" s="3199">
        <f t="shared" si="3"/>
        <v>1</v>
      </c>
      <c r="AB43" s="3199">
        <f t="shared" si="4"/>
        <v>1</v>
      </c>
      <c r="AC43" s="3199">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46"/>
      <c r="Q44" s="3195">
        <f t="shared" si="11"/>
        <v>111</v>
      </c>
      <c r="R44" s="1569" t="s">
        <v>11</v>
      </c>
      <c r="S44" s="1570">
        <f t="shared" si="12"/>
        <v>100</v>
      </c>
      <c r="T44" s="1569" t="s">
        <v>11</v>
      </c>
      <c r="U44" s="1570">
        <f t="shared" si="13"/>
        <v>100</v>
      </c>
      <c r="V44" s="1569" t="s">
        <v>11</v>
      </c>
      <c r="W44" s="1570">
        <f t="shared" si="14"/>
        <v>100</v>
      </c>
      <c r="X44" s="1571"/>
      <c r="Y44" s="3446"/>
      <c r="Z44" s="3194">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46"/>
      <c r="Q45" s="3196">
        <f t="shared" si="11"/>
        <v>111</v>
      </c>
      <c r="R45" s="1574" t="s">
        <v>11</v>
      </c>
      <c r="S45" s="1575">
        <f t="shared" si="12"/>
        <v>100</v>
      </c>
      <c r="T45" s="1574" t="s">
        <v>11</v>
      </c>
      <c r="U45" s="1575">
        <f t="shared" si="13"/>
        <v>100</v>
      </c>
      <c r="V45" s="1574" t="s">
        <v>11</v>
      </c>
      <c r="W45" s="1575">
        <f t="shared" si="14"/>
        <v>100</v>
      </c>
      <c r="X45" s="3198"/>
      <c r="Y45" s="3446"/>
      <c r="Z45" s="3197">
        <f t="shared" si="15"/>
        <v>111</v>
      </c>
      <c r="AA45" s="3199">
        <f t="shared" si="3"/>
        <v>1</v>
      </c>
      <c r="AB45" s="3199">
        <f t="shared" si="4"/>
        <v>1</v>
      </c>
      <c r="AC45" s="3199">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9"/>
      <c r="Q46" s="3196">
        <f t="shared" si="11"/>
        <v>111</v>
      </c>
      <c r="R46" s="1574" t="s">
        <v>10</v>
      </c>
      <c r="S46" s="1575">
        <f t="shared" si="12"/>
        <v>100</v>
      </c>
      <c r="T46" s="1574" t="s">
        <v>10</v>
      </c>
      <c r="U46" s="1575">
        <f t="shared" si="13"/>
        <v>100</v>
      </c>
      <c r="V46" s="1574" t="s">
        <v>10</v>
      </c>
      <c r="W46" s="1575">
        <f t="shared" si="14"/>
        <v>100</v>
      </c>
      <c r="X46" s="3198"/>
      <c r="Y46" s="3529"/>
      <c r="Z46" s="3197">
        <f t="shared" si="15"/>
        <v>111</v>
      </c>
      <c r="AA46" s="3199">
        <f t="shared" si="3"/>
        <v>1</v>
      </c>
      <c r="AB46" s="3199">
        <f t="shared" si="4"/>
        <v>1</v>
      </c>
      <c r="AC46" s="3199">
        <f t="shared" si="5"/>
        <v>1</v>
      </c>
    </row>
    <row r="47" spans="1:29" ht="15">
      <c r="A47" s="608" t="s">
        <v>737</v>
      </c>
      <c r="B47" s="888"/>
      <c r="C47" s="2651" t="s">
        <v>9</v>
      </c>
      <c r="D47" s="2652"/>
      <c r="E47" s="2653">
        <f>Sheet2!B17</f>
        <v>15000</v>
      </c>
      <c r="F47" s="2654"/>
      <c r="G47" s="2655">
        <f>Sheet2!B18</f>
        <v>15500</v>
      </c>
      <c r="H47" s="2656"/>
      <c r="I47" s="2653">
        <f>Sheet2!B19</f>
        <v>14000</v>
      </c>
      <c r="J47" s="2656"/>
      <c r="K47" s="1607"/>
      <c r="L47" s="2144"/>
      <c r="M47" s="2145"/>
      <c r="N47" s="2134"/>
      <c r="O47" s="2145"/>
      <c r="P47" s="3409" t="str">
        <f>A47</f>
        <v>成交单价（元/平方米）</v>
      </c>
      <c r="Q47" s="3409"/>
      <c r="R47" s="3528">
        <f>E47</f>
        <v>15000</v>
      </c>
      <c r="S47" s="3528"/>
      <c r="T47" s="3528">
        <f>G47</f>
        <v>15500</v>
      </c>
      <c r="U47" s="3528"/>
      <c r="V47" s="3528">
        <f>I47</f>
        <v>14000</v>
      </c>
      <c r="W47" s="3528"/>
      <c r="X47" s="1560"/>
      <c r="Y47" s="1582"/>
      <c r="Z47" s="1560"/>
      <c r="AA47" s="1560"/>
      <c r="AB47" s="1560"/>
      <c r="AC47" s="1560"/>
    </row>
    <row r="48" spans="1:29" ht="15.75" thickBot="1">
      <c r="A48" s="616" t="s">
        <v>2699</v>
      </c>
      <c r="B48" s="889"/>
      <c r="C48" s="2657">
        <f>R49</f>
        <v>15133</v>
      </c>
      <c r="D48" s="2658"/>
      <c r="E48" s="2659">
        <f>R48</f>
        <v>15006</v>
      </c>
      <c r="F48" s="2659"/>
      <c r="G48" s="2657">
        <f>T48</f>
        <v>15816</v>
      </c>
      <c r="H48" s="2658"/>
      <c r="I48" s="2659">
        <f>V48</f>
        <v>14577</v>
      </c>
      <c r="J48" s="2658"/>
      <c r="K48" s="1608"/>
      <c r="L48" s="2144"/>
      <c r="M48" s="2145"/>
      <c r="N48" s="2145"/>
      <c r="O48" s="2145"/>
      <c r="P48" s="3409" t="str">
        <f>A48</f>
        <v>比较价格（元/平方米）</v>
      </c>
      <c r="Q48" s="3409"/>
      <c r="R48" s="3528">
        <f>IF(F1="售价",ROUND(PRODUCT(R47,AA7:AA46),0),ROUND(PRODUCT(R47,AA7:AA46),1))</f>
        <v>15006</v>
      </c>
      <c r="S48" s="3528"/>
      <c r="T48" s="3528">
        <f>IF(F1="售价",ROUND(PRODUCT(T47,AB7:AB46),0),ROUND(PRODUCT(T47,AB7:AB46),1))</f>
        <v>15816</v>
      </c>
      <c r="U48" s="3528"/>
      <c r="V48" s="3528">
        <f>IF(F1="售价",ROUND(PRODUCT(V47,AC7:AC46),0),ROUND(PRODUCT(V47,AC7:AC46),1))</f>
        <v>14577</v>
      </c>
      <c r="W48" s="3528"/>
      <c r="X48" s="1560"/>
      <c r="Y48" s="1560"/>
      <c r="Z48" s="1560"/>
      <c r="AA48" s="1560"/>
      <c r="AB48" s="1560"/>
      <c r="AC48" s="1560"/>
    </row>
    <row r="49" spans="1:29" ht="15.75" thickBot="1">
      <c r="A49" s="622" t="s">
        <v>2934</v>
      </c>
      <c r="B49" s="623"/>
      <c r="C49" s="2660">
        <f>R49</f>
        <v>15133</v>
      </c>
      <c r="D49" s="2660"/>
      <c r="E49" s="2660"/>
      <c r="F49" s="2660"/>
      <c r="G49" s="2660"/>
      <c r="H49" s="2660"/>
      <c r="I49" s="2660"/>
      <c r="J49" s="2660"/>
      <c r="K49" s="1609"/>
      <c r="L49" s="2144"/>
      <c r="M49" s="2145"/>
      <c r="N49" s="2145"/>
      <c r="O49" s="2145"/>
      <c r="P49" s="3406" t="str">
        <f>A49</f>
        <v>估价对象XX用房的比较价格（楼面单价，元/平方米）</v>
      </c>
      <c r="Q49" s="3407"/>
      <c r="R49" s="3527">
        <f>IF(F1="售价",ROUND(AVERAGE(R48:V48),0),ROUND(AVERAGE(R48:V48),1))</f>
        <v>15133</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3.9999999999995595E-4</v>
      </c>
      <c r="F52" s="628" t="str">
        <f>IF(OR(E52&gt;=0.3,E52&lt;=-0.3),"超过30%","")</f>
        <v/>
      </c>
      <c r="G52" s="627">
        <f>IF(G47&lt;G48,G48/G47-1,G47/G48-1)</f>
        <v>2.0387096774193481E-2</v>
      </c>
      <c r="H52" s="628" t="str">
        <f>IF(OR(G52&gt;=0.3,G52&lt;=-0.3),"超过30%","")</f>
        <v/>
      </c>
      <c r="I52" s="627">
        <f>IF(I47&lt;I48,I48/I47-1,I47/I48-1)</f>
        <v>4.1214285714285648E-2</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5.397840863654535E-2</v>
      </c>
      <c r="F53" s="628" t="str">
        <f>IF(OR(E53&gt;=0.2,E53&lt;=-0.2),"超过20%","")</f>
        <v/>
      </c>
      <c r="G53" s="627">
        <f>IF(G48&lt;I48,I48/G48-1,G48/I48-1)</f>
        <v>8.4996912945050518E-2</v>
      </c>
      <c r="H53" s="628" t="str">
        <f>IF(OR(G53&gt;=0.2,G53&lt;=-0.2),"超过20%","")</f>
        <v/>
      </c>
      <c r="I53" s="627">
        <f>IF(I48&lt;E48,E48/I48-1,I48/E48-1)</f>
        <v>2.9429923852644535E-2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3.3333333333333437E-2</v>
      </c>
      <c r="F54" s="628" t="str">
        <f>IF(OR(E54&gt;=0.3,E54&lt;=-0.3),"超过30%","")</f>
        <v/>
      </c>
      <c r="G54" s="627">
        <f>IF(G47&lt;I47,I47/G47-1,G47/I47-1)</f>
        <v>0.10714285714285721</v>
      </c>
      <c r="H54" s="628" t="str">
        <f>IF(OR(G54&gt;=0.3,G54&lt;=-0.3),"超过30%","")</f>
        <v/>
      </c>
      <c r="I54" s="627">
        <f>IF(I47&lt;E47,E47/I47-1,I47/E47-1)</f>
        <v>7.1428571428571397E-2</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100</v>
      </c>
      <c r="E69" s="680">
        <f t="shared" si="19"/>
        <v>100</v>
      </c>
      <c r="F69" s="680">
        <f t="shared" si="19"/>
        <v>100</v>
      </c>
      <c r="G69" s="680">
        <f t="shared" si="19"/>
        <v>100</v>
      </c>
      <c r="H69" s="680">
        <f t="shared" si="19"/>
        <v>100</v>
      </c>
      <c r="I69" s="680">
        <f t="shared" si="19"/>
        <v>100</v>
      </c>
      <c r="J69" s="680">
        <f t="shared" si="19"/>
        <v>100</v>
      </c>
      <c r="K69" s="680">
        <f t="shared" si="19"/>
        <v>100</v>
      </c>
      <c r="L69" s="680">
        <f t="shared" si="19"/>
        <v>100</v>
      </c>
      <c r="M69" s="681">
        <f t="shared" si="19"/>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2318</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98</v>
      </c>
      <c r="E81" s="680">
        <f>D81-$K19</f>
        <v>96</v>
      </c>
      <c r="F81" s="680">
        <f>E81-$K19</f>
        <v>94</v>
      </c>
      <c r="G81" s="680">
        <f>F81-$K19</f>
        <v>92</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2551</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3160</v>
      </c>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3161</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3162</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3163</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3164</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3165</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7" sqref="V37"/>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0" style="1219" hidden="1" customWidth="1"/>
    <col min="7" max="7" width="5" style="1219" hidden="1" customWidth="1"/>
    <col min="8" max="8" width="0" style="1219" hidden="1" customWidth="1"/>
    <col min="9" max="9" width="5" style="1219" hidden="1" customWidth="1"/>
    <col min="10" max="10" width="0" style="1219" hidden="1" customWidth="1"/>
    <col min="11" max="11" width="5" style="1219" hidden="1" customWidth="1"/>
    <col min="12" max="12" width="0" style="1219" hidden="1" customWidth="1"/>
    <col min="13" max="13" width="5" style="1219" hidden="1" customWidth="1"/>
    <col min="14" max="14" width="0" style="1219" hidden="1" customWidth="1"/>
    <col min="15" max="15" width="5" style="1219" hidden="1" customWidth="1"/>
    <col min="16" max="16" width="0" style="1219" hidden="1" customWidth="1"/>
    <col min="17" max="17" width="5" style="1219" hidden="1" customWidth="1"/>
    <col min="18" max="18" width="9" style="1617"/>
    <col min="19" max="19" width="9" style="1251"/>
    <col min="20" max="35" width="9" style="255"/>
    <col min="36" max="16384" width="9" style="1251"/>
  </cols>
  <sheetData>
    <row r="1" spans="1:45" s="255" customFormat="1" ht="14.25" customHeight="1" thickBot="1">
      <c r="A1" s="366"/>
      <c r="B1" s="2234" t="s">
        <v>2304</v>
      </c>
      <c r="C1" s="3524" t="s">
        <v>2305</v>
      </c>
      <c r="D1" s="3525"/>
      <c r="E1" s="3525"/>
      <c r="F1" s="3525"/>
      <c r="G1" s="3525"/>
      <c r="H1" s="3525"/>
      <c r="I1" s="3525"/>
      <c r="J1" s="3525"/>
      <c r="K1" s="3525"/>
      <c r="L1" s="3525"/>
      <c r="M1" s="3525"/>
      <c r="N1" s="3525"/>
      <c r="O1" s="3525"/>
      <c r="P1" s="3525"/>
      <c r="Q1" s="3525"/>
      <c r="R1" s="3525"/>
      <c r="S1" s="352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R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si="0"/>
        <v>(含)-</v>
      </c>
      <c r="N2" s="952" t="str">
        <f t="shared" si="0"/>
        <v>(含)-</v>
      </c>
      <c r="O2" s="952" t="str">
        <f t="shared" si="0"/>
        <v>(含)-</v>
      </c>
      <c r="P2" s="952" t="str">
        <f t="shared" si="0"/>
        <v>(含)-</v>
      </c>
      <c r="Q2" s="952" t="str">
        <f t="shared" si="0"/>
        <v>(含)-</v>
      </c>
      <c r="R2" s="952" t="str">
        <f t="shared" si="0"/>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3149</v>
      </c>
      <c r="C5" s="3226" t="s">
        <v>3152</v>
      </c>
      <c r="D5" s="3227" t="s">
        <v>3153</v>
      </c>
      <c r="E5" s="2253"/>
      <c r="F5" s="2253"/>
      <c r="G5" s="2253"/>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90</v>
      </c>
      <c r="E6" s="1969">
        <f t="shared" ref="E6:S6" si="1">D6-$T5</f>
        <v>80</v>
      </c>
      <c r="F6" s="1969">
        <f t="shared" si="1"/>
        <v>70</v>
      </c>
      <c r="G6" s="1969">
        <f t="shared" si="1"/>
        <v>60</v>
      </c>
      <c r="H6" s="1969">
        <f t="shared" si="1"/>
        <v>50</v>
      </c>
      <c r="I6" s="1969">
        <f t="shared" si="1"/>
        <v>40</v>
      </c>
      <c r="J6" s="1969">
        <f t="shared" si="1"/>
        <v>30</v>
      </c>
      <c r="K6" s="1969">
        <f t="shared" si="1"/>
        <v>20</v>
      </c>
      <c r="L6" s="1969">
        <f t="shared" si="1"/>
        <v>10</v>
      </c>
      <c r="M6" s="1969">
        <f t="shared" si="1"/>
        <v>0</v>
      </c>
      <c r="N6" s="1969">
        <f t="shared" si="1"/>
        <v>-10</v>
      </c>
      <c r="O6" s="1969">
        <f t="shared" si="1"/>
        <v>-20</v>
      </c>
      <c r="P6" s="1969">
        <f t="shared" si="1"/>
        <v>-30</v>
      </c>
      <c r="Q6" s="1969">
        <f t="shared" si="1"/>
        <v>-40</v>
      </c>
      <c r="R6" s="1969">
        <f t="shared" si="1"/>
        <v>-50</v>
      </c>
      <c r="S6" s="1969">
        <f t="shared" si="1"/>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128831</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14399</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89471.4</v>
      </c>
      <c r="C22" s="3521" t="s">
        <v>20</v>
      </c>
      <c r="D22" s="3522"/>
      <c r="E22" s="3522"/>
      <c r="F22" s="3522"/>
      <c r="G22" s="3522"/>
      <c r="H22" s="3522"/>
      <c r="I22" s="3522"/>
      <c r="J22" s="3522"/>
      <c r="K22" s="3522"/>
      <c r="L22" s="3522"/>
      <c r="M22" s="3522"/>
      <c r="N22" s="3522"/>
      <c r="O22" s="3522"/>
      <c r="P22" s="3522"/>
      <c r="Q22" s="3523"/>
      <c r="R22" s="491">
        <f>ROUND(S22*10000/B22,0)</f>
        <v>14399</v>
      </c>
      <c r="S22" s="53">
        <f>SUM(S24:S10000)</f>
        <v>128831</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3106</v>
      </c>
      <c r="B24" s="962">
        <f>'数据-汇总表'!F21</f>
        <v>46073.919999999998</v>
      </c>
      <c r="C24" s="963">
        <v>1</v>
      </c>
      <c r="D24" s="964" t="s">
        <v>3092</v>
      </c>
      <c r="E24" s="963">
        <v>1</v>
      </c>
      <c r="F24" s="964"/>
      <c r="G24" s="963">
        <v>1</v>
      </c>
      <c r="H24" s="964"/>
      <c r="I24" s="963">
        <v>1</v>
      </c>
      <c r="J24" s="964"/>
      <c r="K24" s="963">
        <v>1</v>
      </c>
      <c r="L24" s="964"/>
      <c r="M24" s="963">
        <v>1</v>
      </c>
      <c r="N24" s="964"/>
      <c r="O24" s="963">
        <v>1</v>
      </c>
      <c r="P24" s="964"/>
      <c r="Q24" s="963">
        <v>1</v>
      </c>
      <c r="R24" s="965">
        <f>'不动产比较法-联排'!B3</f>
        <v>15133</v>
      </c>
      <c r="S24" s="963">
        <f t="shared" ref="S24:S87" si="5">ROUND(R24*B24/10000,0)</f>
        <v>69724</v>
      </c>
      <c r="T24" s="1973"/>
      <c r="U24" s="1973"/>
      <c r="V24" s="1973"/>
      <c r="W24" s="1973"/>
      <c r="X24" s="1973"/>
      <c r="Y24" s="1973"/>
      <c r="Z24" s="1973"/>
      <c r="AA24" s="1973"/>
      <c r="AB24" s="1973"/>
      <c r="AC24" s="1973"/>
      <c r="AD24" s="1973"/>
      <c r="AE24" s="1973"/>
      <c r="AF24" s="1973"/>
      <c r="AG24" s="1973"/>
      <c r="AH24" s="1973"/>
      <c r="AI24" s="1973"/>
    </row>
    <row r="25" spans="1:45">
      <c r="A25" s="3217" t="s">
        <v>3154</v>
      </c>
      <c r="B25" s="962">
        <f>'数据-汇总表'!F22</f>
        <v>43397.479999999996</v>
      </c>
      <c r="C25" s="53">
        <f>IF(B25="",1,(LOOKUP(B25,$3:$3,$4:$4)-LOOKUP($B$24,$3:$3,$4:$4)+100)/100)</f>
        <v>1</v>
      </c>
      <c r="D25" s="964" t="s">
        <v>3096</v>
      </c>
      <c r="E25" s="53">
        <f>(SUMIF($5:$5,D25,$6:$6)-SUMIF($5:$5,$D$24,$6:$6)+100)/100</f>
        <v>0.9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13620</v>
      </c>
      <c r="S25" s="800">
        <f t="shared" si="5"/>
        <v>59107</v>
      </c>
    </row>
    <row r="26" spans="1:45">
      <c r="A26" s="966"/>
      <c r="B26" s="136"/>
      <c r="C26" s="53">
        <f t="shared" ref="C26:C89" si="6">IF(B26="",1,(LOOKUP(B26,$3:$3,$4:$4)-LOOKUP($B$24,$3:$3,$4:$4)+100)/100)</f>
        <v>1</v>
      </c>
      <c r="D26" s="964"/>
      <c r="E26" s="53">
        <f t="shared" ref="E26:E89" si="7">(SUMIF($5:$5,D26,$6:$6)-SUMIF($5:$5,$D$24,$6:$6)+100)/100</f>
        <v>0</v>
      </c>
      <c r="F26" s="964"/>
      <c r="G26" s="53">
        <f t="shared" ref="G26:G89" si="8">(SUMIF($7:$7,F26,$8:$8)-SUMIF($7:$7,$F$24,$8:$8)+100)/100</f>
        <v>1</v>
      </c>
      <c r="H26" s="964"/>
      <c r="I26" s="53">
        <f t="shared" ref="I26:I89" si="9">(SUMIF($9:$9,H26,$10:$10)-SUMIF($9:$9,$H$24,$10:$10)+100)/100</f>
        <v>1</v>
      </c>
      <c r="J26" s="964"/>
      <c r="K26" s="53">
        <f t="shared" ref="K26:K89" si="10">(SUMIF($11:$11,J26,$12:$12)-SUMIF($11:$11,$J$24,$12:$12)+100)/100</f>
        <v>1</v>
      </c>
      <c r="L26" s="964"/>
      <c r="M26" s="53">
        <f t="shared" ref="M26:M89" si="11">(SUMIF($13:$13,L26,$14:$14)-SUMIF($13:$13,$L$24,$14:$14)+100)/100</f>
        <v>1</v>
      </c>
      <c r="N26" s="964"/>
      <c r="O26" s="53">
        <f t="shared" ref="O26:O89" si="12">(SUMIF($15:$15,N26,$16:$16)-SUMIF($15:$15,$N$24,$16:$16)+100)/100</f>
        <v>1</v>
      </c>
      <c r="P26" s="964"/>
      <c r="Q26" s="53">
        <f t="shared" ref="Q26:Q89" si="13">(SUMIF($17:$17,P26,$18:$18)-SUMIF($17:$17,$P$24,$18:$18)+100)/100</f>
        <v>1</v>
      </c>
      <c r="R26" s="491">
        <f t="shared" ref="R26:R89" si="14">IF(B26="",0,ROUND($R$24*C26*E26*G26*I26*K26*M26*O26*Q26,0))</f>
        <v>0</v>
      </c>
      <c r="S26" s="800">
        <f t="shared" si="5"/>
        <v>0</v>
      </c>
    </row>
    <row r="27" spans="1:45">
      <c r="A27" s="966"/>
      <c r="B27" s="136"/>
      <c r="C27" s="53">
        <f t="shared" si="6"/>
        <v>1</v>
      </c>
      <c r="D27" s="964"/>
      <c r="E27" s="53">
        <f t="shared" si="7"/>
        <v>0</v>
      </c>
      <c r="F27" s="964"/>
      <c r="G27" s="53">
        <f t="shared" si="8"/>
        <v>1</v>
      </c>
      <c r="H27" s="964"/>
      <c r="I27" s="53">
        <f t="shared" si="9"/>
        <v>1</v>
      </c>
      <c r="J27" s="964"/>
      <c r="K27" s="53">
        <f t="shared" si="10"/>
        <v>1</v>
      </c>
      <c r="L27" s="964"/>
      <c r="M27" s="53">
        <f t="shared" si="11"/>
        <v>1</v>
      </c>
      <c r="N27" s="964"/>
      <c r="O27" s="53">
        <f t="shared" si="12"/>
        <v>1</v>
      </c>
      <c r="P27" s="964"/>
      <c r="Q27" s="53">
        <f t="shared" si="13"/>
        <v>1</v>
      </c>
      <c r="R27" s="491">
        <f t="shared" si="14"/>
        <v>0</v>
      </c>
      <c r="S27" s="800">
        <f t="shared" si="5"/>
        <v>0</v>
      </c>
    </row>
    <row r="28" spans="1:45">
      <c r="A28" s="966"/>
      <c r="B28" s="136"/>
      <c r="C28" s="53">
        <f t="shared" si="6"/>
        <v>1</v>
      </c>
      <c r="D28" s="964"/>
      <c r="E28" s="53">
        <f t="shared" si="7"/>
        <v>0</v>
      </c>
      <c r="F28" s="964"/>
      <c r="G28" s="53">
        <f t="shared" si="8"/>
        <v>1</v>
      </c>
      <c r="H28" s="964"/>
      <c r="I28" s="53">
        <f t="shared" si="9"/>
        <v>1</v>
      </c>
      <c r="J28" s="964"/>
      <c r="K28" s="53">
        <f t="shared" si="10"/>
        <v>1</v>
      </c>
      <c r="L28" s="964"/>
      <c r="M28" s="53">
        <f t="shared" si="11"/>
        <v>1</v>
      </c>
      <c r="N28" s="964"/>
      <c r="O28" s="53">
        <f t="shared" si="12"/>
        <v>1</v>
      </c>
      <c r="P28" s="964"/>
      <c r="Q28" s="53">
        <f t="shared" si="13"/>
        <v>1</v>
      </c>
      <c r="R28" s="491">
        <f t="shared" si="14"/>
        <v>0</v>
      </c>
      <c r="S28" s="800">
        <f t="shared" si="5"/>
        <v>0</v>
      </c>
    </row>
    <row r="29" spans="1:45">
      <c r="A29" s="966"/>
      <c r="B29" s="136"/>
      <c r="C29" s="53">
        <f t="shared" si="6"/>
        <v>1</v>
      </c>
      <c r="D29" s="964"/>
      <c r="E29" s="53">
        <f t="shared" si="7"/>
        <v>0</v>
      </c>
      <c r="F29" s="964"/>
      <c r="G29" s="53">
        <f t="shared" si="8"/>
        <v>1</v>
      </c>
      <c r="H29" s="964"/>
      <c r="I29" s="53">
        <f t="shared" si="9"/>
        <v>1</v>
      </c>
      <c r="J29" s="964"/>
      <c r="K29" s="53">
        <f t="shared" si="10"/>
        <v>1</v>
      </c>
      <c r="L29" s="964"/>
      <c r="M29" s="53">
        <f t="shared" si="11"/>
        <v>1</v>
      </c>
      <c r="N29" s="964"/>
      <c r="O29" s="53">
        <f t="shared" si="12"/>
        <v>1</v>
      </c>
      <c r="P29" s="964"/>
      <c r="Q29" s="53">
        <f t="shared" si="13"/>
        <v>1</v>
      </c>
      <c r="R29" s="491">
        <f t="shared" si="14"/>
        <v>0</v>
      </c>
      <c r="S29" s="800">
        <f t="shared" si="5"/>
        <v>0</v>
      </c>
    </row>
    <row r="30" spans="1:45">
      <c r="A30" s="966"/>
      <c r="B30" s="136"/>
      <c r="C30" s="53">
        <f t="shared" si="6"/>
        <v>1</v>
      </c>
      <c r="D30" s="964"/>
      <c r="E30" s="53">
        <f t="shared" si="7"/>
        <v>0</v>
      </c>
      <c r="F30" s="964"/>
      <c r="G30" s="53">
        <f t="shared" si="8"/>
        <v>1</v>
      </c>
      <c r="H30" s="964"/>
      <c r="I30" s="53">
        <f t="shared" si="9"/>
        <v>1</v>
      </c>
      <c r="J30" s="964"/>
      <c r="K30" s="53">
        <f t="shared" si="10"/>
        <v>1</v>
      </c>
      <c r="L30" s="964"/>
      <c r="M30" s="53">
        <f t="shared" si="11"/>
        <v>1</v>
      </c>
      <c r="N30" s="964"/>
      <c r="O30" s="53">
        <f t="shared" si="12"/>
        <v>1</v>
      </c>
      <c r="P30" s="964"/>
      <c r="Q30" s="53">
        <f t="shared" si="13"/>
        <v>1</v>
      </c>
      <c r="R30" s="491">
        <f t="shared" si="14"/>
        <v>0</v>
      </c>
      <c r="S30" s="800">
        <f t="shared" si="5"/>
        <v>0</v>
      </c>
    </row>
    <row r="31" spans="1:45">
      <c r="A31" s="966"/>
      <c r="B31" s="136"/>
      <c r="C31" s="53">
        <f t="shared" si="6"/>
        <v>1</v>
      </c>
      <c r="D31" s="964"/>
      <c r="E31" s="53">
        <f t="shared" si="7"/>
        <v>0</v>
      </c>
      <c r="F31" s="964"/>
      <c r="G31" s="53">
        <f t="shared" si="8"/>
        <v>1</v>
      </c>
      <c r="H31" s="964"/>
      <c r="I31" s="53">
        <f t="shared" si="9"/>
        <v>1</v>
      </c>
      <c r="J31" s="964"/>
      <c r="K31" s="53">
        <f t="shared" si="10"/>
        <v>1</v>
      </c>
      <c r="L31" s="964"/>
      <c r="M31" s="53">
        <f t="shared" si="11"/>
        <v>1</v>
      </c>
      <c r="N31" s="964"/>
      <c r="O31" s="53">
        <f t="shared" si="12"/>
        <v>1</v>
      </c>
      <c r="P31" s="964"/>
      <c r="Q31" s="53">
        <f t="shared" si="13"/>
        <v>1</v>
      </c>
      <c r="R31" s="491">
        <f t="shared" si="14"/>
        <v>0</v>
      </c>
      <c r="S31" s="800">
        <f t="shared" si="5"/>
        <v>0</v>
      </c>
    </row>
    <row r="32" spans="1:45">
      <c r="A32" s="966"/>
      <c r="B32" s="136"/>
      <c r="C32" s="53">
        <f t="shared" si="6"/>
        <v>1</v>
      </c>
      <c r="D32" s="964"/>
      <c r="E32" s="53">
        <f t="shared" si="7"/>
        <v>0</v>
      </c>
      <c r="F32" s="964"/>
      <c r="G32" s="53">
        <f t="shared" si="8"/>
        <v>1</v>
      </c>
      <c r="H32" s="964"/>
      <c r="I32" s="53">
        <f t="shared" si="9"/>
        <v>1</v>
      </c>
      <c r="J32" s="964"/>
      <c r="K32" s="53">
        <f t="shared" si="10"/>
        <v>1</v>
      </c>
      <c r="L32" s="964"/>
      <c r="M32" s="53">
        <f t="shared" si="11"/>
        <v>1</v>
      </c>
      <c r="N32" s="964"/>
      <c r="O32" s="53">
        <f t="shared" si="12"/>
        <v>1</v>
      </c>
      <c r="P32" s="964"/>
      <c r="Q32" s="53">
        <f t="shared" si="13"/>
        <v>1</v>
      </c>
      <c r="R32" s="491">
        <f t="shared" si="14"/>
        <v>0</v>
      </c>
      <c r="S32" s="800">
        <f t="shared" si="5"/>
        <v>0</v>
      </c>
    </row>
    <row r="33" spans="1:19">
      <c r="A33" s="966"/>
      <c r="B33" s="136"/>
      <c r="C33" s="53">
        <f t="shared" si="6"/>
        <v>1</v>
      </c>
      <c r="D33" s="964"/>
      <c r="E33" s="53">
        <f t="shared" si="7"/>
        <v>0</v>
      </c>
      <c r="F33" s="964"/>
      <c r="G33" s="53">
        <f t="shared" si="8"/>
        <v>1</v>
      </c>
      <c r="H33" s="964"/>
      <c r="I33" s="53">
        <f t="shared" si="9"/>
        <v>1</v>
      </c>
      <c r="J33" s="964"/>
      <c r="K33" s="53">
        <f t="shared" si="10"/>
        <v>1</v>
      </c>
      <c r="L33" s="964"/>
      <c r="M33" s="53">
        <f t="shared" si="11"/>
        <v>1</v>
      </c>
      <c r="N33" s="964"/>
      <c r="O33" s="53">
        <f t="shared" si="12"/>
        <v>1</v>
      </c>
      <c r="P33" s="964"/>
      <c r="Q33" s="53">
        <f t="shared" si="13"/>
        <v>1</v>
      </c>
      <c r="R33" s="491">
        <f t="shared" si="14"/>
        <v>0</v>
      </c>
      <c r="S33" s="800">
        <f t="shared" si="5"/>
        <v>0</v>
      </c>
    </row>
    <row r="34" spans="1:19">
      <c r="A34" s="966"/>
      <c r="B34" s="136"/>
      <c r="C34" s="53">
        <f t="shared" si="6"/>
        <v>1</v>
      </c>
      <c r="D34" s="964"/>
      <c r="E34" s="53">
        <f t="shared" si="7"/>
        <v>0</v>
      </c>
      <c r="F34" s="964"/>
      <c r="G34" s="53">
        <f t="shared" si="8"/>
        <v>1</v>
      </c>
      <c r="H34" s="964"/>
      <c r="I34" s="53">
        <f t="shared" si="9"/>
        <v>1</v>
      </c>
      <c r="J34" s="964"/>
      <c r="K34" s="53">
        <f t="shared" si="10"/>
        <v>1</v>
      </c>
      <c r="L34" s="964"/>
      <c r="M34" s="53">
        <f t="shared" si="11"/>
        <v>1</v>
      </c>
      <c r="N34" s="964"/>
      <c r="O34" s="53">
        <f t="shared" si="12"/>
        <v>1</v>
      </c>
      <c r="P34" s="964"/>
      <c r="Q34" s="53">
        <f t="shared" si="13"/>
        <v>1</v>
      </c>
      <c r="R34" s="491">
        <f t="shared" si="14"/>
        <v>0</v>
      </c>
      <c r="S34" s="800">
        <f t="shared" si="5"/>
        <v>0</v>
      </c>
    </row>
    <row r="35" spans="1:19">
      <c r="A35" s="966"/>
      <c r="B35" s="136"/>
      <c r="C35" s="53">
        <f t="shared" si="6"/>
        <v>1</v>
      </c>
      <c r="D35" s="964"/>
      <c r="E35" s="53">
        <f t="shared" si="7"/>
        <v>0</v>
      </c>
      <c r="F35" s="964"/>
      <c r="G35" s="53">
        <f t="shared" si="8"/>
        <v>1</v>
      </c>
      <c r="H35" s="964"/>
      <c r="I35" s="53">
        <f t="shared" si="9"/>
        <v>1</v>
      </c>
      <c r="J35" s="964"/>
      <c r="K35" s="53">
        <f t="shared" si="10"/>
        <v>1</v>
      </c>
      <c r="L35" s="964"/>
      <c r="M35" s="53">
        <f t="shared" si="11"/>
        <v>1</v>
      </c>
      <c r="N35" s="964"/>
      <c r="O35" s="53">
        <f t="shared" si="12"/>
        <v>1</v>
      </c>
      <c r="P35" s="964"/>
      <c r="Q35" s="53">
        <f t="shared" si="13"/>
        <v>1</v>
      </c>
      <c r="R35" s="491">
        <f t="shared" si="14"/>
        <v>0</v>
      </c>
      <c r="S35" s="800">
        <f t="shared" si="5"/>
        <v>0</v>
      </c>
    </row>
    <row r="36" spans="1:19">
      <c r="A36" s="966"/>
      <c r="B36" s="136"/>
      <c r="C36" s="53">
        <f t="shared" si="6"/>
        <v>1</v>
      </c>
      <c r="D36" s="964"/>
      <c r="E36" s="53">
        <f t="shared" si="7"/>
        <v>0</v>
      </c>
      <c r="F36" s="964"/>
      <c r="G36" s="53">
        <f t="shared" si="8"/>
        <v>1</v>
      </c>
      <c r="H36" s="964"/>
      <c r="I36" s="53">
        <f t="shared" si="9"/>
        <v>1</v>
      </c>
      <c r="J36" s="964"/>
      <c r="K36" s="53">
        <f t="shared" si="10"/>
        <v>1</v>
      </c>
      <c r="L36" s="964"/>
      <c r="M36" s="53">
        <f t="shared" si="11"/>
        <v>1</v>
      </c>
      <c r="N36" s="964"/>
      <c r="O36" s="53">
        <f t="shared" si="12"/>
        <v>1</v>
      </c>
      <c r="P36" s="964"/>
      <c r="Q36" s="53">
        <f t="shared" si="13"/>
        <v>1</v>
      </c>
      <c r="R36" s="491">
        <f t="shared" si="14"/>
        <v>0</v>
      </c>
      <c r="S36" s="800">
        <f t="shared" si="5"/>
        <v>0</v>
      </c>
    </row>
    <row r="37" spans="1:19">
      <c r="A37" s="966"/>
      <c r="B37" s="136"/>
      <c r="C37" s="53">
        <f t="shared" si="6"/>
        <v>1</v>
      </c>
      <c r="D37" s="964"/>
      <c r="E37" s="53">
        <f t="shared" si="7"/>
        <v>0</v>
      </c>
      <c r="F37" s="964"/>
      <c r="G37" s="53">
        <f t="shared" si="8"/>
        <v>1</v>
      </c>
      <c r="H37" s="964"/>
      <c r="I37" s="53">
        <f t="shared" si="9"/>
        <v>1</v>
      </c>
      <c r="J37" s="964"/>
      <c r="K37" s="53">
        <f t="shared" si="10"/>
        <v>1</v>
      </c>
      <c r="L37" s="964"/>
      <c r="M37" s="53">
        <f t="shared" si="11"/>
        <v>1</v>
      </c>
      <c r="N37" s="964"/>
      <c r="O37" s="53">
        <f t="shared" si="12"/>
        <v>1</v>
      </c>
      <c r="P37" s="964"/>
      <c r="Q37" s="53">
        <f t="shared" si="13"/>
        <v>1</v>
      </c>
      <c r="R37" s="491">
        <f t="shared" si="14"/>
        <v>0</v>
      </c>
      <c r="S37" s="800">
        <f t="shared" si="5"/>
        <v>0</v>
      </c>
    </row>
    <row r="38" spans="1:19">
      <c r="A38" s="966"/>
      <c r="B38" s="136"/>
      <c r="C38" s="53">
        <f t="shared" si="6"/>
        <v>1</v>
      </c>
      <c r="D38" s="964"/>
      <c r="E38" s="53">
        <f t="shared" si="7"/>
        <v>0</v>
      </c>
      <c r="F38" s="964"/>
      <c r="G38" s="53">
        <f t="shared" si="8"/>
        <v>1</v>
      </c>
      <c r="H38" s="964"/>
      <c r="I38" s="53">
        <f t="shared" si="9"/>
        <v>1</v>
      </c>
      <c r="J38" s="964"/>
      <c r="K38" s="53">
        <f t="shared" si="10"/>
        <v>1</v>
      </c>
      <c r="L38" s="964"/>
      <c r="M38" s="53">
        <f t="shared" si="11"/>
        <v>1</v>
      </c>
      <c r="N38" s="964"/>
      <c r="O38" s="53">
        <f t="shared" si="12"/>
        <v>1</v>
      </c>
      <c r="P38" s="964"/>
      <c r="Q38" s="53">
        <f t="shared" si="13"/>
        <v>1</v>
      </c>
      <c r="R38" s="491">
        <f t="shared" si="14"/>
        <v>0</v>
      </c>
      <c r="S38" s="800">
        <f t="shared" si="5"/>
        <v>0</v>
      </c>
    </row>
    <row r="39" spans="1:19">
      <c r="A39" s="966"/>
      <c r="B39" s="136"/>
      <c r="C39" s="53">
        <f t="shared" si="6"/>
        <v>1</v>
      </c>
      <c r="D39" s="964"/>
      <c r="E39" s="53">
        <f t="shared" si="7"/>
        <v>0</v>
      </c>
      <c r="F39" s="964"/>
      <c r="G39" s="53">
        <f t="shared" si="8"/>
        <v>1</v>
      </c>
      <c r="H39" s="964"/>
      <c r="I39" s="53">
        <f t="shared" si="9"/>
        <v>1</v>
      </c>
      <c r="J39" s="964"/>
      <c r="K39" s="53">
        <f t="shared" si="10"/>
        <v>1</v>
      </c>
      <c r="L39" s="964"/>
      <c r="M39" s="53">
        <f t="shared" si="11"/>
        <v>1</v>
      </c>
      <c r="N39" s="964"/>
      <c r="O39" s="53">
        <f t="shared" si="12"/>
        <v>1</v>
      </c>
      <c r="P39" s="964"/>
      <c r="Q39" s="53">
        <f t="shared" si="13"/>
        <v>1</v>
      </c>
      <c r="R39" s="491">
        <f t="shared" si="14"/>
        <v>0</v>
      </c>
      <c r="S39" s="800">
        <f t="shared" si="5"/>
        <v>0</v>
      </c>
    </row>
    <row r="40" spans="1:19">
      <c r="A40" s="966"/>
      <c r="B40" s="136"/>
      <c r="C40" s="53">
        <f t="shared" si="6"/>
        <v>1</v>
      </c>
      <c r="D40" s="964"/>
      <c r="E40" s="53">
        <f t="shared" si="7"/>
        <v>0</v>
      </c>
      <c r="F40" s="964"/>
      <c r="G40" s="53">
        <f t="shared" si="8"/>
        <v>1</v>
      </c>
      <c r="H40" s="964"/>
      <c r="I40" s="53">
        <f t="shared" si="9"/>
        <v>1</v>
      </c>
      <c r="J40" s="964"/>
      <c r="K40" s="53">
        <f t="shared" si="10"/>
        <v>1</v>
      </c>
      <c r="L40" s="964"/>
      <c r="M40" s="53">
        <f t="shared" si="11"/>
        <v>1</v>
      </c>
      <c r="N40" s="964"/>
      <c r="O40" s="53">
        <f t="shared" si="12"/>
        <v>1</v>
      </c>
      <c r="P40" s="964"/>
      <c r="Q40" s="53">
        <f t="shared" si="13"/>
        <v>1</v>
      </c>
      <c r="R40" s="491">
        <f t="shared" si="14"/>
        <v>0</v>
      </c>
      <c r="S40" s="800">
        <f t="shared" si="5"/>
        <v>0</v>
      </c>
    </row>
    <row r="41" spans="1:19">
      <c r="A41" s="966"/>
      <c r="B41" s="136"/>
      <c r="C41" s="53">
        <f t="shared" si="6"/>
        <v>1</v>
      </c>
      <c r="D41" s="964"/>
      <c r="E41" s="53">
        <f t="shared" si="7"/>
        <v>0</v>
      </c>
      <c r="F41" s="964"/>
      <c r="G41" s="53">
        <f t="shared" si="8"/>
        <v>1</v>
      </c>
      <c r="H41" s="964"/>
      <c r="I41" s="53">
        <f t="shared" si="9"/>
        <v>1</v>
      </c>
      <c r="J41" s="964"/>
      <c r="K41" s="53">
        <f t="shared" si="10"/>
        <v>1</v>
      </c>
      <c r="L41" s="964"/>
      <c r="M41" s="53">
        <f t="shared" si="11"/>
        <v>1</v>
      </c>
      <c r="N41" s="964"/>
      <c r="O41" s="53">
        <f t="shared" si="12"/>
        <v>1</v>
      </c>
      <c r="P41" s="964"/>
      <c r="Q41" s="53">
        <f t="shared" si="13"/>
        <v>1</v>
      </c>
      <c r="R41" s="491">
        <f t="shared" si="14"/>
        <v>0</v>
      </c>
      <c r="S41" s="800">
        <f t="shared" si="5"/>
        <v>0</v>
      </c>
    </row>
    <row r="42" spans="1:19">
      <c r="A42" s="966"/>
      <c r="B42" s="136"/>
      <c r="C42" s="53">
        <f t="shared" si="6"/>
        <v>1</v>
      </c>
      <c r="D42" s="964"/>
      <c r="E42" s="53">
        <f t="shared" si="7"/>
        <v>0</v>
      </c>
      <c r="F42" s="964"/>
      <c r="G42" s="53">
        <f t="shared" si="8"/>
        <v>1</v>
      </c>
      <c r="H42" s="964"/>
      <c r="I42" s="53">
        <f t="shared" si="9"/>
        <v>1</v>
      </c>
      <c r="J42" s="964"/>
      <c r="K42" s="53">
        <f t="shared" si="10"/>
        <v>1</v>
      </c>
      <c r="L42" s="964"/>
      <c r="M42" s="53">
        <f t="shared" si="11"/>
        <v>1</v>
      </c>
      <c r="N42" s="964"/>
      <c r="O42" s="53">
        <f t="shared" si="12"/>
        <v>1</v>
      </c>
      <c r="P42" s="964"/>
      <c r="Q42" s="53">
        <f t="shared" si="13"/>
        <v>1</v>
      </c>
      <c r="R42" s="491">
        <f t="shared" si="14"/>
        <v>0</v>
      </c>
      <c r="S42" s="800">
        <f t="shared" si="5"/>
        <v>0</v>
      </c>
    </row>
    <row r="43" spans="1:19">
      <c r="A43" s="966"/>
      <c r="B43" s="136"/>
      <c r="C43" s="53">
        <f t="shared" si="6"/>
        <v>1</v>
      </c>
      <c r="D43" s="964"/>
      <c r="E43" s="53">
        <f t="shared" si="7"/>
        <v>0</v>
      </c>
      <c r="F43" s="964"/>
      <c r="G43" s="53">
        <f t="shared" si="8"/>
        <v>1</v>
      </c>
      <c r="H43" s="964"/>
      <c r="I43" s="53">
        <f t="shared" si="9"/>
        <v>1</v>
      </c>
      <c r="J43" s="964"/>
      <c r="K43" s="53">
        <f t="shared" si="10"/>
        <v>1</v>
      </c>
      <c r="L43" s="964"/>
      <c r="M43" s="53">
        <f t="shared" si="11"/>
        <v>1</v>
      </c>
      <c r="N43" s="964"/>
      <c r="O43" s="53">
        <f t="shared" si="12"/>
        <v>1</v>
      </c>
      <c r="P43" s="964"/>
      <c r="Q43" s="53">
        <f t="shared" si="13"/>
        <v>1</v>
      </c>
      <c r="R43" s="491">
        <f t="shared" si="14"/>
        <v>0</v>
      </c>
      <c r="S43" s="800">
        <f t="shared" si="5"/>
        <v>0</v>
      </c>
    </row>
    <row r="44" spans="1:19">
      <c r="A44" s="966"/>
      <c r="B44" s="136"/>
      <c r="C44" s="53">
        <f t="shared" si="6"/>
        <v>1</v>
      </c>
      <c r="D44" s="964"/>
      <c r="E44" s="53">
        <f t="shared" si="7"/>
        <v>0</v>
      </c>
      <c r="F44" s="964"/>
      <c r="G44" s="53">
        <f t="shared" si="8"/>
        <v>1</v>
      </c>
      <c r="H44" s="964"/>
      <c r="I44" s="53">
        <f t="shared" si="9"/>
        <v>1</v>
      </c>
      <c r="J44" s="964"/>
      <c r="K44" s="53">
        <f t="shared" si="10"/>
        <v>1</v>
      </c>
      <c r="L44" s="964"/>
      <c r="M44" s="53">
        <f t="shared" si="11"/>
        <v>1</v>
      </c>
      <c r="N44" s="964"/>
      <c r="O44" s="53">
        <f t="shared" si="12"/>
        <v>1</v>
      </c>
      <c r="P44" s="964"/>
      <c r="Q44" s="53">
        <f t="shared" si="13"/>
        <v>1</v>
      </c>
      <c r="R44" s="491">
        <f t="shared" si="14"/>
        <v>0</v>
      </c>
      <c r="S44" s="800">
        <f t="shared" si="5"/>
        <v>0</v>
      </c>
    </row>
    <row r="45" spans="1:19">
      <c r="A45" s="966"/>
      <c r="B45" s="136"/>
      <c r="C45" s="53">
        <f t="shared" si="6"/>
        <v>1</v>
      </c>
      <c r="D45" s="964"/>
      <c r="E45" s="53">
        <f t="shared" si="7"/>
        <v>0</v>
      </c>
      <c r="F45" s="964"/>
      <c r="G45" s="53">
        <f t="shared" si="8"/>
        <v>1</v>
      </c>
      <c r="H45" s="964"/>
      <c r="I45" s="53">
        <f t="shared" si="9"/>
        <v>1</v>
      </c>
      <c r="J45" s="964"/>
      <c r="K45" s="53">
        <f t="shared" si="10"/>
        <v>1</v>
      </c>
      <c r="L45" s="964"/>
      <c r="M45" s="53">
        <f t="shared" si="11"/>
        <v>1</v>
      </c>
      <c r="N45" s="964"/>
      <c r="O45" s="53">
        <f t="shared" si="12"/>
        <v>1</v>
      </c>
      <c r="P45" s="964"/>
      <c r="Q45" s="53">
        <f t="shared" si="13"/>
        <v>1</v>
      </c>
      <c r="R45" s="491">
        <f t="shared" si="14"/>
        <v>0</v>
      </c>
      <c r="S45" s="800">
        <f t="shared" si="5"/>
        <v>0</v>
      </c>
    </row>
    <row r="46" spans="1:19">
      <c r="A46" s="966"/>
      <c r="B46" s="136"/>
      <c r="C46" s="53">
        <f t="shared" si="6"/>
        <v>1</v>
      </c>
      <c r="D46" s="964"/>
      <c r="E46" s="53">
        <f t="shared" si="7"/>
        <v>0</v>
      </c>
      <c r="F46" s="964"/>
      <c r="G46" s="53">
        <f t="shared" si="8"/>
        <v>1</v>
      </c>
      <c r="H46" s="964"/>
      <c r="I46" s="53">
        <f t="shared" si="9"/>
        <v>1</v>
      </c>
      <c r="J46" s="964"/>
      <c r="K46" s="53">
        <f t="shared" si="10"/>
        <v>1</v>
      </c>
      <c r="L46" s="964"/>
      <c r="M46" s="53">
        <f t="shared" si="11"/>
        <v>1</v>
      </c>
      <c r="N46" s="964"/>
      <c r="O46" s="53">
        <f t="shared" si="12"/>
        <v>1</v>
      </c>
      <c r="P46" s="964"/>
      <c r="Q46" s="53">
        <f t="shared" si="13"/>
        <v>1</v>
      </c>
      <c r="R46" s="491">
        <f t="shared" si="14"/>
        <v>0</v>
      </c>
      <c r="S46" s="800">
        <f t="shared" si="5"/>
        <v>0</v>
      </c>
    </row>
    <row r="47" spans="1:19">
      <c r="A47" s="966"/>
      <c r="B47" s="136"/>
      <c r="C47" s="53">
        <f t="shared" si="6"/>
        <v>1</v>
      </c>
      <c r="D47" s="964"/>
      <c r="E47" s="53">
        <f t="shared" si="7"/>
        <v>0</v>
      </c>
      <c r="F47" s="964"/>
      <c r="G47" s="53">
        <f t="shared" si="8"/>
        <v>1</v>
      </c>
      <c r="H47" s="964"/>
      <c r="I47" s="53">
        <f t="shared" si="9"/>
        <v>1</v>
      </c>
      <c r="J47" s="964"/>
      <c r="K47" s="53">
        <f t="shared" si="10"/>
        <v>1</v>
      </c>
      <c r="L47" s="964"/>
      <c r="M47" s="53">
        <f t="shared" si="11"/>
        <v>1</v>
      </c>
      <c r="N47" s="964"/>
      <c r="O47" s="53">
        <f t="shared" si="12"/>
        <v>1</v>
      </c>
      <c r="P47" s="964"/>
      <c r="Q47" s="53">
        <f t="shared" si="13"/>
        <v>1</v>
      </c>
      <c r="R47" s="491">
        <f t="shared" si="14"/>
        <v>0</v>
      </c>
      <c r="S47" s="800">
        <f t="shared" si="5"/>
        <v>0</v>
      </c>
    </row>
    <row r="48" spans="1:19">
      <c r="A48" s="966"/>
      <c r="B48" s="136"/>
      <c r="C48" s="53">
        <f t="shared" si="6"/>
        <v>1</v>
      </c>
      <c r="D48" s="964"/>
      <c r="E48" s="53">
        <f t="shared" si="7"/>
        <v>0</v>
      </c>
      <c r="F48" s="964"/>
      <c r="G48" s="53">
        <f t="shared" si="8"/>
        <v>1</v>
      </c>
      <c r="H48" s="964"/>
      <c r="I48" s="53">
        <f t="shared" si="9"/>
        <v>1</v>
      </c>
      <c r="J48" s="964"/>
      <c r="K48" s="53">
        <f t="shared" si="10"/>
        <v>1</v>
      </c>
      <c r="L48" s="964"/>
      <c r="M48" s="53">
        <f t="shared" si="11"/>
        <v>1</v>
      </c>
      <c r="N48" s="964"/>
      <c r="O48" s="53">
        <f t="shared" si="12"/>
        <v>1</v>
      </c>
      <c r="P48" s="964"/>
      <c r="Q48" s="53">
        <f t="shared" si="13"/>
        <v>1</v>
      </c>
      <c r="R48" s="491">
        <f t="shared" si="14"/>
        <v>0</v>
      </c>
      <c r="S48" s="800">
        <f t="shared" si="5"/>
        <v>0</v>
      </c>
    </row>
    <row r="49" spans="1:19">
      <c r="A49" s="966"/>
      <c r="B49" s="136"/>
      <c r="C49" s="53">
        <f t="shared" si="6"/>
        <v>1</v>
      </c>
      <c r="D49" s="964"/>
      <c r="E49" s="53">
        <f t="shared" si="7"/>
        <v>0</v>
      </c>
      <c r="F49" s="964"/>
      <c r="G49" s="53">
        <f t="shared" si="8"/>
        <v>1</v>
      </c>
      <c r="H49" s="964"/>
      <c r="I49" s="53">
        <f t="shared" si="9"/>
        <v>1</v>
      </c>
      <c r="J49" s="964"/>
      <c r="K49" s="53">
        <f t="shared" si="10"/>
        <v>1</v>
      </c>
      <c r="L49" s="964"/>
      <c r="M49" s="53">
        <f t="shared" si="11"/>
        <v>1</v>
      </c>
      <c r="N49" s="964"/>
      <c r="O49" s="53">
        <f t="shared" si="12"/>
        <v>1</v>
      </c>
      <c r="P49" s="964"/>
      <c r="Q49" s="53">
        <f t="shared" si="13"/>
        <v>1</v>
      </c>
      <c r="R49" s="491">
        <f t="shared" si="14"/>
        <v>0</v>
      </c>
      <c r="S49" s="800">
        <f t="shared" si="5"/>
        <v>0</v>
      </c>
    </row>
    <row r="50" spans="1:19">
      <c r="A50" s="966"/>
      <c r="B50" s="136"/>
      <c r="C50" s="53">
        <f t="shared" si="6"/>
        <v>1</v>
      </c>
      <c r="D50" s="964"/>
      <c r="E50" s="53">
        <f t="shared" si="7"/>
        <v>0</v>
      </c>
      <c r="F50" s="964"/>
      <c r="G50" s="53">
        <f t="shared" si="8"/>
        <v>1</v>
      </c>
      <c r="H50" s="964"/>
      <c r="I50" s="53">
        <f t="shared" si="9"/>
        <v>1</v>
      </c>
      <c r="J50" s="964"/>
      <c r="K50" s="53">
        <f t="shared" si="10"/>
        <v>1</v>
      </c>
      <c r="L50" s="964"/>
      <c r="M50" s="53">
        <f t="shared" si="11"/>
        <v>1</v>
      </c>
      <c r="N50" s="964"/>
      <c r="O50" s="53">
        <f t="shared" si="12"/>
        <v>1</v>
      </c>
      <c r="P50" s="964"/>
      <c r="Q50" s="53">
        <f t="shared" si="13"/>
        <v>1</v>
      </c>
      <c r="R50" s="491">
        <f t="shared" si="14"/>
        <v>0</v>
      </c>
      <c r="S50" s="800">
        <f t="shared" si="5"/>
        <v>0</v>
      </c>
    </row>
    <row r="51" spans="1:19">
      <c r="A51" s="966"/>
      <c r="B51" s="136"/>
      <c r="C51" s="53">
        <f t="shared" si="6"/>
        <v>1</v>
      </c>
      <c r="D51" s="964"/>
      <c r="E51" s="53">
        <f t="shared" si="7"/>
        <v>0</v>
      </c>
      <c r="F51" s="964"/>
      <c r="G51" s="53">
        <f t="shared" si="8"/>
        <v>1</v>
      </c>
      <c r="H51" s="964"/>
      <c r="I51" s="53">
        <f t="shared" si="9"/>
        <v>1</v>
      </c>
      <c r="J51" s="964"/>
      <c r="K51" s="53">
        <f t="shared" si="10"/>
        <v>1</v>
      </c>
      <c r="L51" s="964"/>
      <c r="M51" s="53">
        <f t="shared" si="11"/>
        <v>1</v>
      </c>
      <c r="N51" s="964"/>
      <c r="O51" s="53">
        <f t="shared" si="12"/>
        <v>1</v>
      </c>
      <c r="P51" s="964"/>
      <c r="Q51" s="53">
        <f t="shared" si="13"/>
        <v>1</v>
      </c>
      <c r="R51" s="491">
        <f t="shared" si="14"/>
        <v>0</v>
      </c>
      <c r="S51" s="800">
        <f t="shared" si="5"/>
        <v>0</v>
      </c>
    </row>
    <row r="52" spans="1:19">
      <c r="A52" s="966"/>
      <c r="B52" s="136"/>
      <c r="C52" s="53">
        <f t="shared" si="6"/>
        <v>1</v>
      </c>
      <c r="D52" s="964"/>
      <c r="E52" s="53">
        <f t="shared" si="7"/>
        <v>0</v>
      </c>
      <c r="F52" s="964"/>
      <c r="G52" s="53">
        <f t="shared" si="8"/>
        <v>1</v>
      </c>
      <c r="H52" s="964"/>
      <c r="I52" s="53">
        <f t="shared" si="9"/>
        <v>1</v>
      </c>
      <c r="J52" s="964"/>
      <c r="K52" s="53">
        <f t="shared" si="10"/>
        <v>1</v>
      </c>
      <c r="L52" s="964"/>
      <c r="M52" s="53">
        <f t="shared" si="11"/>
        <v>1</v>
      </c>
      <c r="N52" s="964"/>
      <c r="O52" s="53">
        <f t="shared" si="12"/>
        <v>1</v>
      </c>
      <c r="P52" s="964"/>
      <c r="Q52" s="53">
        <f t="shared" si="13"/>
        <v>1</v>
      </c>
      <c r="R52" s="491">
        <f t="shared" si="14"/>
        <v>0</v>
      </c>
      <c r="S52" s="800">
        <f t="shared" si="5"/>
        <v>0</v>
      </c>
    </row>
    <row r="53" spans="1:19">
      <c r="A53" s="966"/>
      <c r="B53" s="136"/>
      <c r="C53" s="53">
        <f t="shared" si="6"/>
        <v>1</v>
      </c>
      <c r="D53" s="964"/>
      <c r="E53" s="53">
        <f t="shared" si="7"/>
        <v>0</v>
      </c>
      <c r="F53" s="964"/>
      <c r="G53" s="53">
        <f t="shared" si="8"/>
        <v>1</v>
      </c>
      <c r="H53" s="964"/>
      <c r="I53" s="53">
        <f t="shared" si="9"/>
        <v>1</v>
      </c>
      <c r="J53" s="964"/>
      <c r="K53" s="53">
        <f t="shared" si="10"/>
        <v>1</v>
      </c>
      <c r="L53" s="964"/>
      <c r="M53" s="53">
        <f t="shared" si="11"/>
        <v>1</v>
      </c>
      <c r="N53" s="964"/>
      <c r="O53" s="53">
        <f t="shared" si="12"/>
        <v>1</v>
      </c>
      <c r="P53" s="964"/>
      <c r="Q53" s="53">
        <f t="shared" si="13"/>
        <v>1</v>
      </c>
      <c r="R53" s="491">
        <f t="shared" si="14"/>
        <v>0</v>
      </c>
      <c r="S53" s="800">
        <f t="shared" si="5"/>
        <v>0</v>
      </c>
    </row>
    <row r="54" spans="1:19">
      <c r="A54" s="966"/>
      <c r="B54" s="136"/>
      <c r="C54" s="53">
        <f t="shared" si="6"/>
        <v>1</v>
      </c>
      <c r="D54" s="964"/>
      <c r="E54" s="53">
        <f t="shared" si="7"/>
        <v>0</v>
      </c>
      <c r="F54" s="964"/>
      <c r="G54" s="53">
        <f t="shared" si="8"/>
        <v>1</v>
      </c>
      <c r="H54" s="964"/>
      <c r="I54" s="53">
        <f t="shared" si="9"/>
        <v>1</v>
      </c>
      <c r="J54" s="964"/>
      <c r="K54" s="53">
        <f t="shared" si="10"/>
        <v>1</v>
      </c>
      <c r="L54" s="964"/>
      <c r="M54" s="53">
        <f t="shared" si="11"/>
        <v>1</v>
      </c>
      <c r="N54" s="964"/>
      <c r="O54" s="53">
        <f t="shared" si="12"/>
        <v>1</v>
      </c>
      <c r="P54" s="964"/>
      <c r="Q54" s="53">
        <f t="shared" si="13"/>
        <v>1</v>
      </c>
      <c r="R54" s="491">
        <f t="shared" si="14"/>
        <v>0</v>
      </c>
      <c r="S54" s="800">
        <f t="shared" si="5"/>
        <v>0</v>
      </c>
    </row>
    <row r="55" spans="1:19">
      <c r="A55" s="966"/>
      <c r="B55" s="136"/>
      <c r="C55" s="53">
        <f t="shared" si="6"/>
        <v>1</v>
      </c>
      <c r="D55" s="964"/>
      <c r="E55" s="53">
        <f t="shared" si="7"/>
        <v>0</v>
      </c>
      <c r="F55" s="964"/>
      <c r="G55" s="53">
        <f t="shared" si="8"/>
        <v>1</v>
      </c>
      <c r="H55" s="964"/>
      <c r="I55" s="53">
        <f t="shared" si="9"/>
        <v>1</v>
      </c>
      <c r="J55" s="964"/>
      <c r="K55" s="53">
        <f t="shared" si="10"/>
        <v>1</v>
      </c>
      <c r="L55" s="964"/>
      <c r="M55" s="53">
        <f t="shared" si="11"/>
        <v>1</v>
      </c>
      <c r="N55" s="964"/>
      <c r="O55" s="53">
        <f t="shared" si="12"/>
        <v>1</v>
      </c>
      <c r="P55" s="964"/>
      <c r="Q55" s="53">
        <f t="shared" si="13"/>
        <v>1</v>
      </c>
      <c r="R55" s="491">
        <f t="shared" si="14"/>
        <v>0</v>
      </c>
      <c r="S55" s="800">
        <f t="shared" si="5"/>
        <v>0</v>
      </c>
    </row>
    <row r="56" spans="1:19">
      <c r="A56" s="966"/>
      <c r="B56" s="136"/>
      <c r="C56" s="53">
        <f t="shared" si="6"/>
        <v>1</v>
      </c>
      <c r="D56" s="964"/>
      <c r="E56" s="53">
        <f t="shared" si="7"/>
        <v>0</v>
      </c>
      <c r="F56" s="964"/>
      <c r="G56" s="53">
        <f t="shared" si="8"/>
        <v>1</v>
      </c>
      <c r="H56" s="964"/>
      <c r="I56" s="53">
        <f t="shared" si="9"/>
        <v>1</v>
      </c>
      <c r="J56" s="964"/>
      <c r="K56" s="53">
        <f t="shared" si="10"/>
        <v>1</v>
      </c>
      <c r="L56" s="964"/>
      <c r="M56" s="53">
        <f t="shared" si="11"/>
        <v>1</v>
      </c>
      <c r="N56" s="964"/>
      <c r="O56" s="53">
        <f t="shared" si="12"/>
        <v>1</v>
      </c>
      <c r="P56" s="964"/>
      <c r="Q56" s="53">
        <f t="shared" si="13"/>
        <v>1</v>
      </c>
      <c r="R56" s="491">
        <f t="shared" si="14"/>
        <v>0</v>
      </c>
      <c r="S56" s="800">
        <f t="shared" si="5"/>
        <v>0</v>
      </c>
    </row>
    <row r="57" spans="1:19">
      <c r="A57" s="966"/>
      <c r="B57" s="136"/>
      <c r="C57" s="53">
        <f t="shared" si="6"/>
        <v>1</v>
      </c>
      <c r="D57" s="964"/>
      <c r="E57" s="53">
        <f t="shared" si="7"/>
        <v>0</v>
      </c>
      <c r="F57" s="964"/>
      <c r="G57" s="53">
        <f t="shared" si="8"/>
        <v>1</v>
      </c>
      <c r="H57" s="964"/>
      <c r="I57" s="53">
        <f t="shared" si="9"/>
        <v>1</v>
      </c>
      <c r="J57" s="964"/>
      <c r="K57" s="53">
        <f t="shared" si="10"/>
        <v>1</v>
      </c>
      <c r="L57" s="964"/>
      <c r="M57" s="53">
        <f t="shared" si="11"/>
        <v>1</v>
      </c>
      <c r="N57" s="964"/>
      <c r="O57" s="53">
        <f t="shared" si="12"/>
        <v>1</v>
      </c>
      <c r="P57" s="964"/>
      <c r="Q57" s="53">
        <f t="shared" si="13"/>
        <v>1</v>
      </c>
      <c r="R57" s="491">
        <f t="shared" si="14"/>
        <v>0</v>
      </c>
      <c r="S57" s="800">
        <f t="shared" si="5"/>
        <v>0</v>
      </c>
    </row>
    <row r="58" spans="1:19">
      <c r="A58" s="966"/>
      <c r="B58" s="136"/>
      <c r="C58" s="53">
        <f t="shared" si="6"/>
        <v>1</v>
      </c>
      <c r="D58" s="964"/>
      <c r="E58" s="53">
        <f t="shared" si="7"/>
        <v>0</v>
      </c>
      <c r="F58" s="964"/>
      <c r="G58" s="53">
        <f t="shared" si="8"/>
        <v>1</v>
      </c>
      <c r="H58" s="964"/>
      <c r="I58" s="53">
        <f t="shared" si="9"/>
        <v>1</v>
      </c>
      <c r="J58" s="964"/>
      <c r="K58" s="53">
        <f t="shared" si="10"/>
        <v>1</v>
      </c>
      <c r="L58" s="964"/>
      <c r="M58" s="53">
        <f t="shared" si="11"/>
        <v>1</v>
      </c>
      <c r="N58" s="964"/>
      <c r="O58" s="53">
        <f t="shared" si="12"/>
        <v>1</v>
      </c>
      <c r="P58" s="964"/>
      <c r="Q58" s="53">
        <f t="shared" si="13"/>
        <v>1</v>
      </c>
      <c r="R58" s="491">
        <f t="shared" si="14"/>
        <v>0</v>
      </c>
      <c r="S58" s="800">
        <f t="shared" si="5"/>
        <v>0</v>
      </c>
    </row>
    <row r="59" spans="1:19">
      <c r="A59" s="966"/>
      <c r="B59" s="136"/>
      <c r="C59" s="53">
        <f t="shared" si="6"/>
        <v>1</v>
      </c>
      <c r="D59" s="964"/>
      <c r="E59" s="53">
        <f t="shared" si="7"/>
        <v>0</v>
      </c>
      <c r="F59" s="964"/>
      <c r="G59" s="53">
        <f t="shared" si="8"/>
        <v>1</v>
      </c>
      <c r="H59" s="964"/>
      <c r="I59" s="53">
        <f t="shared" si="9"/>
        <v>1</v>
      </c>
      <c r="J59" s="964"/>
      <c r="K59" s="53">
        <f t="shared" si="10"/>
        <v>1</v>
      </c>
      <c r="L59" s="964"/>
      <c r="M59" s="53">
        <f t="shared" si="11"/>
        <v>1</v>
      </c>
      <c r="N59" s="964"/>
      <c r="O59" s="53">
        <f t="shared" si="12"/>
        <v>1</v>
      </c>
      <c r="P59" s="964"/>
      <c r="Q59" s="53">
        <f t="shared" si="13"/>
        <v>1</v>
      </c>
      <c r="R59" s="491">
        <f t="shared" si="14"/>
        <v>0</v>
      </c>
      <c r="S59" s="800">
        <f t="shared" si="5"/>
        <v>0</v>
      </c>
    </row>
    <row r="60" spans="1:19">
      <c r="A60" s="966"/>
      <c r="B60" s="136"/>
      <c r="C60" s="53">
        <f t="shared" si="6"/>
        <v>1</v>
      </c>
      <c r="D60" s="964"/>
      <c r="E60" s="53">
        <f t="shared" si="7"/>
        <v>0</v>
      </c>
      <c r="F60" s="964"/>
      <c r="G60" s="53">
        <f t="shared" si="8"/>
        <v>1</v>
      </c>
      <c r="H60" s="964"/>
      <c r="I60" s="53">
        <f t="shared" si="9"/>
        <v>1</v>
      </c>
      <c r="J60" s="964"/>
      <c r="K60" s="53">
        <f t="shared" si="10"/>
        <v>1</v>
      </c>
      <c r="L60" s="964"/>
      <c r="M60" s="53">
        <f t="shared" si="11"/>
        <v>1</v>
      </c>
      <c r="N60" s="964"/>
      <c r="O60" s="53">
        <f t="shared" si="12"/>
        <v>1</v>
      </c>
      <c r="P60" s="964"/>
      <c r="Q60" s="53">
        <f t="shared" si="13"/>
        <v>1</v>
      </c>
      <c r="R60" s="491">
        <f t="shared" si="14"/>
        <v>0</v>
      </c>
      <c r="S60" s="800">
        <f t="shared" si="5"/>
        <v>0</v>
      </c>
    </row>
    <row r="61" spans="1:19">
      <c r="A61" s="966"/>
      <c r="B61" s="136"/>
      <c r="C61" s="53">
        <f t="shared" si="6"/>
        <v>1</v>
      </c>
      <c r="D61" s="964"/>
      <c r="E61" s="53">
        <f t="shared" si="7"/>
        <v>0</v>
      </c>
      <c r="F61" s="964"/>
      <c r="G61" s="53">
        <f t="shared" si="8"/>
        <v>1</v>
      </c>
      <c r="H61" s="964"/>
      <c r="I61" s="53">
        <f t="shared" si="9"/>
        <v>1</v>
      </c>
      <c r="J61" s="964"/>
      <c r="K61" s="53">
        <f t="shared" si="10"/>
        <v>1</v>
      </c>
      <c r="L61" s="964"/>
      <c r="M61" s="53">
        <f t="shared" si="11"/>
        <v>1</v>
      </c>
      <c r="N61" s="964"/>
      <c r="O61" s="53">
        <f t="shared" si="12"/>
        <v>1</v>
      </c>
      <c r="P61" s="964"/>
      <c r="Q61" s="53">
        <f t="shared" si="13"/>
        <v>1</v>
      </c>
      <c r="R61" s="491">
        <f t="shared" si="14"/>
        <v>0</v>
      </c>
      <c r="S61" s="800">
        <f t="shared" si="5"/>
        <v>0</v>
      </c>
    </row>
    <row r="62" spans="1:19">
      <c r="A62" s="966"/>
      <c r="B62" s="136"/>
      <c r="C62" s="53">
        <f t="shared" si="6"/>
        <v>1</v>
      </c>
      <c r="D62" s="964"/>
      <c r="E62" s="53">
        <f t="shared" si="7"/>
        <v>0</v>
      </c>
      <c r="F62" s="964"/>
      <c r="G62" s="53">
        <f t="shared" si="8"/>
        <v>1</v>
      </c>
      <c r="H62" s="964"/>
      <c r="I62" s="53">
        <f t="shared" si="9"/>
        <v>1</v>
      </c>
      <c r="J62" s="964"/>
      <c r="K62" s="53">
        <f t="shared" si="10"/>
        <v>1</v>
      </c>
      <c r="L62" s="964"/>
      <c r="M62" s="53">
        <f t="shared" si="11"/>
        <v>1</v>
      </c>
      <c r="N62" s="964"/>
      <c r="O62" s="53">
        <f t="shared" si="12"/>
        <v>1</v>
      </c>
      <c r="P62" s="964"/>
      <c r="Q62" s="53">
        <f t="shared" si="13"/>
        <v>1</v>
      </c>
      <c r="R62" s="491">
        <f t="shared" si="14"/>
        <v>0</v>
      </c>
      <c r="S62" s="800">
        <f t="shared" si="5"/>
        <v>0</v>
      </c>
    </row>
    <row r="63" spans="1:19">
      <c r="A63" s="966"/>
      <c r="B63" s="136"/>
      <c r="C63" s="53">
        <f t="shared" si="6"/>
        <v>1</v>
      </c>
      <c r="D63" s="964"/>
      <c r="E63" s="53">
        <f t="shared" si="7"/>
        <v>0</v>
      </c>
      <c r="F63" s="964"/>
      <c r="G63" s="53">
        <f t="shared" si="8"/>
        <v>1</v>
      </c>
      <c r="H63" s="964"/>
      <c r="I63" s="53">
        <f t="shared" si="9"/>
        <v>1</v>
      </c>
      <c r="J63" s="964"/>
      <c r="K63" s="53">
        <f t="shared" si="10"/>
        <v>1</v>
      </c>
      <c r="L63" s="964"/>
      <c r="M63" s="53">
        <f t="shared" si="11"/>
        <v>1</v>
      </c>
      <c r="N63" s="964"/>
      <c r="O63" s="53">
        <f t="shared" si="12"/>
        <v>1</v>
      </c>
      <c r="P63" s="964"/>
      <c r="Q63" s="53">
        <f t="shared" si="13"/>
        <v>1</v>
      </c>
      <c r="R63" s="491">
        <f t="shared" si="14"/>
        <v>0</v>
      </c>
      <c r="S63" s="800">
        <f t="shared" si="5"/>
        <v>0</v>
      </c>
    </row>
    <row r="64" spans="1:19">
      <c r="A64" s="966"/>
      <c r="B64" s="136"/>
      <c r="C64" s="53">
        <f t="shared" si="6"/>
        <v>1</v>
      </c>
      <c r="D64" s="964"/>
      <c r="E64" s="53">
        <f t="shared" si="7"/>
        <v>0</v>
      </c>
      <c r="F64" s="964"/>
      <c r="G64" s="53">
        <f t="shared" si="8"/>
        <v>1</v>
      </c>
      <c r="H64" s="964"/>
      <c r="I64" s="53">
        <f t="shared" si="9"/>
        <v>1</v>
      </c>
      <c r="J64" s="964"/>
      <c r="K64" s="53">
        <f t="shared" si="10"/>
        <v>1</v>
      </c>
      <c r="L64" s="964"/>
      <c r="M64" s="53">
        <f t="shared" si="11"/>
        <v>1</v>
      </c>
      <c r="N64" s="964"/>
      <c r="O64" s="53">
        <f t="shared" si="12"/>
        <v>1</v>
      </c>
      <c r="P64" s="964"/>
      <c r="Q64" s="53">
        <f t="shared" si="13"/>
        <v>1</v>
      </c>
      <c r="R64" s="491">
        <f t="shared" si="14"/>
        <v>0</v>
      </c>
      <c r="S64" s="800">
        <f t="shared" si="5"/>
        <v>0</v>
      </c>
    </row>
    <row r="65" spans="1:19">
      <c r="A65" s="966"/>
      <c r="B65" s="136"/>
      <c r="C65" s="53">
        <f t="shared" si="6"/>
        <v>1</v>
      </c>
      <c r="D65" s="964"/>
      <c r="E65" s="53">
        <f t="shared" si="7"/>
        <v>0</v>
      </c>
      <c r="F65" s="964"/>
      <c r="G65" s="53">
        <f t="shared" si="8"/>
        <v>1</v>
      </c>
      <c r="H65" s="964"/>
      <c r="I65" s="53">
        <f t="shared" si="9"/>
        <v>1</v>
      </c>
      <c r="J65" s="964"/>
      <c r="K65" s="53">
        <f t="shared" si="10"/>
        <v>1</v>
      </c>
      <c r="L65" s="964"/>
      <c r="M65" s="53">
        <f t="shared" si="11"/>
        <v>1</v>
      </c>
      <c r="N65" s="964"/>
      <c r="O65" s="53">
        <f t="shared" si="12"/>
        <v>1</v>
      </c>
      <c r="P65" s="964"/>
      <c r="Q65" s="53">
        <f t="shared" si="13"/>
        <v>1</v>
      </c>
      <c r="R65" s="491">
        <f t="shared" si="14"/>
        <v>0</v>
      </c>
      <c r="S65" s="800">
        <f t="shared" si="5"/>
        <v>0</v>
      </c>
    </row>
    <row r="66" spans="1:19">
      <c r="A66" s="966"/>
      <c r="B66" s="136"/>
      <c r="C66" s="53">
        <f t="shared" si="6"/>
        <v>1</v>
      </c>
      <c r="D66" s="964"/>
      <c r="E66" s="53">
        <f t="shared" si="7"/>
        <v>0</v>
      </c>
      <c r="F66" s="964"/>
      <c r="G66" s="53">
        <f t="shared" si="8"/>
        <v>1</v>
      </c>
      <c r="H66" s="964"/>
      <c r="I66" s="53">
        <f t="shared" si="9"/>
        <v>1</v>
      </c>
      <c r="J66" s="964"/>
      <c r="K66" s="53">
        <f t="shared" si="10"/>
        <v>1</v>
      </c>
      <c r="L66" s="964"/>
      <c r="M66" s="53">
        <f t="shared" si="11"/>
        <v>1</v>
      </c>
      <c r="N66" s="964"/>
      <c r="O66" s="53">
        <f t="shared" si="12"/>
        <v>1</v>
      </c>
      <c r="P66" s="964"/>
      <c r="Q66" s="53">
        <f t="shared" si="13"/>
        <v>1</v>
      </c>
      <c r="R66" s="491">
        <f t="shared" si="14"/>
        <v>0</v>
      </c>
      <c r="S66" s="800">
        <f t="shared" si="5"/>
        <v>0</v>
      </c>
    </row>
    <row r="67" spans="1:19">
      <c r="A67" s="966"/>
      <c r="B67" s="136"/>
      <c r="C67" s="53">
        <f t="shared" si="6"/>
        <v>1</v>
      </c>
      <c r="D67" s="964"/>
      <c r="E67" s="53">
        <f t="shared" si="7"/>
        <v>0</v>
      </c>
      <c r="F67" s="964"/>
      <c r="G67" s="53">
        <f t="shared" si="8"/>
        <v>1</v>
      </c>
      <c r="H67" s="964"/>
      <c r="I67" s="53">
        <f t="shared" si="9"/>
        <v>1</v>
      </c>
      <c r="J67" s="964"/>
      <c r="K67" s="53">
        <f t="shared" si="10"/>
        <v>1</v>
      </c>
      <c r="L67" s="964"/>
      <c r="M67" s="53">
        <f t="shared" si="11"/>
        <v>1</v>
      </c>
      <c r="N67" s="964"/>
      <c r="O67" s="53">
        <f t="shared" si="12"/>
        <v>1</v>
      </c>
      <c r="P67" s="964"/>
      <c r="Q67" s="53">
        <f t="shared" si="13"/>
        <v>1</v>
      </c>
      <c r="R67" s="491">
        <f t="shared" si="14"/>
        <v>0</v>
      </c>
      <c r="S67" s="800">
        <f t="shared" si="5"/>
        <v>0</v>
      </c>
    </row>
    <row r="68" spans="1:19">
      <c r="A68" s="966"/>
      <c r="B68" s="136"/>
      <c r="C68" s="53">
        <f t="shared" si="6"/>
        <v>1</v>
      </c>
      <c r="D68" s="964"/>
      <c r="E68" s="53">
        <f t="shared" si="7"/>
        <v>0</v>
      </c>
      <c r="F68" s="964"/>
      <c r="G68" s="53">
        <f t="shared" si="8"/>
        <v>1</v>
      </c>
      <c r="H68" s="964"/>
      <c r="I68" s="53">
        <f t="shared" si="9"/>
        <v>1</v>
      </c>
      <c r="J68" s="964"/>
      <c r="K68" s="53">
        <f t="shared" si="10"/>
        <v>1</v>
      </c>
      <c r="L68" s="964"/>
      <c r="M68" s="53">
        <f t="shared" si="11"/>
        <v>1</v>
      </c>
      <c r="N68" s="964"/>
      <c r="O68" s="53">
        <f t="shared" si="12"/>
        <v>1</v>
      </c>
      <c r="P68" s="964"/>
      <c r="Q68" s="53">
        <f t="shared" si="13"/>
        <v>1</v>
      </c>
      <c r="R68" s="491">
        <f t="shared" si="14"/>
        <v>0</v>
      </c>
      <c r="S68" s="800">
        <f t="shared" si="5"/>
        <v>0</v>
      </c>
    </row>
    <row r="69" spans="1:19">
      <c r="A69" s="966"/>
      <c r="B69" s="136"/>
      <c r="C69" s="53">
        <f t="shared" si="6"/>
        <v>1</v>
      </c>
      <c r="D69" s="964"/>
      <c r="E69" s="53">
        <f t="shared" si="7"/>
        <v>0</v>
      </c>
      <c r="F69" s="964"/>
      <c r="G69" s="53">
        <f t="shared" si="8"/>
        <v>1</v>
      </c>
      <c r="H69" s="964"/>
      <c r="I69" s="53">
        <f t="shared" si="9"/>
        <v>1</v>
      </c>
      <c r="J69" s="964"/>
      <c r="K69" s="53">
        <f t="shared" si="10"/>
        <v>1</v>
      </c>
      <c r="L69" s="964"/>
      <c r="M69" s="53">
        <f t="shared" si="11"/>
        <v>1</v>
      </c>
      <c r="N69" s="964"/>
      <c r="O69" s="53">
        <f t="shared" si="12"/>
        <v>1</v>
      </c>
      <c r="P69" s="964"/>
      <c r="Q69" s="53">
        <f t="shared" si="13"/>
        <v>1</v>
      </c>
      <c r="R69" s="491">
        <f t="shared" si="14"/>
        <v>0</v>
      </c>
      <c r="S69" s="800">
        <f t="shared" si="5"/>
        <v>0</v>
      </c>
    </row>
    <row r="70" spans="1:19">
      <c r="A70" s="966"/>
      <c r="B70" s="136"/>
      <c r="C70" s="53">
        <f t="shared" si="6"/>
        <v>1</v>
      </c>
      <c r="D70" s="964"/>
      <c r="E70" s="53">
        <f t="shared" si="7"/>
        <v>0</v>
      </c>
      <c r="F70" s="964"/>
      <c r="G70" s="53">
        <f t="shared" si="8"/>
        <v>1</v>
      </c>
      <c r="H70" s="964"/>
      <c r="I70" s="53">
        <f t="shared" si="9"/>
        <v>1</v>
      </c>
      <c r="J70" s="964"/>
      <c r="K70" s="53">
        <f t="shared" si="10"/>
        <v>1</v>
      </c>
      <c r="L70" s="964"/>
      <c r="M70" s="53">
        <f t="shared" si="11"/>
        <v>1</v>
      </c>
      <c r="N70" s="964"/>
      <c r="O70" s="53">
        <f t="shared" si="12"/>
        <v>1</v>
      </c>
      <c r="P70" s="964"/>
      <c r="Q70" s="53">
        <f t="shared" si="13"/>
        <v>1</v>
      </c>
      <c r="R70" s="491">
        <f t="shared" si="14"/>
        <v>0</v>
      </c>
      <c r="S70" s="800">
        <f t="shared" si="5"/>
        <v>0</v>
      </c>
    </row>
    <row r="71" spans="1:19">
      <c r="A71" s="966"/>
      <c r="B71" s="136"/>
      <c r="C71" s="53">
        <f t="shared" si="6"/>
        <v>1</v>
      </c>
      <c r="D71" s="964"/>
      <c r="E71" s="53">
        <f t="shared" si="7"/>
        <v>0</v>
      </c>
      <c r="F71" s="964"/>
      <c r="G71" s="53">
        <f t="shared" si="8"/>
        <v>1</v>
      </c>
      <c r="H71" s="964"/>
      <c r="I71" s="53">
        <f t="shared" si="9"/>
        <v>1</v>
      </c>
      <c r="J71" s="964"/>
      <c r="K71" s="53">
        <f t="shared" si="10"/>
        <v>1</v>
      </c>
      <c r="L71" s="964"/>
      <c r="M71" s="53">
        <f t="shared" si="11"/>
        <v>1</v>
      </c>
      <c r="N71" s="964"/>
      <c r="O71" s="53">
        <f t="shared" si="12"/>
        <v>1</v>
      </c>
      <c r="P71" s="964"/>
      <c r="Q71" s="53">
        <f t="shared" si="13"/>
        <v>1</v>
      </c>
      <c r="R71" s="491">
        <f t="shared" si="14"/>
        <v>0</v>
      </c>
      <c r="S71" s="800">
        <f t="shared" si="5"/>
        <v>0</v>
      </c>
    </row>
    <row r="72" spans="1:19">
      <c r="A72" s="966"/>
      <c r="B72" s="136"/>
      <c r="C72" s="53">
        <f t="shared" si="6"/>
        <v>1</v>
      </c>
      <c r="D72" s="964"/>
      <c r="E72" s="53">
        <f t="shared" si="7"/>
        <v>0</v>
      </c>
      <c r="F72" s="964"/>
      <c r="G72" s="53">
        <f t="shared" si="8"/>
        <v>1</v>
      </c>
      <c r="H72" s="964"/>
      <c r="I72" s="53">
        <f t="shared" si="9"/>
        <v>1</v>
      </c>
      <c r="J72" s="964"/>
      <c r="K72" s="53">
        <f t="shared" si="10"/>
        <v>1</v>
      </c>
      <c r="L72" s="964"/>
      <c r="M72" s="53">
        <f t="shared" si="11"/>
        <v>1</v>
      </c>
      <c r="N72" s="964"/>
      <c r="O72" s="53">
        <f t="shared" si="12"/>
        <v>1</v>
      </c>
      <c r="P72" s="964"/>
      <c r="Q72" s="53">
        <f t="shared" si="13"/>
        <v>1</v>
      </c>
      <c r="R72" s="491">
        <f t="shared" si="14"/>
        <v>0</v>
      </c>
      <c r="S72" s="800">
        <f t="shared" si="5"/>
        <v>0</v>
      </c>
    </row>
    <row r="73" spans="1:19">
      <c r="A73" s="966"/>
      <c r="B73" s="136"/>
      <c r="C73" s="53">
        <f t="shared" si="6"/>
        <v>1</v>
      </c>
      <c r="D73" s="964"/>
      <c r="E73" s="53">
        <f t="shared" si="7"/>
        <v>0</v>
      </c>
      <c r="F73" s="964"/>
      <c r="G73" s="53">
        <f t="shared" si="8"/>
        <v>1</v>
      </c>
      <c r="H73" s="964"/>
      <c r="I73" s="53">
        <f t="shared" si="9"/>
        <v>1</v>
      </c>
      <c r="J73" s="964"/>
      <c r="K73" s="53">
        <f t="shared" si="10"/>
        <v>1</v>
      </c>
      <c r="L73" s="964"/>
      <c r="M73" s="53">
        <f t="shared" si="11"/>
        <v>1</v>
      </c>
      <c r="N73" s="964"/>
      <c r="O73" s="53">
        <f t="shared" si="12"/>
        <v>1</v>
      </c>
      <c r="P73" s="964"/>
      <c r="Q73" s="53">
        <f t="shared" si="13"/>
        <v>1</v>
      </c>
      <c r="R73" s="491">
        <f t="shared" si="14"/>
        <v>0</v>
      </c>
      <c r="S73" s="800">
        <f t="shared" si="5"/>
        <v>0</v>
      </c>
    </row>
    <row r="74" spans="1:19">
      <c r="A74" s="966"/>
      <c r="B74" s="136"/>
      <c r="C74" s="53">
        <f t="shared" si="6"/>
        <v>1</v>
      </c>
      <c r="D74" s="964"/>
      <c r="E74" s="53">
        <f t="shared" si="7"/>
        <v>0</v>
      </c>
      <c r="F74" s="964"/>
      <c r="G74" s="53">
        <f t="shared" si="8"/>
        <v>1</v>
      </c>
      <c r="H74" s="964"/>
      <c r="I74" s="53">
        <f t="shared" si="9"/>
        <v>1</v>
      </c>
      <c r="J74" s="964"/>
      <c r="K74" s="53">
        <f t="shared" si="10"/>
        <v>1</v>
      </c>
      <c r="L74" s="964"/>
      <c r="M74" s="53">
        <f t="shared" si="11"/>
        <v>1</v>
      </c>
      <c r="N74" s="964"/>
      <c r="O74" s="53">
        <f t="shared" si="12"/>
        <v>1</v>
      </c>
      <c r="P74" s="964"/>
      <c r="Q74" s="53">
        <f t="shared" si="13"/>
        <v>1</v>
      </c>
      <c r="R74" s="491">
        <f t="shared" si="14"/>
        <v>0</v>
      </c>
      <c r="S74" s="800">
        <f t="shared" si="5"/>
        <v>0</v>
      </c>
    </row>
    <row r="75" spans="1:19">
      <c r="A75" s="966"/>
      <c r="B75" s="136"/>
      <c r="C75" s="53">
        <f t="shared" si="6"/>
        <v>1</v>
      </c>
      <c r="D75" s="964"/>
      <c r="E75" s="53">
        <f t="shared" si="7"/>
        <v>0</v>
      </c>
      <c r="F75" s="964"/>
      <c r="G75" s="53">
        <f t="shared" si="8"/>
        <v>1</v>
      </c>
      <c r="H75" s="964"/>
      <c r="I75" s="53">
        <f t="shared" si="9"/>
        <v>1</v>
      </c>
      <c r="J75" s="964"/>
      <c r="K75" s="53">
        <f t="shared" si="10"/>
        <v>1</v>
      </c>
      <c r="L75" s="964"/>
      <c r="M75" s="53">
        <f t="shared" si="11"/>
        <v>1</v>
      </c>
      <c r="N75" s="964"/>
      <c r="O75" s="53">
        <f t="shared" si="12"/>
        <v>1</v>
      </c>
      <c r="P75" s="964"/>
      <c r="Q75" s="53">
        <f t="shared" si="13"/>
        <v>1</v>
      </c>
      <c r="R75" s="491">
        <f t="shared" si="14"/>
        <v>0</v>
      </c>
      <c r="S75" s="800">
        <f t="shared" si="5"/>
        <v>0</v>
      </c>
    </row>
    <row r="76" spans="1:19">
      <c r="A76" s="966"/>
      <c r="B76" s="136"/>
      <c r="C76" s="53">
        <f t="shared" si="6"/>
        <v>1</v>
      </c>
      <c r="D76" s="964"/>
      <c r="E76" s="53">
        <f t="shared" si="7"/>
        <v>0</v>
      </c>
      <c r="F76" s="964"/>
      <c r="G76" s="53">
        <f t="shared" si="8"/>
        <v>1</v>
      </c>
      <c r="H76" s="964"/>
      <c r="I76" s="53">
        <f t="shared" si="9"/>
        <v>1</v>
      </c>
      <c r="J76" s="964"/>
      <c r="K76" s="53">
        <f t="shared" si="10"/>
        <v>1</v>
      </c>
      <c r="L76" s="964"/>
      <c r="M76" s="53">
        <f t="shared" si="11"/>
        <v>1</v>
      </c>
      <c r="N76" s="964"/>
      <c r="O76" s="53">
        <f t="shared" si="12"/>
        <v>1</v>
      </c>
      <c r="P76" s="964"/>
      <c r="Q76" s="53">
        <f t="shared" si="13"/>
        <v>1</v>
      </c>
      <c r="R76" s="491">
        <f t="shared" si="14"/>
        <v>0</v>
      </c>
      <c r="S76" s="800">
        <f t="shared" si="5"/>
        <v>0</v>
      </c>
    </row>
    <row r="77" spans="1:19">
      <c r="A77" s="966"/>
      <c r="B77" s="136"/>
      <c r="C77" s="53">
        <f t="shared" si="6"/>
        <v>1</v>
      </c>
      <c r="D77" s="964"/>
      <c r="E77" s="53">
        <f t="shared" si="7"/>
        <v>0</v>
      </c>
      <c r="F77" s="964"/>
      <c r="G77" s="53">
        <f t="shared" si="8"/>
        <v>1</v>
      </c>
      <c r="H77" s="964"/>
      <c r="I77" s="53">
        <f t="shared" si="9"/>
        <v>1</v>
      </c>
      <c r="J77" s="964"/>
      <c r="K77" s="53">
        <f t="shared" si="10"/>
        <v>1</v>
      </c>
      <c r="L77" s="964"/>
      <c r="M77" s="53">
        <f t="shared" si="11"/>
        <v>1</v>
      </c>
      <c r="N77" s="964"/>
      <c r="O77" s="53">
        <f t="shared" si="12"/>
        <v>1</v>
      </c>
      <c r="P77" s="964"/>
      <c r="Q77" s="53">
        <f t="shared" si="13"/>
        <v>1</v>
      </c>
      <c r="R77" s="491">
        <f t="shared" si="14"/>
        <v>0</v>
      </c>
      <c r="S77" s="800">
        <f t="shared" si="5"/>
        <v>0</v>
      </c>
    </row>
    <row r="78" spans="1:19">
      <c r="A78" s="966"/>
      <c r="B78" s="136"/>
      <c r="C78" s="53">
        <f t="shared" si="6"/>
        <v>1</v>
      </c>
      <c r="D78" s="964"/>
      <c r="E78" s="53">
        <f t="shared" si="7"/>
        <v>0</v>
      </c>
      <c r="F78" s="964"/>
      <c r="G78" s="53">
        <f t="shared" si="8"/>
        <v>1</v>
      </c>
      <c r="H78" s="964"/>
      <c r="I78" s="53">
        <f t="shared" si="9"/>
        <v>1</v>
      </c>
      <c r="J78" s="964"/>
      <c r="K78" s="53">
        <f t="shared" si="10"/>
        <v>1</v>
      </c>
      <c r="L78" s="964"/>
      <c r="M78" s="53">
        <f t="shared" si="11"/>
        <v>1</v>
      </c>
      <c r="N78" s="964"/>
      <c r="O78" s="53">
        <f t="shared" si="12"/>
        <v>1</v>
      </c>
      <c r="P78" s="964"/>
      <c r="Q78" s="53">
        <f t="shared" si="13"/>
        <v>1</v>
      </c>
      <c r="R78" s="491">
        <f t="shared" si="14"/>
        <v>0</v>
      </c>
      <c r="S78" s="800">
        <f t="shared" si="5"/>
        <v>0</v>
      </c>
    </row>
    <row r="79" spans="1:19">
      <c r="A79" s="966"/>
      <c r="B79" s="136"/>
      <c r="C79" s="53">
        <f t="shared" si="6"/>
        <v>1</v>
      </c>
      <c r="D79" s="964"/>
      <c r="E79" s="53">
        <f t="shared" si="7"/>
        <v>0</v>
      </c>
      <c r="F79" s="964"/>
      <c r="G79" s="53">
        <f t="shared" si="8"/>
        <v>1</v>
      </c>
      <c r="H79" s="964"/>
      <c r="I79" s="53">
        <f t="shared" si="9"/>
        <v>1</v>
      </c>
      <c r="J79" s="964"/>
      <c r="K79" s="53">
        <f t="shared" si="10"/>
        <v>1</v>
      </c>
      <c r="L79" s="964"/>
      <c r="M79" s="53">
        <f t="shared" si="11"/>
        <v>1</v>
      </c>
      <c r="N79" s="964"/>
      <c r="O79" s="53">
        <f t="shared" si="12"/>
        <v>1</v>
      </c>
      <c r="P79" s="964"/>
      <c r="Q79" s="53">
        <f t="shared" si="13"/>
        <v>1</v>
      </c>
      <c r="R79" s="491">
        <f t="shared" si="14"/>
        <v>0</v>
      </c>
      <c r="S79" s="800">
        <f t="shared" si="5"/>
        <v>0</v>
      </c>
    </row>
    <row r="80" spans="1:19">
      <c r="A80" s="966"/>
      <c r="B80" s="136"/>
      <c r="C80" s="53">
        <f t="shared" si="6"/>
        <v>1</v>
      </c>
      <c r="D80" s="964"/>
      <c r="E80" s="53">
        <f t="shared" si="7"/>
        <v>0</v>
      </c>
      <c r="F80" s="964"/>
      <c r="G80" s="53">
        <f t="shared" si="8"/>
        <v>1</v>
      </c>
      <c r="H80" s="964"/>
      <c r="I80" s="53">
        <f t="shared" si="9"/>
        <v>1</v>
      </c>
      <c r="J80" s="964"/>
      <c r="K80" s="53">
        <f t="shared" si="10"/>
        <v>1</v>
      </c>
      <c r="L80" s="964"/>
      <c r="M80" s="53">
        <f t="shared" si="11"/>
        <v>1</v>
      </c>
      <c r="N80" s="964"/>
      <c r="O80" s="53">
        <f t="shared" si="12"/>
        <v>1</v>
      </c>
      <c r="P80" s="964"/>
      <c r="Q80" s="53">
        <f t="shared" si="13"/>
        <v>1</v>
      </c>
      <c r="R80" s="491">
        <f t="shared" si="14"/>
        <v>0</v>
      </c>
      <c r="S80" s="800">
        <f t="shared" si="5"/>
        <v>0</v>
      </c>
    </row>
    <row r="81" spans="1:19">
      <c r="A81" s="966"/>
      <c r="B81" s="136"/>
      <c r="C81" s="53">
        <f t="shared" si="6"/>
        <v>1</v>
      </c>
      <c r="D81" s="964"/>
      <c r="E81" s="53">
        <f t="shared" si="7"/>
        <v>0</v>
      </c>
      <c r="F81" s="964"/>
      <c r="G81" s="53">
        <f t="shared" si="8"/>
        <v>1</v>
      </c>
      <c r="H81" s="964"/>
      <c r="I81" s="53">
        <f t="shared" si="9"/>
        <v>1</v>
      </c>
      <c r="J81" s="964"/>
      <c r="K81" s="53">
        <f t="shared" si="10"/>
        <v>1</v>
      </c>
      <c r="L81" s="964"/>
      <c r="M81" s="53">
        <f t="shared" si="11"/>
        <v>1</v>
      </c>
      <c r="N81" s="964"/>
      <c r="O81" s="53">
        <f t="shared" si="12"/>
        <v>1</v>
      </c>
      <c r="P81" s="964"/>
      <c r="Q81" s="53">
        <f t="shared" si="13"/>
        <v>1</v>
      </c>
      <c r="R81" s="491">
        <f t="shared" si="14"/>
        <v>0</v>
      </c>
      <c r="S81" s="800">
        <f t="shared" si="5"/>
        <v>0</v>
      </c>
    </row>
    <row r="82" spans="1:19">
      <c r="A82" s="966"/>
      <c r="B82" s="136"/>
      <c r="C82" s="53">
        <f t="shared" si="6"/>
        <v>1</v>
      </c>
      <c r="D82" s="964"/>
      <c r="E82" s="53">
        <f t="shared" si="7"/>
        <v>0</v>
      </c>
      <c r="F82" s="964"/>
      <c r="G82" s="53">
        <f t="shared" si="8"/>
        <v>1</v>
      </c>
      <c r="H82" s="964"/>
      <c r="I82" s="53">
        <f t="shared" si="9"/>
        <v>1</v>
      </c>
      <c r="J82" s="964"/>
      <c r="K82" s="53">
        <f t="shared" si="10"/>
        <v>1</v>
      </c>
      <c r="L82" s="964"/>
      <c r="M82" s="53">
        <f t="shared" si="11"/>
        <v>1</v>
      </c>
      <c r="N82" s="964"/>
      <c r="O82" s="53">
        <f t="shared" si="12"/>
        <v>1</v>
      </c>
      <c r="P82" s="964"/>
      <c r="Q82" s="53">
        <f t="shared" si="13"/>
        <v>1</v>
      </c>
      <c r="R82" s="491">
        <f t="shared" si="14"/>
        <v>0</v>
      </c>
      <c r="S82" s="800">
        <f t="shared" si="5"/>
        <v>0</v>
      </c>
    </row>
    <row r="83" spans="1:19">
      <c r="A83" s="966"/>
      <c r="B83" s="136"/>
      <c r="C83" s="53">
        <f t="shared" si="6"/>
        <v>1</v>
      </c>
      <c r="D83" s="964"/>
      <c r="E83" s="53">
        <f t="shared" si="7"/>
        <v>0</v>
      </c>
      <c r="F83" s="964"/>
      <c r="G83" s="53">
        <f t="shared" si="8"/>
        <v>1</v>
      </c>
      <c r="H83" s="964"/>
      <c r="I83" s="53">
        <f t="shared" si="9"/>
        <v>1</v>
      </c>
      <c r="J83" s="964"/>
      <c r="K83" s="53">
        <f t="shared" si="10"/>
        <v>1</v>
      </c>
      <c r="L83" s="964"/>
      <c r="M83" s="53">
        <f t="shared" si="11"/>
        <v>1</v>
      </c>
      <c r="N83" s="964"/>
      <c r="O83" s="53">
        <f t="shared" si="12"/>
        <v>1</v>
      </c>
      <c r="P83" s="964"/>
      <c r="Q83" s="53">
        <f t="shared" si="13"/>
        <v>1</v>
      </c>
      <c r="R83" s="491">
        <f t="shared" si="14"/>
        <v>0</v>
      </c>
      <c r="S83" s="800">
        <f t="shared" si="5"/>
        <v>0</v>
      </c>
    </row>
    <row r="84" spans="1:19">
      <c r="A84" s="966"/>
      <c r="B84" s="136"/>
      <c r="C84" s="53">
        <f t="shared" si="6"/>
        <v>1</v>
      </c>
      <c r="D84" s="964"/>
      <c r="E84" s="53">
        <f t="shared" si="7"/>
        <v>0</v>
      </c>
      <c r="F84" s="964"/>
      <c r="G84" s="53">
        <f t="shared" si="8"/>
        <v>1</v>
      </c>
      <c r="H84" s="964"/>
      <c r="I84" s="53">
        <f t="shared" si="9"/>
        <v>1</v>
      </c>
      <c r="J84" s="964"/>
      <c r="K84" s="53">
        <f t="shared" si="10"/>
        <v>1</v>
      </c>
      <c r="L84" s="964"/>
      <c r="M84" s="53">
        <f t="shared" si="11"/>
        <v>1</v>
      </c>
      <c r="N84" s="964"/>
      <c r="O84" s="53">
        <f t="shared" si="12"/>
        <v>1</v>
      </c>
      <c r="P84" s="964"/>
      <c r="Q84" s="53">
        <f t="shared" si="13"/>
        <v>1</v>
      </c>
      <c r="R84" s="491">
        <f t="shared" si="14"/>
        <v>0</v>
      </c>
      <c r="S84" s="800">
        <f t="shared" si="5"/>
        <v>0</v>
      </c>
    </row>
    <row r="85" spans="1:19">
      <c r="A85" s="966"/>
      <c r="B85" s="136"/>
      <c r="C85" s="53">
        <f t="shared" si="6"/>
        <v>1</v>
      </c>
      <c r="D85" s="964"/>
      <c r="E85" s="53">
        <f t="shared" si="7"/>
        <v>0</v>
      </c>
      <c r="F85" s="964"/>
      <c r="G85" s="53">
        <f t="shared" si="8"/>
        <v>1</v>
      </c>
      <c r="H85" s="964"/>
      <c r="I85" s="53">
        <f t="shared" si="9"/>
        <v>1</v>
      </c>
      <c r="J85" s="964"/>
      <c r="K85" s="53">
        <f t="shared" si="10"/>
        <v>1</v>
      </c>
      <c r="L85" s="964"/>
      <c r="M85" s="53">
        <f t="shared" si="11"/>
        <v>1</v>
      </c>
      <c r="N85" s="964"/>
      <c r="O85" s="53">
        <f t="shared" si="12"/>
        <v>1</v>
      </c>
      <c r="P85" s="964"/>
      <c r="Q85" s="53">
        <f t="shared" si="13"/>
        <v>1</v>
      </c>
      <c r="R85" s="491">
        <f t="shared" si="14"/>
        <v>0</v>
      </c>
      <c r="S85" s="800">
        <f t="shared" si="5"/>
        <v>0</v>
      </c>
    </row>
    <row r="86" spans="1:19">
      <c r="A86" s="966"/>
      <c r="B86" s="136"/>
      <c r="C86" s="53">
        <f t="shared" si="6"/>
        <v>1</v>
      </c>
      <c r="D86" s="964"/>
      <c r="E86" s="53">
        <f t="shared" si="7"/>
        <v>0</v>
      </c>
      <c r="F86" s="964"/>
      <c r="G86" s="53">
        <f t="shared" si="8"/>
        <v>1</v>
      </c>
      <c r="H86" s="964"/>
      <c r="I86" s="53">
        <f t="shared" si="9"/>
        <v>1</v>
      </c>
      <c r="J86" s="964"/>
      <c r="K86" s="53">
        <f t="shared" si="10"/>
        <v>1</v>
      </c>
      <c r="L86" s="964"/>
      <c r="M86" s="53">
        <f t="shared" si="11"/>
        <v>1</v>
      </c>
      <c r="N86" s="964"/>
      <c r="O86" s="53">
        <f t="shared" si="12"/>
        <v>1</v>
      </c>
      <c r="P86" s="964"/>
      <c r="Q86" s="53">
        <f t="shared" si="13"/>
        <v>1</v>
      </c>
      <c r="R86" s="491">
        <f t="shared" si="14"/>
        <v>0</v>
      </c>
      <c r="S86" s="800">
        <f t="shared" si="5"/>
        <v>0</v>
      </c>
    </row>
    <row r="87" spans="1:19">
      <c r="A87" s="966"/>
      <c r="B87" s="136"/>
      <c r="C87" s="53">
        <f t="shared" si="6"/>
        <v>1</v>
      </c>
      <c r="D87" s="964"/>
      <c r="E87" s="53">
        <f t="shared" si="7"/>
        <v>0</v>
      </c>
      <c r="F87" s="964"/>
      <c r="G87" s="53">
        <f t="shared" si="8"/>
        <v>1</v>
      </c>
      <c r="H87" s="964"/>
      <c r="I87" s="53">
        <f t="shared" si="9"/>
        <v>1</v>
      </c>
      <c r="J87" s="964"/>
      <c r="K87" s="53">
        <f t="shared" si="10"/>
        <v>1</v>
      </c>
      <c r="L87" s="964"/>
      <c r="M87" s="53">
        <f t="shared" si="11"/>
        <v>1</v>
      </c>
      <c r="N87" s="964"/>
      <c r="O87" s="53">
        <f t="shared" si="12"/>
        <v>1</v>
      </c>
      <c r="P87" s="964"/>
      <c r="Q87" s="53">
        <f t="shared" si="13"/>
        <v>1</v>
      </c>
      <c r="R87" s="491">
        <f t="shared" si="14"/>
        <v>0</v>
      </c>
      <c r="S87" s="800">
        <f t="shared" si="5"/>
        <v>0</v>
      </c>
    </row>
    <row r="88" spans="1:19">
      <c r="A88" s="966"/>
      <c r="B88" s="136"/>
      <c r="C88" s="53">
        <f t="shared" si="6"/>
        <v>1</v>
      </c>
      <c r="D88" s="964"/>
      <c r="E88" s="53">
        <f t="shared" si="7"/>
        <v>0</v>
      </c>
      <c r="F88" s="964"/>
      <c r="G88" s="53">
        <f t="shared" si="8"/>
        <v>1</v>
      </c>
      <c r="H88" s="964"/>
      <c r="I88" s="53">
        <f t="shared" si="9"/>
        <v>1</v>
      </c>
      <c r="J88" s="964"/>
      <c r="K88" s="53">
        <f t="shared" si="10"/>
        <v>1</v>
      </c>
      <c r="L88" s="964"/>
      <c r="M88" s="53">
        <f t="shared" si="11"/>
        <v>1</v>
      </c>
      <c r="N88" s="964"/>
      <c r="O88" s="53">
        <f t="shared" si="12"/>
        <v>1</v>
      </c>
      <c r="P88" s="964"/>
      <c r="Q88" s="53">
        <f t="shared" si="13"/>
        <v>1</v>
      </c>
      <c r="R88" s="491">
        <f t="shared" si="14"/>
        <v>0</v>
      </c>
      <c r="S88" s="800">
        <f t="shared" ref="S88:S151" si="15">ROUND(R88*B88/10000,0)</f>
        <v>0</v>
      </c>
    </row>
    <row r="89" spans="1:19">
      <c r="A89" s="966"/>
      <c r="B89" s="136"/>
      <c r="C89" s="53">
        <f t="shared" si="6"/>
        <v>1</v>
      </c>
      <c r="D89" s="964"/>
      <c r="E89" s="53">
        <f t="shared" si="7"/>
        <v>0</v>
      </c>
      <c r="F89" s="964"/>
      <c r="G89" s="53">
        <f t="shared" si="8"/>
        <v>1</v>
      </c>
      <c r="H89" s="964"/>
      <c r="I89" s="53">
        <f t="shared" si="9"/>
        <v>1</v>
      </c>
      <c r="J89" s="964"/>
      <c r="K89" s="53">
        <f t="shared" si="10"/>
        <v>1</v>
      </c>
      <c r="L89" s="964"/>
      <c r="M89" s="53">
        <f t="shared" si="11"/>
        <v>1</v>
      </c>
      <c r="N89" s="964"/>
      <c r="O89" s="53">
        <f t="shared" si="12"/>
        <v>1</v>
      </c>
      <c r="P89" s="964"/>
      <c r="Q89" s="53">
        <f t="shared" si="13"/>
        <v>1</v>
      </c>
      <c r="R89" s="491">
        <f t="shared" si="14"/>
        <v>0</v>
      </c>
      <c r="S89" s="800">
        <f t="shared" si="15"/>
        <v>0</v>
      </c>
    </row>
    <row r="90" spans="1:19">
      <c r="A90" s="966"/>
      <c r="B90" s="136"/>
      <c r="C90" s="53">
        <f t="shared" ref="C90:C153" si="16">IF(B90="",1,(LOOKUP(B90,$3:$3,$4:$4)-LOOKUP($B$24,$3:$3,$4:$4)+100)/100)</f>
        <v>1</v>
      </c>
      <c r="D90" s="964"/>
      <c r="E90" s="53">
        <f t="shared" ref="E90:E153" si="17">(SUMIF($5:$5,D90,$6:$6)-SUMIF($5:$5,$D$24,$6:$6)+100)/100</f>
        <v>0</v>
      </c>
      <c r="F90" s="964"/>
      <c r="G90" s="53">
        <f t="shared" ref="G90:G153" si="18">(SUMIF($7:$7,F90,$8:$8)-SUMIF($7:$7,$F$24,$8:$8)+100)/100</f>
        <v>1</v>
      </c>
      <c r="H90" s="964"/>
      <c r="I90" s="53">
        <f t="shared" ref="I90:I153" si="19">(SUMIF($9:$9,H90,$10:$10)-SUMIF($9:$9,$H$24,$10:$10)+100)/100</f>
        <v>1</v>
      </c>
      <c r="J90" s="964"/>
      <c r="K90" s="53">
        <f t="shared" ref="K90:K153" si="20">(SUMIF($11:$11,J90,$12:$12)-SUMIF($11:$11,$J$24,$12:$12)+100)/100</f>
        <v>1</v>
      </c>
      <c r="L90" s="964"/>
      <c r="M90" s="53">
        <f t="shared" ref="M90:M153" si="21">(SUMIF($13:$13,L90,$14:$14)-SUMIF($13:$13,$L$24,$14:$14)+100)/100</f>
        <v>1</v>
      </c>
      <c r="N90" s="964"/>
      <c r="O90" s="53">
        <f t="shared" ref="O90:O153" si="22">(SUMIF($15:$15,N90,$16:$16)-SUMIF($15:$15,$N$24,$16:$16)+100)/100</f>
        <v>1</v>
      </c>
      <c r="P90" s="964"/>
      <c r="Q90" s="53">
        <f t="shared" ref="Q90:Q153" si="23">(SUMIF($17:$17,P90,$18:$18)-SUMIF($17:$17,$P$24,$18:$18)+100)/100</f>
        <v>1</v>
      </c>
      <c r="R90" s="491">
        <f t="shared" ref="R90:R153" si="24">IF(B90="",0,ROUND($R$24*C90*E90*G90*I90*K90*M90*O90*Q90,0))</f>
        <v>0</v>
      </c>
      <c r="S90" s="800">
        <f t="shared" si="15"/>
        <v>0</v>
      </c>
    </row>
    <row r="91" spans="1:19">
      <c r="A91" s="966"/>
      <c r="B91" s="136"/>
      <c r="C91" s="53">
        <f t="shared" si="16"/>
        <v>1</v>
      </c>
      <c r="D91" s="964"/>
      <c r="E91" s="53">
        <f t="shared" si="17"/>
        <v>0</v>
      </c>
      <c r="F91" s="964"/>
      <c r="G91" s="53">
        <f t="shared" si="18"/>
        <v>1</v>
      </c>
      <c r="H91" s="964"/>
      <c r="I91" s="53">
        <f t="shared" si="19"/>
        <v>1</v>
      </c>
      <c r="J91" s="964"/>
      <c r="K91" s="53">
        <f t="shared" si="20"/>
        <v>1</v>
      </c>
      <c r="L91" s="964"/>
      <c r="M91" s="53">
        <f t="shared" si="21"/>
        <v>1</v>
      </c>
      <c r="N91" s="964"/>
      <c r="O91" s="53">
        <f t="shared" si="22"/>
        <v>1</v>
      </c>
      <c r="P91" s="964"/>
      <c r="Q91" s="53">
        <f t="shared" si="23"/>
        <v>1</v>
      </c>
      <c r="R91" s="491">
        <f t="shared" si="24"/>
        <v>0</v>
      </c>
      <c r="S91" s="800">
        <f t="shared" si="15"/>
        <v>0</v>
      </c>
    </row>
    <row r="92" spans="1:19">
      <c r="A92" s="966"/>
      <c r="B92" s="136"/>
      <c r="C92" s="53">
        <f t="shared" si="16"/>
        <v>1</v>
      </c>
      <c r="D92" s="964"/>
      <c r="E92" s="53">
        <f t="shared" si="17"/>
        <v>0</v>
      </c>
      <c r="F92" s="964"/>
      <c r="G92" s="53">
        <f t="shared" si="18"/>
        <v>1</v>
      </c>
      <c r="H92" s="964"/>
      <c r="I92" s="53">
        <f t="shared" si="19"/>
        <v>1</v>
      </c>
      <c r="J92" s="964"/>
      <c r="K92" s="53">
        <f t="shared" si="20"/>
        <v>1</v>
      </c>
      <c r="L92" s="964"/>
      <c r="M92" s="53">
        <f t="shared" si="21"/>
        <v>1</v>
      </c>
      <c r="N92" s="964"/>
      <c r="O92" s="53">
        <f t="shared" si="22"/>
        <v>1</v>
      </c>
      <c r="P92" s="964"/>
      <c r="Q92" s="53">
        <f t="shared" si="23"/>
        <v>1</v>
      </c>
      <c r="R92" s="491">
        <f t="shared" si="24"/>
        <v>0</v>
      </c>
      <c r="S92" s="800">
        <f t="shared" si="15"/>
        <v>0</v>
      </c>
    </row>
    <row r="93" spans="1:19">
      <c r="A93" s="966"/>
      <c r="B93" s="136"/>
      <c r="C93" s="53">
        <f t="shared" si="16"/>
        <v>1</v>
      </c>
      <c r="D93" s="964"/>
      <c r="E93" s="53">
        <f t="shared" si="17"/>
        <v>0</v>
      </c>
      <c r="F93" s="964"/>
      <c r="G93" s="53">
        <f t="shared" si="18"/>
        <v>1</v>
      </c>
      <c r="H93" s="964"/>
      <c r="I93" s="53">
        <f t="shared" si="19"/>
        <v>1</v>
      </c>
      <c r="J93" s="964"/>
      <c r="K93" s="53">
        <f t="shared" si="20"/>
        <v>1</v>
      </c>
      <c r="L93" s="964"/>
      <c r="M93" s="53">
        <f t="shared" si="21"/>
        <v>1</v>
      </c>
      <c r="N93" s="964"/>
      <c r="O93" s="53">
        <f t="shared" si="22"/>
        <v>1</v>
      </c>
      <c r="P93" s="964"/>
      <c r="Q93" s="53">
        <f t="shared" si="23"/>
        <v>1</v>
      </c>
      <c r="R93" s="491">
        <f t="shared" si="24"/>
        <v>0</v>
      </c>
      <c r="S93" s="800">
        <f t="shared" si="15"/>
        <v>0</v>
      </c>
    </row>
    <row r="94" spans="1:19">
      <c r="A94" s="966"/>
      <c r="B94" s="136"/>
      <c r="C94" s="53">
        <f t="shared" si="16"/>
        <v>1</v>
      </c>
      <c r="D94" s="964"/>
      <c r="E94" s="53">
        <f t="shared" si="17"/>
        <v>0</v>
      </c>
      <c r="F94" s="964"/>
      <c r="G94" s="53">
        <f t="shared" si="18"/>
        <v>1</v>
      </c>
      <c r="H94" s="964"/>
      <c r="I94" s="53">
        <f t="shared" si="19"/>
        <v>1</v>
      </c>
      <c r="J94" s="964"/>
      <c r="K94" s="53">
        <f t="shared" si="20"/>
        <v>1</v>
      </c>
      <c r="L94" s="964"/>
      <c r="M94" s="53">
        <f t="shared" si="21"/>
        <v>1</v>
      </c>
      <c r="N94" s="964"/>
      <c r="O94" s="53">
        <f t="shared" si="22"/>
        <v>1</v>
      </c>
      <c r="P94" s="964"/>
      <c r="Q94" s="53">
        <f t="shared" si="23"/>
        <v>1</v>
      </c>
      <c r="R94" s="491">
        <f t="shared" si="24"/>
        <v>0</v>
      </c>
      <c r="S94" s="800">
        <f t="shared" si="15"/>
        <v>0</v>
      </c>
    </row>
    <row r="95" spans="1:19">
      <c r="A95" s="966"/>
      <c r="B95" s="136"/>
      <c r="C95" s="53">
        <f t="shared" si="16"/>
        <v>1</v>
      </c>
      <c r="D95" s="964"/>
      <c r="E95" s="53">
        <f t="shared" si="17"/>
        <v>0</v>
      </c>
      <c r="F95" s="964"/>
      <c r="G95" s="53">
        <f t="shared" si="18"/>
        <v>1</v>
      </c>
      <c r="H95" s="964"/>
      <c r="I95" s="53">
        <f t="shared" si="19"/>
        <v>1</v>
      </c>
      <c r="J95" s="964"/>
      <c r="K95" s="53">
        <f t="shared" si="20"/>
        <v>1</v>
      </c>
      <c r="L95" s="964"/>
      <c r="M95" s="53">
        <f t="shared" si="21"/>
        <v>1</v>
      </c>
      <c r="N95" s="964"/>
      <c r="O95" s="53">
        <f t="shared" si="22"/>
        <v>1</v>
      </c>
      <c r="P95" s="964"/>
      <c r="Q95" s="53">
        <f t="shared" si="23"/>
        <v>1</v>
      </c>
      <c r="R95" s="491">
        <f t="shared" si="24"/>
        <v>0</v>
      </c>
      <c r="S95" s="800">
        <f t="shared" si="15"/>
        <v>0</v>
      </c>
    </row>
    <row r="96" spans="1:19">
      <c r="A96" s="966"/>
      <c r="B96" s="136"/>
      <c r="C96" s="53">
        <f t="shared" si="16"/>
        <v>1</v>
      </c>
      <c r="D96" s="964"/>
      <c r="E96" s="53">
        <f t="shared" si="17"/>
        <v>0</v>
      </c>
      <c r="F96" s="964"/>
      <c r="G96" s="53">
        <f t="shared" si="18"/>
        <v>1</v>
      </c>
      <c r="H96" s="964"/>
      <c r="I96" s="53">
        <f t="shared" si="19"/>
        <v>1</v>
      </c>
      <c r="J96" s="964"/>
      <c r="K96" s="53">
        <f t="shared" si="20"/>
        <v>1</v>
      </c>
      <c r="L96" s="964"/>
      <c r="M96" s="53">
        <f t="shared" si="21"/>
        <v>1</v>
      </c>
      <c r="N96" s="964"/>
      <c r="O96" s="53">
        <f t="shared" si="22"/>
        <v>1</v>
      </c>
      <c r="P96" s="964"/>
      <c r="Q96" s="53">
        <f t="shared" si="23"/>
        <v>1</v>
      </c>
      <c r="R96" s="491">
        <f t="shared" si="24"/>
        <v>0</v>
      </c>
      <c r="S96" s="800">
        <f t="shared" si="15"/>
        <v>0</v>
      </c>
    </row>
    <row r="97" spans="1:19">
      <c r="A97" s="966"/>
      <c r="B97" s="136"/>
      <c r="C97" s="53">
        <f t="shared" si="16"/>
        <v>1</v>
      </c>
      <c r="D97" s="964"/>
      <c r="E97" s="53">
        <f t="shared" si="17"/>
        <v>0</v>
      </c>
      <c r="F97" s="964"/>
      <c r="G97" s="53">
        <f t="shared" si="18"/>
        <v>1</v>
      </c>
      <c r="H97" s="964"/>
      <c r="I97" s="53">
        <f t="shared" si="19"/>
        <v>1</v>
      </c>
      <c r="J97" s="964"/>
      <c r="K97" s="53">
        <f t="shared" si="20"/>
        <v>1</v>
      </c>
      <c r="L97" s="964"/>
      <c r="M97" s="53">
        <f t="shared" si="21"/>
        <v>1</v>
      </c>
      <c r="N97" s="964"/>
      <c r="O97" s="53">
        <f t="shared" si="22"/>
        <v>1</v>
      </c>
      <c r="P97" s="964"/>
      <c r="Q97" s="53">
        <f t="shared" si="23"/>
        <v>1</v>
      </c>
      <c r="R97" s="491">
        <f t="shared" si="24"/>
        <v>0</v>
      </c>
      <c r="S97" s="800">
        <f t="shared" si="15"/>
        <v>0</v>
      </c>
    </row>
    <row r="98" spans="1:19">
      <c r="A98" s="966"/>
      <c r="B98" s="136"/>
      <c r="C98" s="53">
        <f t="shared" si="16"/>
        <v>1</v>
      </c>
      <c r="D98" s="964"/>
      <c r="E98" s="53">
        <f t="shared" si="17"/>
        <v>0</v>
      </c>
      <c r="F98" s="964"/>
      <c r="G98" s="53">
        <f t="shared" si="18"/>
        <v>1</v>
      </c>
      <c r="H98" s="964"/>
      <c r="I98" s="53">
        <f t="shared" si="19"/>
        <v>1</v>
      </c>
      <c r="J98" s="964"/>
      <c r="K98" s="53">
        <f t="shared" si="20"/>
        <v>1</v>
      </c>
      <c r="L98" s="964"/>
      <c r="M98" s="53">
        <f t="shared" si="21"/>
        <v>1</v>
      </c>
      <c r="N98" s="964"/>
      <c r="O98" s="53">
        <f t="shared" si="22"/>
        <v>1</v>
      </c>
      <c r="P98" s="964"/>
      <c r="Q98" s="53">
        <f t="shared" si="23"/>
        <v>1</v>
      </c>
      <c r="R98" s="491">
        <f t="shared" si="24"/>
        <v>0</v>
      </c>
      <c r="S98" s="800">
        <f t="shared" si="15"/>
        <v>0</v>
      </c>
    </row>
    <row r="99" spans="1:19">
      <c r="A99" s="966"/>
      <c r="B99" s="136"/>
      <c r="C99" s="53">
        <f t="shared" si="16"/>
        <v>1</v>
      </c>
      <c r="D99" s="964"/>
      <c r="E99" s="53">
        <f t="shared" si="17"/>
        <v>0</v>
      </c>
      <c r="F99" s="964"/>
      <c r="G99" s="53">
        <f t="shared" si="18"/>
        <v>1</v>
      </c>
      <c r="H99" s="964"/>
      <c r="I99" s="53">
        <f t="shared" si="19"/>
        <v>1</v>
      </c>
      <c r="J99" s="964"/>
      <c r="K99" s="53">
        <f t="shared" si="20"/>
        <v>1</v>
      </c>
      <c r="L99" s="964"/>
      <c r="M99" s="53">
        <f t="shared" si="21"/>
        <v>1</v>
      </c>
      <c r="N99" s="964"/>
      <c r="O99" s="53">
        <f t="shared" si="22"/>
        <v>1</v>
      </c>
      <c r="P99" s="964"/>
      <c r="Q99" s="53">
        <f t="shared" si="23"/>
        <v>1</v>
      </c>
      <c r="R99" s="491">
        <f t="shared" si="24"/>
        <v>0</v>
      </c>
      <c r="S99" s="800">
        <f t="shared" si="15"/>
        <v>0</v>
      </c>
    </row>
    <row r="100" spans="1:19">
      <c r="A100" s="966"/>
      <c r="B100" s="136"/>
      <c r="C100" s="53">
        <f t="shared" si="16"/>
        <v>1</v>
      </c>
      <c r="D100" s="964"/>
      <c r="E100" s="53">
        <f t="shared" si="17"/>
        <v>0</v>
      </c>
      <c r="F100" s="964"/>
      <c r="G100" s="53">
        <f t="shared" si="18"/>
        <v>1</v>
      </c>
      <c r="H100" s="964"/>
      <c r="I100" s="53">
        <f t="shared" si="19"/>
        <v>1</v>
      </c>
      <c r="J100" s="964"/>
      <c r="K100" s="53">
        <f t="shared" si="20"/>
        <v>1</v>
      </c>
      <c r="L100" s="964"/>
      <c r="M100" s="53">
        <f t="shared" si="21"/>
        <v>1</v>
      </c>
      <c r="N100" s="964"/>
      <c r="O100" s="53">
        <f t="shared" si="22"/>
        <v>1</v>
      </c>
      <c r="P100" s="964"/>
      <c r="Q100" s="53">
        <f t="shared" si="23"/>
        <v>1</v>
      </c>
      <c r="R100" s="491">
        <f t="shared" si="24"/>
        <v>0</v>
      </c>
      <c r="S100" s="800">
        <f t="shared" si="15"/>
        <v>0</v>
      </c>
    </row>
    <row r="101" spans="1:19">
      <c r="A101" s="966"/>
      <c r="B101" s="136"/>
      <c r="C101" s="53">
        <f t="shared" si="16"/>
        <v>1</v>
      </c>
      <c r="D101" s="964"/>
      <c r="E101" s="53">
        <f t="shared" si="17"/>
        <v>0</v>
      </c>
      <c r="F101" s="964"/>
      <c r="G101" s="53">
        <f t="shared" si="18"/>
        <v>1</v>
      </c>
      <c r="H101" s="964"/>
      <c r="I101" s="53">
        <f t="shared" si="19"/>
        <v>1</v>
      </c>
      <c r="J101" s="964"/>
      <c r="K101" s="53">
        <f t="shared" si="20"/>
        <v>1</v>
      </c>
      <c r="L101" s="964"/>
      <c r="M101" s="53">
        <f t="shared" si="21"/>
        <v>1</v>
      </c>
      <c r="N101" s="964"/>
      <c r="O101" s="53">
        <f t="shared" si="22"/>
        <v>1</v>
      </c>
      <c r="P101" s="964"/>
      <c r="Q101" s="53">
        <f t="shared" si="23"/>
        <v>1</v>
      </c>
      <c r="R101" s="491">
        <f t="shared" si="24"/>
        <v>0</v>
      </c>
      <c r="S101" s="800">
        <f t="shared" si="15"/>
        <v>0</v>
      </c>
    </row>
    <row r="102" spans="1:19">
      <c r="A102" s="966"/>
      <c r="B102" s="136"/>
      <c r="C102" s="53">
        <f t="shared" si="16"/>
        <v>1</v>
      </c>
      <c r="D102" s="964"/>
      <c r="E102" s="53">
        <f t="shared" si="17"/>
        <v>0</v>
      </c>
      <c r="F102" s="964"/>
      <c r="G102" s="53">
        <f t="shared" si="18"/>
        <v>1</v>
      </c>
      <c r="H102" s="964"/>
      <c r="I102" s="53">
        <f t="shared" si="19"/>
        <v>1</v>
      </c>
      <c r="J102" s="964"/>
      <c r="K102" s="53">
        <f t="shared" si="20"/>
        <v>1</v>
      </c>
      <c r="L102" s="964"/>
      <c r="M102" s="53">
        <f t="shared" si="21"/>
        <v>1</v>
      </c>
      <c r="N102" s="964"/>
      <c r="O102" s="53">
        <f t="shared" si="22"/>
        <v>1</v>
      </c>
      <c r="P102" s="964"/>
      <c r="Q102" s="53">
        <f t="shared" si="23"/>
        <v>1</v>
      </c>
      <c r="R102" s="491">
        <f t="shared" si="24"/>
        <v>0</v>
      </c>
      <c r="S102" s="800">
        <f t="shared" si="15"/>
        <v>0</v>
      </c>
    </row>
    <row r="103" spans="1:19">
      <c r="A103" s="966"/>
      <c r="B103" s="136"/>
      <c r="C103" s="53">
        <f t="shared" si="16"/>
        <v>1</v>
      </c>
      <c r="D103" s="964"/>
      <c r="E103" s="53">
        <f t="shared" si="17"/>
        <v>0</v>
      </c>
      <c r="F103" s="964"/>
      <c r="G103" s="53">
        <f t="shared" si="18"/>
        <v>1</v>
      </c>
      <c r="H103" s="964"/>
      <c r="I103" s="53">
        <f t="shared" si="19"/>
        <v>1</v>
      </c>
      <c r="J103" s="964"/>
      <c r="K103" s="53">
        <f t="shared" si="20"/>
        <v>1</v>
      </c>
      <c r="L103" s="964"/>
      <c r="M103" s="53">
        <f t="shared" si="21"/>
        <v>1</v>
      </c>
      <c r="N103" s="964"/>
      <c r="O103" s="53">
        <f t="shared" si="22"/>
        <v>1</v>
      </c>
      <c r="P103" s="964"/>
      <c r="Q103" s="53">
        <f t="shared" si="23"/>
        <v>1</v>
      </c>
      <c r="R103" s="491">
        <f t="shared" si="24"/>
        <v>0</v>
      </c>
      <c r="S103" s="800">
        <f t="shared" si="15"/>
        <v>0</v>
      </c>
    </row>
    <row r="104" spans="1:19">
      <c r="A104" s="966"/>
      <c r="B104" s="136"/>
      <c r="C104" s="53">
        <f t="shared" si="16"/>
        <v>1</v>
      </c>
      <c r="D104" s="964"/>
      <c r="E104" s="53">
        <f t="shared" si="17"/>
        <v>0</v>
      </c>
      <c r="F104" s="964"/>
      <c r="G104" s="53">
        <f t="shared" si="18"/>
        <v>1</v>
      </c>
      <c r="H104" s="964"/>
      <c r="I104" s="53">
        <f t="shared" si="19"/>
        <v>1</v>
      </c>
      <c r="J104" s="964"/>
      <c r="K104" s="53">
        <f t="shared" si="20"/>
        <v>1</v>
      </c>
      <c r="L104" s="964"/>
      <c r="M104" s="53">
        <f t="shared" si="21"/>
        <v>1</v>
      </c>
      <c r="N104" s="964"/>
      <c r="O104" s="53">
        <f t="shared" si="22"/>
        <v>1</v>
      </c>
      <c r="P104" s="964"/>
      <c r="Q104" s="53">
        <f t="shared" si="23"/>
        <v>1</v>
      </c>
      <c r="R104" s="491">
        <f t="shared" si="24"/>
        <v>0</v>
      </c>
      <c r="S104" s="800">
        <f t="shared" si="15"/>
        <v>0</v>
      </c>
    </row>
    <row r="105" spans="1:19">
      <c r="A105" s="966"/>
      <c r="B105" s="136"/>
      <c r="C105" s="53">
        <f t="shared" si="16"/>
        <v>1</v>
      </c>
      <c r="D105" s="964"/>
      <c r="E105" s="53">
        <f t="shared" si="17"/>
        <v>0</v>
      </c>
      <c r="F105" s="964"/>
      <c r="G105" s="53">
        <f t="shared" si="18"/>
        <v>1</v>
      </c>
      <c r="H105" s="964"/>
      <c r="I105" s="53">
        <f t="shared" si="19"/>
        <v>1</v>
      </c>
      <c r="J105" s="964"/>
      <c r="K105" s="53">
        <f t="shared" si="20"/>
        <v>1</v>
      </c>
      <c r="L105" s="964"/>
      <c r="M105" s="53">
        <f t="shared" si="21"/>
        <v>1</v>
      </c>
      <c r="N105" s="964"/>
      <c r="O105" s="53">
        <f t="shared" si="22"/>
        <v>1</v>
      </c>
      <c r="P105" s="964"/>
      <c r="Q105" s="53">
        <f t="shared" si="23"/>
        <v>1</v>
      </c>
      <c r="R105" s="491">
        <f t="shared" si="24"/>
        <v>0</v>
      </c>
      <c r="S105" s="800">
        <f t="shared" si="15"/>
        <v>0</v>
      </c>
    </row>
    <row r="106" spans="1:19">
      <c r="A106" s="966"/>
      <c r="B106" s="136"/>
      <c r="C106" s="53">
        <f t="shared" si="16"/>
        <v>1</v>
      </c>
      <c r="D106" s="964"/>
      <c r="E106" s="53">
        <f t="shared" si="17"/>
        <v>0</v>
      </c>
      <c r="F106" s="964"/>
      <c r="G106" s="53">
        <f t="shared" si="18"/>
        <v>1</v>
      </c>
      <c r="H106" s="964"/>
      <c r="I106" s="53">
        <f t="shared" si="19"/>
        <v>1</v>
      </c>
      <c r="J106" s="964"/>
      <c r="K106" s="53">
        <f t="shared" si="20"/>
        <v>1</v>
      </c>
      <c r="L106" s="964"/>
      <c r="M106" s="53">
        <f t="shared" si="21"/>
        <v>1</v>
      </c>
      <c r="N106" s="964"/>
      <c r="O106" s="53">
        <f t="shared" si="22"/>
        <v>1</v>
      </c>
      <c r="P106" s="964"/>
      <c r="Q106" s="53">
        <f t="shared" si="23"/>
        <v>1</v>
      </c>
      <c r="R106" s="491">
        <f t="shared" si="24"/>
        <v>0</v>
      </c>
      <c r="S106" s="800">
        <f t="shared" si="15"/>
        <v>0</v>
      </c>
    </row>
    <row r="107" spans="1:19">
      <c r="A107" s="966"/>
      <c r="B107" s="136"/>
      <c r="C107" s="53">
        <f t="shared" si="16"/>
        <v>1</v>
      </c>
      <c r="D107" s="964"/>
      <c r="E107" s="53">
        <f t="shared" si="17"/>
        <v>0</v>
      </c>
      <c r="F107" s="964"/>
      <c r="G107" s="53">
        <f t="shared" si="18"/>
        <v>1</v>
      </c>
      <c r="H107" s="964"/>
      <c r="I107" s="53">
        <f t="shared" si="19"/>
        <v>1</v>
      </c>
      <c r="J107" s="964"/>
      <c r="K107" s="53">
        <f t="shared" si="20"/>
        <v>1</v>
      </c>
      <c r="L107" s="964"/>
      <c r="M107" s="53">
        <f t="shared" si="21"/>
        <v>1</v>
      </c>
      <c r="N107" s="964"/>
      <c r="O107" s="53">
        <f t="shared" si="22"/>
        <v>1</v>
      </c>
      <c r="P107" s="964"/>
      <c r="Q107" s="53">
        <f t="shared" si="23"/>
        <v>1</v>
      </c>
      <c r="R107" s="491">
        <f t="shared" si="24"/>
        <v>0</v>
      </c>
      <c r="S107" s="800">
        <f t="shared" si="15"/>
        <v>0</v>
      </c>
    </row>
    <row r="108" spans="1:19">
      <c r="A108" s="966"/>
      <c r="B108" s="136"/>
      <c r="C108" s="53">
        <f t="shared" si="16"/>
        <v>1</v>
      </c>
      <c r="D108" s="964"/>
      <c r="E108" s="53">
        <f t="shared" si="17"/>
        <v>0</v>
      </c>
      <c r="F108" s="964"/>
      <c r="G108" s="53">
        <f t="shared" si="18"/>
        <v>1</v>
      </c>
      <c r="H108" s="964"/>
      <c r="I108" s="53">
        <f t="shared" si="19"/>
        <v>1</v>
      </c>
      <c r="J108" s="964"/>
      <c r="K108" s="53">
        <f t="shared" si="20"/>
        <v>1</v>
      </c>
      <c r="L108" s="964"/>
      <c r="M108" s="53">
        <f t="shared" si="21"/>
        <v>1</v>
      </c>
      <c r="N108" s="964"/>
      <c r="O108" s="53">
        <f t="shared" si="22"/>
        <v>1</v>
      </c>
      <c r="P108" s="964"/>
      <c r="Q108" s="53">
        <f t="shared" si="23"/>
        <v>1</v>
      </c>
      <c r="R108" s="491">
        <f t="shared" si="24"/>
        <v>0</v>
      </c>
      <c r="S108" s="800">
        <f t="shared" si="15"/>
        <v>0</v>
      </c>
    </row>
    <row r="109" spans="1:19">
      <c r="A109" s="966"/>
      <c r="B109" s="136"/>
      <c r="C109" s="53">
        <f t="shared" si="16"/>
        <v>1</v>
      </c>
      <c r="D109" s="964"/>
      <c r="E109" s="53">
        <f t="shared" si="17"/>
        <v>0</v>
      </c>
      <c r="F109" s="964"/>
      <c r="G109" s="53">
        <f t="shared" si="18"/>
        <v>1</v>
      </c>
      <c r="H109" s="964"/>
      <c r="I109" s="53">
        <f t="shared" si="19"/>
        <v>1</v>
      </c>
      <c r="J109" s="964"/>
      <c r="K109" s="53">
        <f t="shared" si="20"/>
        <v>1</v>
      </c>
      <c r="L109" s="964"/>
      <c r="M109" s="53">
        <f t="shared" si="21"/>
        <v>1</v>
      </c>
      <c r="N109" s="964"/>
      <c r="O109" s="53">
        <f t="shared" si="22"/>
        <v>1</v>
      </c>
      <c r="P109" s="964"/>
      <c r="Q109" s="53">
        <f t="shared" si="23"/>
        <v>1</v>
      </c>
      <c r="R109" s="491">
        <f t="shared" si="24"/>
        <v>0</v>
      </c>
      <c r="S109" s="800">
        <f t="shared" si="15"/>
        <v>0</v>
      </c>
    </row>
    <row r="110" spans="1:19">
      <c r="A110" s="966"/>
      <c r="B110" s="136"/>
      <c r="C110" s="53">
        <f t="shared" si="16"/>
        <v>1</v>
      </c>
      <c r="D110" s="964"/>
      <c r="E110" s="53">
        <f t="shared" si="17"/>
        <v>0</v>
      </c>
      <c r="F110" s="964"/>
      <c r="G110" s="53">
        <f t="shared" si="18"/>
        <v>1</v>
      </c>
      <c r="H110" s="964"/>
      <c r="I110" s="53">
        <f t="shared" si="19"/>
        <v>1</v>
      </c>
      <c r="J110" s="964"/>
      <c r="K110" s="53">
        <f t="shared" si="20"/>
        <v>1</v>
      </c>
      <c r="L110" s="964"/>
      <c r="M110" s="53">
        <f t="shared" si="21"/>
        <v>1</v>
      </c>
      <c r="N110" s="964"/>
      <c r="O110" s="53">
        <f t="shared" si="22"/>
        <v>1</v>
      </c>
      <c r="P110" s="964"/>
      <c r="Q110" s="53">
        <f t="shared" si="23"/>
        <v>1</v>
      </c>
      <c r="R110" s="491">
        <f t="shared" si="24"/>
        <v>0</v>
      </c>
      <c r="S110" s="800">
        <f t="shared" si="15"/>
        <v>0</v>
      </c>
    </row>
    <row r="111" spans="1:19">
      <c r="A111" s="966"/>
      <c r="B111" s="136"/>
      <c r="C111" s="53">
        <f t="shared" si="16"/>
        <v>1</v>
      </c>
      <c r="D111" s="964"/>
      <c r="E111" s="53">
        <f t="shared" si="17"/>
        <v>0</v>
      </c>
      <c r="F111" s="964"/>
      <c r="G111" s="53">
        <f t="shared" si="18"/>
        <v>1</v>
      </c>
      <c r="H111" s="964"/>
      <c r="I111" s="53">
        <f t="shared" si="19"/>
        <v>1</v>
      </c>
      <c r="J111" s="964"/>
      <c r="K111" s="53">
        <f t="shared" si="20"/>
        <v>1</v>
      </c>
      <c r="L111" s="964"/>
      <c r="M111" s="53">
        <f t="shared" si="21"/>
        <v>1</v>
      </c>
      <c r="N111" s="964"/>
      <c r="O111" s="53">
        <f t="shared" si="22"/>
        <v>1</v>
      </c>
      <c r="P111" s="964"/>
      <c r="Q111" s="53">
        <f t="shared" si="23"/>
        <v>1</v>
      </c>
      <c r="R111" s="491">
        <f t="shared" si="24"/>
        <v>0</v>
      </c>
      <c r="S111" s="800">
        <f t="shared" si="15"/>
        <v>0</v>
      </c>
    </row>
    <row r="112" spans="1:19">
      <c r="A112" s="966"/>
      <c r="B112" s="136"/>
      <c r="C112" s="53">
        <f t="shared" si="16"/>
        <v>1</v>
      </c>
      <c r="D112" s="964"/>
      <c r="E112" s="53">
        <f t="shared" si="17"/>
        <v>0</v>
      </c>
      <c r="F112" s="964"/>
      <c r="G112" s="53">
        <f t="shared" si="18"/>
        <v>1</v>
      </c>
      <c r="H112" s="964"/>
      <c r="I112" s="53">
        <f t="shared" si="19"/>
        <v>1</v>
      </c>
      <c r="J112" s="964"/>
      <c r="K112" s="53">
        <f t="shared" si="20"/>
        <v>1</v>
      </c>
      <c r="L112" s="964"/>
      <c r="M112" s="53">
        <f t="shared" si="21"/>
        <v>1</v>
      </c>
      <c r="N112" s="964"/>
      <c r="O112" s="53">
        <f t="shared" si="22"/>
        <v>1</v>
      </c>
      <c r="P112" s="964"/>
      <c r="Q112" s="53">
        <f t="shared" si="23"/>
        <v>1</v>
      </c>
      <c r="R112" s="491">
        <f t="shared" si="24"/>
        <v>0</v>
      </c>
      <c r="S112" s="800">
        <f t="shared" si="15"/>
        <v>0</v>
      </c>
    </row>
    <row r="113" spans="1:19">
      <c r="A113" s="966"/>
      <c r="B113" s="136"/>
      <c r="C113" s="53">
        <f t="shared" si="16"/>
        <v>1</v>
      </c>
      <c r="D113" s="964"/>
      <c r="E113" s="53">
        <f t="shared" si="17"/>
        <v>0</v>
      </c>
      <c r="F113" s="964"/>
      <c r="G113" s="53">
        <f t="shared" si="18"/>
        <v>1</v>
      </c>
      <c r="H113" s="964"/>
      <c r="I113" s="53">
        <f t="shared" si="19"/>
        <v>1</v>
      </c>
      <c r="J113" s="964"/>
      <c r="K113" s="53">
        <f t="shared" si="20"/>
        <v>1</v>
      </c>
      <c r="L113" s="964"/>
      <c r="M113" s="53">
        <f t="shared" si="21"/>
        <v>1</v>
      </c>
      <c r="N113" s="964"/>
      <c r="O113" s="53">
        <f t="shared" si="22"/>
        <v>1</v>
      </c>
      <c r="P113" s="964"/>
      <c r="Q113" s="53">
        <f t="shared" si="23"/>
        <v>1</v>
      </c>
      <c r="R113" s="491">
        <f t="shared" si="24"/>
        <v>0</v>
      </c>
      <c r="S113" s="800">
        <f t="shared" si="15"/>
        <v>0</v>
      </c>
    </row>
    <row r="114" spans="1:19">
      <c r="A114" s="966"/>
      <c r="B114" s="136"/>
      <c r="C114" s="53">
        <f t="shared" si="16"/>
        <v>1</v>
      </c>
      <c r="D114" s="964"/>
      <c r="E114" s="53">
        <f t="shared" si="17"/>
        <v>0</v>
      </c>
      <c r="F114" s="964"/>
      <c r="G114" s="53">
        <f t="shared" si="18"/>
        <v>1</v>
      </c>
      <c r="H114" s="964"/>
      <c r="I114" s="53">
        <f t="shared" si="19"/>
        <v>1</v>
      </c>
      <c r="J114" s="964"/>
      <c r="K114" s="53">
        <f t="shared" si="20"/>
        <v>1</v>
      </c>
      <c r="L114" s="964"/>
      <c r="M114" s="53">
        <f t="shared" si="21"/>
        <v>1</v>
      </c>
      <c r="N114" s="964"/>
      <c r="O114" s="53">
        <f t="shared" si="22"/>
        <v>1</v>
      </c>
      <c r="P114" s="964"/>
      <c r="Q114" s="53">
        <f t="shared" si="23"/>
        <v>1</v>
      </c>
      <c r="R114" s="491">
        <f t="shared" si="24"/>
        <v>0</v>
      </c>
      <c r="S114" s="800">
        <f t="shared" si="15"/>
        <v>0</v>
      </c>
    </row>
    <row r="115" spans="1:19">
      <c r="A115" s="966"/>
      <c r="B115" s="136"/>
      <c r="C115" s="53">
        <f t="shared" si="16"/>
        <v>1</v>
      </c>
      <c r="D115" s="964"/>
      <c r="E115" s="53">
        <f t="shared" si="17"/>
        <v>0</v>
      </c>
      <c r="F115" s="964"/>
      <c r="G115" s="53">
        <f t="shared" si="18"/>
        <v>1</v>
      </c>
      <c r="H115" s="964"/>
      <c r="I115" s="53">
        <f t="shared" si="19"/>
        <v>1</v>
      </c>
      <c r="J115" s="964"/>
      <c r="K115" s="53">
        <f t="shared" si="20"/>
        <v>1</v>
      </c>
      <c r="L115" s="964"/>
      <c r="M115" s="53">
        <f t="shared" si="21"/>
        <v>1</v>
      </c>
      <c r="N115" s="964"/>
      <c r="O115" s="53">
        <f t="shared" si="22"/>
        <v>1</v>
      </c>
      <c r="P115" s="964"/>
      <c r="Q115" s="53">
        <f t="shared" si="23"/>
        <v>1</v>
      </c>
      <c r="R115" s="491">
        <f t="shared" si="24"/>
        <v>0</v>
      </c>
      <c r="S115" s="800">
        <f t="shared" si="15"/>
        <v>0</v>
      </c>
    </row>
    <row r="116" spans="1:19">
      <c r="A116" s="966"/>
      <c r="B116" s="136"/>
      <c r="C116" s="53">
        <f t="shared" si="16"/>
        <v>1</v>
      </c>
      <c r="D116" s="964"/>
      <c r="E116" s="53">
        <f t="shared" si="17"/>
        <v>0</v>
      </c>
      <c r="F116" s="964"/>
      <c r="G116" s="53">
        <f t="shared" si="18"/>
        <v>1</v>
      </c>
      <c r="H116" s="964"/>
      <c r="I116" s="53">
        <f t="shared" si="19"/>
        <v>1</v>
      </c>
      <c r="J116" s="964"/>
      <c r="K116" s="53">
        <f t="shared" si="20"/>
        <v>1</v>
      </c>
      <c r="L116" s="964"/>
      <c r="M116" s="53">
        <f t="shared" si="21"/>
        <v>1</v>
      </c>
      <c r="N116" s="964"/>
      <c r="O116" s="53">
        <f t="shared" si="22"/>
        <v>1</v>
      </c>
      <c r="P116" s="964"/>
      <c r="Q116" s="53">
        <f t="shared" si="23"/>
        <v>1</v>
      </c>
      <c r="R116" s="491">
        <f t="shared" si="24"/>
        <v>0</v>
      </c>
      <c r="S116" s="800">
        <f t="shared" si="15"/>
        <v>0</v>
      </c>
    </row>
    <row r="117" spans="1:19">
      <c r="A117" s="966"/>
      <c r="B117" s="136"/>
      <c r="C117" s="53">
        <f t="shared" si="16"/>
        <v>1</v>
      </c>
      <c r="D117" s="964"/>
      <c r="E117" s="53">
        <f t="shared" si="17"/>
        <v>0</v>
      </c>
      <c r="F117" s="964"/>
      <c r="G117" s="53">
        <f t="shared" si="18"/>
        <v>1</v>
      </c>
      <c r="H117" s="964"/>
      <c r="I117" s="53">
        <f t="shared" si="19"/>
        <v>1</v>
      </c>
      <c r="J117" s="964"/>
      <c r="K117" s="53">
        <f t="shared" si="20"/>
        <v>1</v>
      </c>
      <c r="L117" s="964"/>
      <c r="M117" s="53">
        <f t="shared" si="21"/>
        <v>1</v>
      </c>
      <c r="N117" s="964"/>
      <c r="O117" s="53">
        <f t="shared" si="22"/>
        <v>1</v>
      </c>
      <c r="P117" s="964"/>
      <c r="Q117" s="53">
        <f t="shared" si="23"/>
        <v>1</v>
      </c>
      <c r="R117" s="491">
        <f t="shared" si="24"/>
        <v>0</v>
      </c>
      <c r="S117" s="800">
        <f t="shared" si="15"/>
        <v>0</v>
      </c>
    </row>
    <row r="118" spans="1:19">
      <c r="A118" s="966"/>
      <c r="B118" s="136"/>
      <c r="C118" s="53">
        <f t="shared" si="16"/>
        <v>1</v>
      </c>
      <c r="D118" s="964"/>
      <c r="E118" s="53">
        <f t="shared" si="17"/>
        <v>0</v>
      </c>
      <c r="F118" s="964"/>
      <c r="G118" s="53">
        <f t="shared" si="18"/>
        <v>1</v>
      </c>
      <c r="H118" s="964"/>
      <c r="I118" s="53">
        <f t="shared" si="19"/>
        <v>1</v>
      </c>
      <c r="J118" s="964"/>
      <c r="K118" s="53">
        <f t="shared" si="20"/>
        <v>1</v>
      </c>
      <c r="L118" s="964"/>
      <c r="M118" s="53">
        <f t="shared" si="21"/>
        <v>1</v>
      </c>
      <c r="N118" s="964"/>
      <c r="O118" s="53">
        <f t="shared" si="22"/>
        <v>1</v>
      </c>
      <c r="P118" s="964"/>
      <c r="Q118" s="53">
        <f t="shared" si="23"/>
        <v>1</v>
      </c>
      <c r="R118" s="491">
        <f t="shared" si="24"/>
        <v>0</v>
      </c>
      <c r="S118" s="800">
        <f t="shared" si="15"/>
        <v>0</v>
      </c>
    </row>
    <row r="119" spans="1:19">
      <c r="A119" s="966"/>
      <c r="B119" s="136"/>
      <c r="C119" s="53">
        <f t="shared" si="16"/>
        <v>1</v>
      </c>
      <c r="D119" s="964"/>
      <c r="E119" s="53">
        <f t="shared" si="17"/>
        <v>0</v>
      </c>
      <c r="F119" s="964"/>
      <c r="G119" s="53">
        <f t="shared" si="18"/>
        <v>1</v>
      </c>
      <c r="H119" s="964"/>
      <c r="I119" s="53">
        <f t="shared" si="19"/>
        <v>1</v>
      </c>
      <c r="J119" s="964"/>
      <c r="K119" s="53">
        <f t="shared" si="20"/>
        <v>1</v>
      </c>
      <c r="L119" s="964"/>
      <c r="M119" s="53">
        <f t="shared" si="21"/>
        <v>1</v>
      </c>
      <c r="N119" s="964"/>
      <c r="O119" s="53">
        <f t="shared" si="22"/>
        <v>1</v>
      </c>
      <c r="P119" s="964"/>
      <c r="Q119" s="53">
        <f t="shared" si="23"/>
        <v>1</v>
      </c>
      <c r="R119" s="491">
        <f t="shared" si="24"/>
        <v>0</v>
      </c>
      <c r="S119" s="800">
        <f t="shared" si="15"/>
        <v>0</v>
      </c>
    </row>
    <row r="120" spans="1:19">
      <c r="A120" s="966"/>
      <c r="B120" s="136"/>
      <c r="C120" s="53">
        <f t="shared" si="16"/>
        <v>1</v>
      </c>
      <c r="D120" s="964"/>
      <c r="E120" s="53">
        <f t="shared" si="17"/>
        <v>0</v>
      </c>
      <c r="F120" s="964"/>
      <c r="G120" s="53">
        <f t="shared" si="18"/>
        <v>1</v>
      </c>
      <c r="H120" s="964"/>
      <c r="I120" s="53">
        <f t="shared" si="19"/>
        <v>1</v>
      </c>
      <c r="J120" s="964"/>
      <c r="K120" s="53">
        <f t="shared" si="20"/>
        <v>1</v>
      </c>
      <c r="L120" s="964"/>
      <c r="M120" s="53">
        <f t="shared" si="21"/>
        <v>1</v>
      </c>
      <c r="N120" s="964"/>
      <c r="O120" s="53">
        <f t="shared" si="22"/>
        <v>1</v>
      </c>
      <c r="P120" s="964"/>
      <c r="Q120" s="53">
        <f t="shared" si="23"/>
        <v>1</v>
      </c>
      <c r="R120" s="491">
        <f t="shared" si="24"/>
        <v>0</v>
      </c>
      <c r="S120" s="800">
        <f t="shared" si="15"/>
        <v>0</v>
      </c>
    </row>
    <row r="121" spans="1:19">
      <c r="A121" s="966"/>
      <c r="B121" s="136"/>
      <c r="C121" s="53">
        <f t="shared" si="16"/>
        <v>1</v>
      </c>
      <c r="D121" s="964"/>
      <c r="E121" s="53">
        <f t="shared" si="17"/>
        <v>0</v>
      </c>
      <c r="F121" s="964"/>
      <c r="G121" s="53">
        <f t="shared" si="18"/>
        <v>1</v>
      </c>
      <c r="H121" s="964"/>
      <c r="I121" s="53">
        <f t="shared" si="19"/>
        <v>1</v>
      </c>
      <c r="J121" s="964"/>
      <c r="K121" s="53">
        <f t="shared" si="20"/>
        <v>1</v>
      </c>
      <c r="L121" s="964"/>
      <c r="M121" s="53">
        <f t="shared" si="21"/>
        <v>1</v>
      </c>
      <c r="N121" s="964"/>
      <c r="O121" s="53">
        <f t="shared" si="22"/>
        <v>1</v>
      </c>
      <c r="P121" s="964"/>
      <c r="Q121" s="53">
        <f t="shared" si="23"/>
        <v>1</v>
      </c>
      <c r="R121" s="491">
        <f t="shared" si="24"/>
        <v>0</v>
      </c>
      <c r="S121" s="800">
        <f t="shared" si="15"/>
        <v>0</v>
      </c>
    </row>
    <row r="122" spans="1:19">
      <c r="A122" s="966"/>
      <c r="B122" s="136"/>
      <c r="C122" s="53">
        <f t="shared" si="16"/>
        <v>1</v>
      </c>
      <c r="D122" s="964"/>
      <c r="E122" s="53">
        <f t="shared" si="17"/>
        <v>0</v>
      </c>
      <c r="F122" s="964"/>
      <c r="G122" s="53">
        <f t="shared" si="18"/>
        <v>1</v>
      </c>
      <c r="H122" s="964"/>
      <c r="I122" s="53">
        <f t="shared" si="19"/>
        <v>1</v>
      </c>
      <c r="J122" s="964"/>
      <c r="K122" s="53">
        <f t="shared" si="20"/>
        <v>1</v>
      </c>
      <c r="L122" s="964"/>
      <c r="M122" s="53">
        <f t="shared" si="21"/>
        <v>1</v>
      </c>
      <c r="N122" s="964"/>
      <c r="O122" s="53">
        <f t="shared" si="22"/>
        <v>1</v>
      </c>
      <c r="P122" s="964"/>
      <c r="Q122" s="53">
        <f t="shared" si="23"/>
        <v>1</v>
      </c>
      <c r="R122" s="491">
        <f t="shared" si="24"/>
        <v>0</v>
      </c>
      <c r="S122" s="800">
        <f t="shared" si="15"/>
        <v>0</v>
      </c>
    </row>
    <row r="123" spans="1:19">
      <c r="A123" s="966"/>
      <c r="B123" s="136"/>
      <c r="C123" s="53">
        <f t="shared" si="16"/>
        <v>1</v>
      </c>
      <c r="D123" s="964"/>
      <c r="E123" s="53">
        <f t="shared" si="17"/>
        <v>0</v>
      </c>
      <c r="F123" s="964"/>
      <c r="G123" s="53">
        <f t="shared" si="18"/>
        <v>1</v>
      </c>
      <c r="H123" s="964"/>
      <c r="I123" s="53">
        <f t="shared" si="19"/>
        <v>1</v>
      </c>
      <c r="J123" s="964"/>
      <c r="K123" s="53">
        <f t="shared" si="20"/>
        <v>1</v>
      </c>
      <c r="L123" s="964"/>
      <c r="M123" s="53">
        <f t="shared" si="21"/>
        <v>1</v>
      </c>
      <c r="N123" s="964"/>
      <c r="O123" s="53">
        <f t="shared" si="22"/>
        <v>1</v>
      </c>
      <c r="P123" s="964"/>
      <c r="Q123" s="53">
        <f t="shared" si="23"/>
        <v>1</v>
      </c>
      <c r="R123" s="491">
        <f t="shared" si="24"/>
        <v>0</v>
      </c>
      <c r="S123" s="800">
        <f t="shared" si="15"/>
        <v>0</v>
      </c>
    </row>
    <row r="124" spans="1:19">
      <c r="A124" s="966"/>
      <c r="B124" s="136"/>
      <c r="C124" s="53">
        <f t="shared" si="16"/>
        <v>1</v>
      </c>
      <c r="D124" s="964"/>
      <c r="E124" s="53">
        <f t="shared" si="17"/>
        <v>0</v>
      </c>
      <c r="F124" s="964"/>
      <c r="G124" s="53">
        <f t="shared" si="18"/>
        <v>1</v>
      </c>
      <c r="H124" s="964"/>
      <c r="I124" s="53">
        <f t="shared" si="19"/>
        <v>1</v>
      </c>
      <c r="J124" s="964"/>
      <c r="K124" s="53">
        <f t="shared" si="20"/>
        <v>1</v>
      </c>
      <c r="L124" s="964"/>
      <c r="M124" s="53">
        <f t="shared" si="21"/>
        <v>1</v>
      </c>
      <c r="N124" s="964"/>
      <c r="O124" s="53">
        <f t="shared" si="22"/>
        <v>1</v>
      </c>
      <c r="P124" s="964"/>
      <c r="Q124" s="53">
        <f t="shared" si="23"/>
        <v>1</v>
      </c>
      <c r="R124" s="491">
        <f t="shared" si="24"/>
        <v>0</v>
      </c>
      <c r="S124" s="800">
        <f t="shared" si="15"/>
        <v>0</v>
      </c>
    </row>
    <row r="125" spans="1:19">
      <c r="A125" s="966"/>
      <c r="B125" s="136"/>
      <c r="C125" s="53">
        <f t="shared" si="16"/>
        <v>1</v>
      </c>
      <c r="D125" s="964"/>
      <c r="E125" s="53">
        <f t="shared" si="17"/>
        <v>0</v>
      </c>
      <c r="F125" s="964"/>
      <c r="G125" s="53">
        <f t="shared" si="18"/>
        <v>1</v>
      </c>
      <c r="H125" s="964"/>
      <c r="I125" s="53">
        <f t="shared" si="19"/>
        <v>1</v>
      </c>
      <c r="J125" s="964"/>
      <c r="K125" s="53">
        <f t="shared" si="20"/>
        <v>1</v>
      </c>
      <c r="L125" s="964"/>
      <c r="M125" s="53">
        <f t="shared" si="21"/>
        <v>1</v>
      </c>
      <c r="N125" s="964"/>
      <c r="O125" s="53">
        <f t="shared" si="22"/>
        <v>1</v>
      </c>
      <c r="P125" s="964"/>
      <c r="Q125" s="53">
        <f t="shared" si="23"/>
        <v>1</v>
      </c>
      <c r="R125" s="491">
        <f t="shared" si="24"/>
        <v>0</v>
      </c>
      <c r="S125" s="800">
        <f t="shared" si="15"/>
        <v>0</v>
      </c>
    </row>
    <row r="126" spans="1:19">
      <c r="A126" s="966"/>
      <c r="B126" s="136"/>
      <c r="C126" s="53">
        <f t="shared" si="16"/>
        <v>1</v>
      </c>
      <c r="D126" s="964"/>
      <c r="E126" s="53">
        <f t="shared" si="17"/>
        <v>0</v>
      </c>
      <c r="F126" s="964"/>
      <c r="G126" s="53">
        <f t="shared" si="18"/>
        <v>1</v>
      </c>
      <c r="H126" s="964"/>
      <c r="I126" s="53">
        <f t="shared" si="19"/>
        <v>1</v>
      </c>
      <c r="J126" s="964"/>
      <c r="K126" s="53">
        <f t="shared" si="20"/>
        <v>1</v>
      </c>
      <c r="L126" s="964"/>
      <c r="M126" s="53">
        <f t="shared" si="21"/>
        <v>1</v>
      </c>
      <c r="N126" s="964"/>
      <c r="O126" s="53">
        <f t="shared" si="22"/>
        <v>1</v>
      </c>
      <c r="P126" s="964"/>
      <c r="Q126" s="53">
        <f t="shared" si="23"/>
        <v>1</v>
      </c>
      <c r="R126" s="491">
        <f t="shared" si="24"/>
        <v>0</v>
      </c>
      <c r="S126" s="800">
        <f t="shared" si="15"/>
        <v>0</v>
      </c>
    </row>
    <row r="127" spans="1:19">
      <c r="A127" s="966"/>
      <c r="B127" s="136"/>
      <c r="C127" s="53">
        <f t="shared" si="16"/>
        <v>1</v>
      </c>
      <c r="D127" s="964"/>
      <c r="E127" s="53">
        <f t="shared" si="17"/>
        <v>0</v>
      </c>
      <c r="F127" s="964"/>
      <c r="G127" s="53">
        <f t="shared" si="18"/>
        <v>1</v>
      </c>
      <c r="H127" s="964"/>
      <c r="I127" s="53">
        <f t="shared" si="19"/>
        <v>1</v>
      </c>
      <c r="J127" s="964"/>
      <c r="K127" s="53">
        <f t="shared" si="20"/>
        <v>1</v>
      </c>
      <c r="L127" s="964"/>
      <c r="M127" s="53">
        <f t="shared" si="21"/>
        <v>1</v>
      </c>
      <c r="N127" s="964"/>
      <c r="O127" s="53">
        <f t="shared" si="22"/>
        <v>1</v>
      </c>
      <c r="P127" s="964"/>
      <c r="Q127" s="53">
        <f t="shared" si="23"/>
        <v>1</v>
      </c>
      <c r="R127" s="491">
        <f t="shared" si="24"/>
        <v>0</v>
      </c>
      <c r="S127" s="800">
        <f t="shared" si="15"/>
        <v>0</v>
      </c>
    </row>
    <row r="128" spans="1:19">
      <c r="A128" s="966"/>
      <c r="B128" s="136"/>
      <c r="C128" s="53">
        <f t="shared" si="16"/>
        <v>1</v>
      </c>
      <c r="D128" s="964"/>
      <c r="E128" s="53">
        <f t="shared" si="17"/>
        <v>0</v>
      </c>
      <c r="F128" s="964"/>
      <c r="G128" s="53">
        <f t="shared" si="18"/>
        <v>1</v>
      </c>
      <c r="H128" s="964"/>
      <c r="I128" s="53">
        <f t="shared" si="19"/>
        <v>1</v>
      </c>
      <c r="J128" s="964"/>
      <c r="K128" s="53">
        <f t="shared" si="20"/>
        <v>1</v>
      </c>
      <c r="L128" s="964"/>
      <c r="M128" s="53">
        <f t="shared" si="21"/>
        <v>1</v>
      </c>
      <c r="N128" s="964"/>
      <c r="O128" s="53">
        <f t="shared" si="22"/>
        <v>1</v>
      </c>
      <c r="P128" s="964"/>
      <c r="Q128" s="53">
        <f t="shared" si="23"/>
        <v>1</v>
      </c>
      <c r="R128" s="491">
        <f t="shared" si="24"/>
        <v>0</v>
      </c>
      <c r="S128" s="800">
        <f t="shared" si="15"/>
        <v>0</v>
      </c>
    </row>
    <row r="129" spans="1:19">
      <c r="A129" s="966"/>
      <c r="B129" s="136"/>
      <c r="C129" s="53">
        <f t="shared" si="16"/>
        <v>1</v>
      </c>
      <c r="D129" s="964"/>
      <c r="E129" s="53">
        <f t="shared" si="17"/>
        <v>0</v>
      </c>
      <c r="F129" s="964"/>
      <c r="G129" s="53">
        <f t="shared" si="18"/>
        <v>1</v>
      </c>
      <c r="H129" s="964"/>
      <c r="I129" s="53">
        <f t="shared" si="19"/>
        <v>1</v>
      </c>
      <c r="J129" s="964"/>
      <c r="K129" s="53">
        <f t="shared" si="20"/>
        <v>1</v>
      </c>
      <c r="L129" s="964"/>
      <c r="M129" s="53">
        <f t="shared" si="21"/>
        <v>1</v>
      </c>
      <c r="N129" s="964"/>
      <c r="O129" s="53">
        <f t="shared" si="22"/>
        <v>1</v>
      </c>
      <c r="P129" s="964"/>
      <c r="Q129" s="53">
        <f t="shared" si="23"/>
        <v>1</v>
      </c>
      <c r="R129" s="491">
        <f t="shared" si="24"/>
        <v>0</v>
      </c>
      <c r="S129" s="800">
        <f t="shared" si="15"/>
        <v>0</v>
      </c>
    </row>
    <row r="130" spans="1:19">
      <c r="A130" s="966"/>
      <c r="B130" s="136"/>
      <c r="C130" s="53">
        <f t="shared" si="16"/>
        <v>1</v>
      </c>
      <c r="D130" s="964"/>
      <c r="E130" s="53">
        <f t="shared" si="17"/>
        <v>0</v>
      </c>
      <c r="F130" s="964"/>
      <c r="G130" s="53">
        <f t="shared" si="18"/>
        <v>1</v>
      </c>
      <c r="H130" s="964"/>
      <c r="I130" s="53">
        <f t="shared" si="19"/>
        <v>1</v>
      </c>
      <c r="J130" s="964"/>
      <c r="K130" s="53">
        <f t="shared" si="20"/>
        <v>1</v>
      </c>
      <c r="L130" s="964"/>
      <c r="M130" s="53">
        <f t="shared" si="21"/>
        <v>1</v>
      </c>
      <c r="N130" s="964"/>
      <c r="O130" s="53">
        <f t="shared" si="22"/>
        <v>1</v>
      </c>
      <c r="P130" s="964"/>
      <c r="Q130" s="53">
        <f t="shared" si="23"/>
        <v>1</v>
      </c>
      <c r="R130" s="491">
        <f t="shared" si="24"/>
        <v>0</v>
      </c>
      <c r="S130" s="800">
        <f t="shared" si="15"/>
        <v>0</v>
      </c>
    </row>
    <row r="131" spans="1:19">
      <c r="A131" s="966"/>
      <c r="B131" s="136"/>
      <c r="C131" s="53">
        <f t="shared" si="16"/>
        <v>1</v>
      </c>
      <c r="D131" s="964"/>
      <c r="E131" s="53">
        <f t="shared" si="17"/>
        <v>0</v>
      </c>
      <c r="F131" s="964"/>
      <c r="G131" s="53">
        <f t="shared" si="18"/>
        <v>1</v>
      </c>
      <c r="H131" s="964"/>
      <c r="I131" s="53">
        <f t="shared" si="19"/>
        <v>1</v>
      </c>
      <c r="J131" s="964"/>
      <c r="K131" s="53">
        <f t="shared" si="20"/>
        <v>1</v>
      </c>
      <c r="L131" s="964"/>
      <c r="M131" s="53">
        <f t="shared" si="21"/>
        <v>1</v>
      </c>
      <c r="N131" s="964"/>
      <c r="O131" s="53">
        <f t="shared" si="22"/>
        <v>1</v>
      </c>
      <c r="P131" s="964"/>
      <c r="Q131" s="53">
        <f t="shared" si="23"/>
        <v>1</v>
      </c>
      <c r="R131" s="491">
        <f t="shared" si="24"/>
        <v>0</v>
      </c>
      <c r="S131" s="800">
        <f t="shared" si="15"/>
        <v>0</v>
      </c>
    </row>
    <row r="132" spans="1:19">
      <c r="A132" s="966"/>
      <c r="B132" s="136"/>
      <c r="C132" s="53">
        <f t="shared" si="16"/>
        <v>1</v>
      </c>
      <c r="D132" s="964"/>
      <c r="E132" s="53">
        <f t="shared" si="17"/>
        <v>0</v>
      </c>
      <c r="F132" s="964"/>
      <c r="G132" s="53">
        <f t="shared" si="18"/>
        <v>1</v>
      </c>
      <c r="H132" s="964"/>
      <c r="I132" s="53">
        <f t="shared" si="19"/>
        <v>1</v>
      </c>
      <c r="J132" s="964"/>
      <c r="K132" s="53">
        <f t="shared" si="20"/>
        <v>1</v>
      </c>
      <c r="L132" s="964"/>
      <c r="M132" s="53">
        <f t="shared" si="21"/>
        <v>1</v>
      </c>
      <c r="N132" s="964"/>
      <c r="O132" s="53">
        <f t="shared" si="22"/>
        <v>1</v>
      </c>
      <c r="P132" s="964"/>
      <c r="Q132" s="53">
        <f t="shared" si="23"/>
        <v>1</v>
      </c>
      <c r="R132" s="491">
        <f t="shared" si="24"/>
        <v>0</v>
      </c>
      <c r="S132" s="800">
        <f t="shared" si="15"/>
        <v>0</v>
      </c>
    </row>
    <row r="133" spans="1:19">
      <c r="A133" s="966"/>
      <c r="B133" s="136"/>
      <c r="C133" s="53">
        <f t="shared" si="16"/>
        <v>1</v>
      </c>
      <c r="D133" s="964"/>
      <c r="E133" s="53">
        <f t="shared" si="17"/>
        <v>0</v>
      </c>
      <c r="F133" s="964"/>
      <c r="G133" s="53">
        <f t="shared" si="18"/>
        <v>1</v>
      </c>
      <c r="H133" s="964"/>
      <c r="I133" s="53">
        <f t="shared" si="19"/>
        <v>1</v>
      </c>
      <c r="J133" s="964"/>
      <c r="K133" s="53">
        <f t="shared" si="20"/>
        <v>1</v>
      </c>
      <c r="L133" s="964"/>
      <c r="M133" s="53">
        <f t="shared" si="21"/>
        <v>1</v>
      </c>
      <c r="N133" s="964"/>
      <c r="O133" s="53">
        <f t="shared" si="22"/>
        <v>1</v>
      </c>
      <c r="P133" s="964"/>
      <c r="Q133" s="53">
        <f t="shared" si="23"/>
        <v>1</v>
      </c>
      <c r="R133" s="491">
        <f t="shared" si="24"/>
        <v>0</v>
      </c>
      <c r="S133" s="800">
        <f t="shared" si="15"/>
        <v>0</v>
      </c>
    </row>
    <row r="134" spans="1:19">
      <c r="A134" s="966"/>
      <c r="B134" s="136"/>
      <c r="C134" s="53">
        <f t="shared" si="16"/>
        <v>1</v>
      </c>
      <c r="D134" s="964"/>
      <c r="E134" s="53">
        <f t="shared" si="17"/>
        <v>0</v>
      </c>
      <c r="F134" s="964"/>
      <c r="G134" s="53">
        <f t="shared" si="18"/>
        <v>1</v>
      </c>
      <c r="H134" s="964"/>
      <c r="I134" s="53">
        <f t="shared" si="19"/>
        <v>1</v>
      </c>
      <c r="J134" s="964"/>
      <c r="K134" s="53">
        <f t="shared" si="20"/>
        <v>1</v>
      </c>
      <c r="L134" s="964"/>
      <c r="M134" s="53">
        <f t="shared" si="21"/>
        <v>1</v>
      </c>
      <c r="N134" s="964"/>
      <c r="O134" s="53">
        <f t="shared" si="22"/>
        <v>1</v>
      </c>
      <c r="P134" s="964"/>
      <c r="Q134" s="53">
        <f t="shared" si="23"/>
        <v>1</v>
      </c>
      <c r="R134" s="491">
        <f t="shared" si="24"/>
        <v>0</v>
      </c>
      <c r="S134" s="800">
        <f t="shared" si="15"/>
        <v>0</v>
      </c>
    </row>
    <row r="135" spans="1:19">
      <c r="A135" s="966"/>
      <c r="B135" s="136"/>
      <c r="C135" s="53">
        <f t="shared" si="16"/>
        <v>1</v>
      </c>
      <c r="D135" s="964"/>
      <c r="E135" s="53">
        <f t="shared" si="17"/>
        <v>0</v>
      </c>
      <c r="F135" s="964"/>
      <c r="G135" s="53">
        <f t="shared" si="18"/>
        <v>1</v>
      </c>
      <c r="H135" s="964"/>
      <c r="I135" s="53">
        <f t="shared" si="19"/>
        <v>1</v>
      </c>
      <c r="J135" s="964"/>
      <c r="K135" s="53">
        <f t="shared" si="20"/>
        <v>1</v>
      </c>
      <c r="L135" s="964"/>
      <c r="M135" s="53">
        <f t="shared" si="21"/>
        <v>1</v>
      </c>
      <c r="N135" s="964"/>
      <c r="O135" s="53">
        <f t="shared" si="22"/>
        <v>1</v>
      </c>
      <c r="P135" s="964"/>
      <c r="Q135" s="53">
        <f t="shared" si="23"/>
        <v>1</v>
      </c>
      <c r="R135" s="491">
        <f t="shared" si="24"/>
        <v>0</v>
      </c>
      <c r="S135" s="800">
        <f t="shared" si="15"/>
        <v>0</v>
      </c>
    </row>
    <row r="136" spans="1:19">
      <c r="A136" s="966"/>
      <c r="B136" s="136"/>
      <c r="C136" s="53">
        <f t="shared" si="16"/>
        <v>1</v>
      </c>
      <c r="D136" s="964"/>
      <c r="E136" s="53">
        <f t="shared" si="17"/>
        <v>0</v>
      </c>
      <c r="F136" s="964"/>
      <c r="G136" s="53">
        <f t="shared" si="18"/>
        <v>1</v>
      </c>
      <c r="H136" s="964"/>
      <c r="I136" s="53">
        <f t="shared" si="19"/>
        <v>1</v>
      </c>
      <c r="J136" s="964"/>
      <c r="K136" s="53">
        <f t="shared" si="20"/>
        <v>1</v>
      </c>
      <c r="L136" s="964"/>
      <c r="M136" s="53">
        <f t="shared" si="21"/>
        <v>1</v>
      </c>
      <c r="N136" s="964"/>
      <c r="O136" s="53">
        <f t="shared" si="22"/>
        <v>1</v>
      </c>
      <c r="P136" s="964"/>
      <c r="Q136" s="53">
        <f t="shared" si="23"/>
        <v>1</v>
      </c>
      <c r="R136" s="491">
        <f t="shared" si="24"/>
        <v>0</v>
      </c>
      <c r="S136" s="800">
        <f t="shared" si="15"/>
        <v>0</v>
      </c>
    </row>
    <row r="137" spans="1:19">
      <c r="A137" s="966"/>
      <c r="B137" s="136"/>
      <c r="C137" s="53">
        <f t="shared" si="16"/>
        <v>1</v>
      </c>
      <c r="D137" s="964"/>
      <c r="E137" s="53">
        <f t="shared" si="17"/>
        <v>0</v>
      </c>
      <c r="F137" s="964"/>
      <c r="G137" s="53">
        <f t="shared" si="18"/>
        <v>1</v>
      </c>
      <c r="H137" s="964"/>
      <c r="I137" s="53">
        <f t="shared" si="19"/>
        <v>1</v>
      </c>
      <c r="J137" s="964"/>
      <c r="K137" s="53">
        <f t="shared" si="20"/>
        <v>1</v>
      </c>
      <c r="L137" s="964"/>
      <c r="M137" s="53">
        <f t="shared" si="21"/>
        <v>1</v>
      </c>
      <c r="N137" s="964"/>
      <c r="O137" s="53">
        <f t="shared" si="22"/>
        <v>1</v>
      </c>
      <c r="P137" s="964"/>
      <c r="Q137" s="53">
        <f t="shared" si="23"/>
        <v>1</v>
      </c>
      <c r="R137" s="491">
        <f t="shared" si="24"/>
        <v>0</v>
      </c>
      <c r="S137" s="800">
        <f t="shared" si="15"/>
        <v>0</v>
      </c>
    </row>
    <row r="138" spans="1:19">
      <c r="A138" s="966"/>
      <c r="B138" s="136"/>
      <c r="C138" s="53">
        <f t="shared" si="16"/>
        <v>1</v>
      </c>
      <c r="D138" s="964"/>
      <c r="E138" s="53">
        <f t="shared" si="17"/>
        <v>0</v>
      </c>
      <c r="F138" s="964"/>
      <c r="G138" s="53">
        <f t="shared" si="18"/>
        <v>1</v>
      </c>
      <c r="H138" s="964"/>
      <c r="I138" s="53">
        <f t="shared" si="19"/>
        <v>1</v>
      </c>
      <c r="J138" s="964"/>
      <c r="K138" s="53">
        <f t="shared" si="20"/>
        <v>1</v>
      </c>
      <c r="L138" s="964"/>
      <c r="M138" s="53">
        <f t="shared" si="21"/>
        <v>1</v>
      </c>
      <c r="N138" s="964"/>
      <c r="O138" s="53">
        <f t="shared" si="22"/>
        <v>1</v>
      </c>
      <c r="P138" s="964"/>
      <c r="Q138" s="53">
        <f t="shared" si="23"/>
        <v>1</v>
      </c>
      <c r="R138" s="491">
        <f t="shared" si="24"/>
        <v>0</v>
      </c>
      <c r="S138" s="800">
        <f t="shared" si="15"/>
        <v>0</v>
      </c>
    </row>
    <row r="139" spans="1:19">
      <c r="A139" s="966"/>
      <c r="B139" s="136"/>
      <c r="C139" s="53">
        <f t="shared" si="16"/>
        <v>1</v>
      </c>
      <c r="D139" s="964"/>
      <c r="E139" s="53">
        <f t="shared" si="17"/>
        <v>0</v>
      </c>
      <c r="F139" s="964"/>
      <c r="G139" s="53">
        <f t="shared" si="18"/>
        <v>1</v>
      </c>
      <c r="H139" s="964"/>
      <c r="I139" s="53">
        <f t="shared" si="19"/>
        <v>1</v>
      </c>
      <c r="J139" s="964"/>
      <c r="K139" s="53">
        <f t="shared" si="20"/>
        <v>1</v>
      </c>
      <c r="L139" s="964"/>
      <c r="M139" s="53">
        <f t="shared" si="21"/>
        <v>1</v>
      </c>
      <c r="N139" s="964"/>
      <c r="O139" s="53">
        <f t="shared" si="22"/>
        <v>1</v>
      </c>
      <c r="P139" s="964"/>
      <c r="Q139" s="53">
        <f t="shared" si="23"/>
        <v>1</v>
      </c>
      <c r="R139" s="491">
        <f t="shared" si="24"/>
        <v>0</v>
      </c>
      <c r="S139" s="800">
        <f t="shared" si="15"/>
        <v>0</v>
      </c>
    </row>
    <row r="140" spans="1:19">
      <c r="A140" s="966"/>
      <c r="B140" s="136"/>
      <c r="C140" s="53">
        <f t="shared" si="16"/>
        <v>1</v>
      </c>
      <c r="D140" s="964"/>
      <c r="E140" s="53">
        <f t="shared" si="17"/>
        <v>0</v>
      </c>
      <c r="F140" s="964"/>
      <c r="G140" s="53">
        <f t="shared" si="18"/>
        <v>1</v>
      </c>
      <c r="H140" s="964"/>
      <c r="I140" s="53">
        <f t="shared" si="19"/>
        <v>1</v>
      </c>
      <c r="J140" s="964"/>
      <c r="K140" s="53">
        <f t="shared" si="20"/>
        <v>1</v>
      </c>
      <c r="L140" s="964"/>
      <c r="M140" s="53">
        <f t="shared" si="21"/>
        <v>1</v>
      </c>
      <c r="N140" s="964"/>
      <c r="O140" s="53">
        <f t="shared" si="22"/>
        <v>1</v>
      </c>
      <c r="P140" s="964"/>
      <c r="Q140" s="53">
        <f t="shared" si="23"/>
        <v>1</v>
      </c>
      <c r="R140" s="491">
        <f t="shared" si="24"/>
        <v>0</v>
      </c>
      <c r="S140" s="800">
        <f t="shared" si="15"/>
        <v>0</v>
      </c>
    </row>
    <row r="141" spans="1:19">
      <c r="A141" s="966"/>
      <c r="B141" s="136"/>
      <c r="C141" s="53">
        <f t="shared" si="16"/>
        <v>1</v>
      </c>
      <c r="D141" s="964"/>
      <c r="E141" s="53">
        <f t="shared" si="17"/>
        <v>0</v>
      </c>
      <c r="F141" s="964"/>
      <c r="G141" s="53">
        <f t="shared" si="18"/>
        <v>1</v>
      </c>
      <c r="H141" s="964"/>
      <c r="I141" s="53">
        <f t="shared" si="19"/>
        <v>1</v>
      </c>
      <c r="J141" s="964"/>
      <c r="K141" s="53">
        <f t="shared" si="20"/>
        <v>1</v>
      </c>
      <c r="L141" s="964"/>
      <c r="M141" s="53">
        <f t="shared" si="21"/>
        <v>1</v>
      </c>
      <c r="N141" s="964"/>
      <c r="O141" s="53">
        <f t="shared" si="22"/>
        <v>1</v>
      </c>
      <c r="P141" s="964"/>
      <c r="Q141" s="53">
        <f t="shared" si="23"/>
        <v>1</v>
      </c>
      <c r="R141" s="491">
        <f t="shared" si="24"/>
        <v>0</v>
      </c>
      <c r="S141" s="800">
        <f t="shared" si="15"/>
        <v>0</v>
      </c>
    </row>
    <row r="142" spans="1:19">
      <c r="A142" s="966"/>
      <c r="B142" s="136"/>
      <c r="C142" s="53">
        <f t="shared" si="16"/>
        <v>1</v>
      </c>
      <c r="D142" s="964"/>
      <c r="E142" s="53">
        <f t="shared" si="17"/>
        <v>0</v>
      </c>
      <c r="F142" s="964"/>
      <c r="G142" s="53">
        <f t="shared" si="18"/>
        <v>1</v>
      </c>
      <c r="H142" s="964"/>
      <c r="I142" s="53">
        <f t="shared" si="19"/>
        <v>1</v>
      </c>
      <c r="J142" s="964"/>
      <c r="K142" s="53">
        <f t="shared" si="20"/>
        <v>1</v>
      </c>
      <c r="L142" s="964"/>
      <c r="M142" s="53">
        <f t="shared" si="21"/>
        <v>1</v>
      </c>
      <c r="N142" s="964"/>
      <c r="O142" s="53">
        <f t="shared" si="22"/>
        <v>1</v>
      </c>
      <c r="P142" s="964"/>
      <c r="Q142" s="53">
        <f t="shared" si="23"/>
        <v>1</v>
      </c>
      <c r="R142" s="491">
        <f t="shared" si="24"/>
        <v>0</v>
      </c>
      <c r="S142" s="800">
        <f t="shared" si="15"/>
        <v>0</v>
      </c>
    </row>
    <row r="143" spans="1:19">
      <c r="A143" s="966"/>
      <c r="B143" s="136"/>
      <c r="C143" s="53">
        <f t="shared" si="16"/>
        <v>1</v>
      </c>
      <c r="D143" s="964"/>
      <c r="E143" s="53">
        <f t="shared" si="17"/>
        <v>0</v>
      </c>
      <c r="F143" s="964"/>
      <c r="G143" s="53">
        <f t="shared" si="18"/>
        <v>1</v>
      </c>
      <c r="H143" s="964"/>
      <c r="I143" s="53">
        <f t="shared" si="19"/>
        <v>1</v>
      </c>
      <c r="J143" s="964"/>
      <c r="K143" s="53">
        <f t="shared" si="20"/>
        <v>1</v>
      </c>
      <c r="L143" s="964"/>
      <c r="M143" s="53">
        <f t="shared" si="21"/>
        <v>1</v>
      </c>
      <c r="N143" s="964"/>
      <c r="O143" s="53">
        <f t="shared" si="22"/>
        <v>1</v>
      </c>
      <c r="P143" s="964"/>
      <c r="Q143" s="53">
        <f t="shared" si="23"/>
        <v>1</v>
      </c>
      <c r="R143" s="491">
        <f t="shared" si="24"/>
        <v>0</v>
      </c>
      <c r="S143" s="800">
        <f t="shared" si="15"/>
        <v>0</v>
      </c>
    </row>
    <row r="144" spans="1:19">
      <c r="A144" s="966"/>
      <c r="B144" s="136"/>
      <c r="C144" s="53">
        <f t="shared" si="16"/>
        <v>1</v>
      </c>
      <c r="D144" s="964"/>
      <c r="E144" s="53">
        <f t="shared" si="17"/>
        <v>0</v>
      </c>
      <c r="F144" s="964"/>
      <c r="G144" s="53">
        <f t="shared" si="18"/>
        <v>1</v>
      </c>
      <c r="H144" s="964"/>
      <c r="I144" s="53">
        <f t="shared" si="19"/>
        <v>1</v>
      </c>
      <c r="J144" s="964"/>
      <c r="K144" s="53">
        <f t="shared" si="20"/>
        <v>1</v>
      </c>
      <c r="L144" s="964"/>
      <c r="M144" s="53">
        <f t="shared" si="21"/>
        <v>1</v>
      </c>
      <c r="N144" s="964"/>
      <c r="O144" s="53">
        <f t="shared" si="22"/>
        <v>1</v>
      </c>
      <c r="P144" s="964"/>
      <c r="Q144" s="53">
        <f t="shared" si="23"/>
        <v>1</v>
      </c>
      <c r="R144" s="491">
        <f t="shared" si="24"/>
        <v>0</v>
      </c>
      <c r="S144" s="800">
        <f t="shared" si="15"/>
        <v>0</v>
      </c>
    </row>
    <row r="145" spans="1:19">
      <c r="A145" s="966"/>
      <c r="B145" s="136"/>
      <c r="C145" s="53">
        <f t="shared" si="16"/>
        <v>1</v>
      </c>
      <c r="D145" s="964"/>
      <c r="E145" s="53">
        <f t="shared" si="17"/>
        <v>0</v>
      </c>
      <c r="F145" s="964"/>
      <c r="G145" s="53">
        <f t="shared" si="18"/>
        <v>1</v>
      </c>
      <c r="H145" s="964"/>
      <c r="I145" s="53">
        <f t="shared" si="19"/>
        <v>1</v>
      </c>
      <c r="J145" s="964"/>
      <c r="K145" s="53">
        <f t="shared" si="20"/>
        <v>1</v>
      </c>
      <c r="L145" s="964"/>
      <c r="M145" s="53">
        <f t="shared" si="21"/>
        <v>1</v>
      </c>
      <c r="N145" s="964"/>
      <c r="O145" s="53">
        <f t="shared" si="22"/>
        <v>1</v>
      </c>
      <c r="P145" s="964"/>
      <c r="Q145" s="53">
        <f t="shared" si="23"/>
        <v>1</v>
      </c>
      <c r="R145" s="491">
        <f t="shared" si="24"/>
        <v>0</v>
      </c>
      <c r="S145" s="800">
        <f t="shared" si="15"/>
        <v>0</v>
      </c>
    </row>
    <row r="146" spans="1:19">
      <c r="A146" s="966"/>
      <c r="B146" s="136"/>
      <c r="C146" s="53">
        <f t="shared" si="16"/>
        <v>1</v>
      </c>
      <c r="D146" s="964"/>
      <c r="E146" s="53">
        <f t="shared" si="17"/>
        <v>0</v>
      </c>
      <c r="F146" s="964"/>
      <c r="G146" s="53">
        <f t="shared" si="18"/>
        <v>1</v>
      </c>
      <c r="H146" s="964"/>
      <c r="I146" s="53">
        <f t="shared" si="19"/>
        <v>1</v>
      </c>
      <c r="J146" s="964"/>
      <c r="K146" s="53">
        <f t="shared" si="20"/>
        <v>1</v>
      </c>
      <c r="L146" s="964"/>
      <c r="M146" s="53">
        <f t="shared" si="21"/>
        <v>1</v>
      </c>
      <c r="N146" s="964"/>
      <c r="O146" s="53">
        <f t="shared" si="22"/>
        <v>1</v>
      </c>
      <c r="P146" s="964"/>
      <c r="Q146" s="53">
        <f t="shared" si="23"/>
        <v>1</v>
      </c>
      <c r="R146" s="491">
        <f t="shared" si="24"/>
        <v>0</v>
      </c>
      <c r="S146" s="800">
        <f t="shared" si="15"/>
        <v>0</v>
      </c>
    </row>
    <row r="147" spans="1:19">
      <c r="A147" s="966"/>
      <c r="B147" s="136"/>
      <c r="C147" s="53">
        <f t="shared" si="16"/>
        <v>1</v>
      </c>
      <c r="D147" s="964"/>
      <c r="E147" s="53">
        <f t="shared" si="17"/>
        <v>0</v>
      </c>
      <c r="F147" s="964"/>
      <c r="G147" s="53">
        <f t="shared" si="18"/>
        <v>1</v>
      </c>
      <c r="H147" s="964"/>
      <c r="I147" s="53">
        <f t="shared" si="19"/>
        <v>1</v>
      </c>
      <c r="J147" s="964"/>
      <c r="K147" s="53">
        <f t="shared" si="20"/>
        <v>1</v>
      </c>
      <c r="L147" s="964"/>
      <c r="M147" s="53">
        <f t="shared" si="21"/>
        <v>1</v>
      </c>
      <c r="N147" s="964"/>
      <c r="O147" s="53">
        <f t="shared" si="22"/>
        <v>1</v>
      </c>
      <c r="P147" s="964"/>
      <c r="Q147" s="53">
        <f t="shared" si="23"/>
        <v>1</v>
      </c>
      <c r="R147" s="491">
        <f t="shared" si="24"/>
        <v>0</v>
      </c>
      <c r="S147" s="800">
        <f t="shared" si="15"/>
        <v>0</v>
      </c>
    </row>
    <row r="148" spans="1:19">
      <c r="A148" s="966"/>
      <c r="B148" s="136"/>
      <c r="C148" s="53">
        <f t="shared" si="16"/>
        <v>1</v>
      </c>
      <c r="D148" s="964"/>
      <c r="E148" s="53">
        <f t="shared" si="17"/>
        <v>0</v>
      </c>
      <c r="F148" s="964"/>
      <c r="G148" s="53">
        <f t="shared" si="18"/>
        <v>1</v>
      </c>
      <c r="H148" s="964"/>
      <c r="I148" s="53">
        <f t="shared" si="19"/>
        <v>1</v>
      </c>
      <c r="J148" s="964"/>
      <c r="K148" s="53">
        <f t="shared" si="20"/>
        <v>1</v>
      </c>
      <c r="L148" s="964"/>
      <c r="M148" s="53">
        <f t="shared" si="21"/>
        <v>1</v>
      </c>
      <c r="N148" s="964"/>
      <c r="O148" s="53">
        <f t="shared" si="22"/>
        <v>1</v>
      </c>
      <c r="P148" s="964"/>
      <c r="Q148" s="53">
        <f t="shared" si="23"/>
        <v>1</v>
      </c>
      <c r="R148" s="491">
        <f t="shared" si="24"/>
        <v>0</v>
      </c>
      <c r="S148" s="800">
        <f t="shared" si="15"/>
        <v>0</v>
      </c>
    </row>
    <row r="149" spans="1:19">
      <c r="A149" s="966"/>
      <c r="B149" s="136"/>
      <c r="C149" s="53">
        <f t="shared" si="16"/>
        <v>1</v>
      </c>
      <c r="D149" s="964"/>
      <c r="E149" s="53">
        <f t="shared" si="17"/>
        <v>0</v>
      </c>
      <c r="F149" s="964"/>
      <c r="G149" s="53">
        <f t="shared" si="18"/>
        <v>1</v>
      </c>
      <c r="H149" s="964"/>
      <c r="I149" s="53">
        <f t="shared" si="19"/>
        <v>1</v>
      </c>
      <c r="J149" s="964"/>
      <c r="K149" s="53">
        <f t="shared" si="20"/>
        <v>1</v>
      </c>
      <c r="L149" s="964"/>
      <c r="M149" s="53">
        <f t="shared" si="21"/>
        <v>1</v>
      </c>
      <c r="N149" s="964"/>
      <c r="O149" s="53">
        <f t="shared" si="22"/>
        <v>1</v>
      </c>
      <c r="P149" s="964"/>
      <c r="Q149" s="53">
        <f t="shared" si="23"/>
        <v>1</v>
      </c>
      <c r="R149" s="491">
        <f t="shared" si="24"/>
        <v>0</v>
      </c>
      <c r="S149" s="800">
        <f t="shared" si="15"/>
        <v>0</v>
      </c>
    </row>
    <row r="150" spans="1:19">
      <c r="A150" s="966"/>
      <c r="B150" s="136"/>
      <c r="C150" s="53">
        <f t="shared" si="16"/>
        <v>1</v>
      </c>
      <c r="D150" s="964"/>
      <c r="E150" s="53">
        <f t="shared" si="17"/>
        <v>0</v>
      </c>
      <c r="F150" s="964"/>
      <c r="G150" s="53">
        <f t="shared" si="18"/>
        <v>1</v>
      </c>
      <c r="H150" s="964"/>
      <c r="I150" s="53">
        <f t="shared" si="19"/>
        <v>1</v>
      </c>
      <c r="J150" s="964"/>
      <c r="K150" s="53">
        <f t="shared" si="20"/>
        <v>1</v>
      </c>
      <c r="L150" s="964"/>
      <c r="M150" s="53">
        <f t="shared" si="21"/>
        <v>1</v>
      </c>
      <c r="N150" s="964"/>
      <c r="O150" s="53">
        <f t="shared" si="22"/>
        <v>1</v>
      </c>
      <c r="P150" s="964"/>
      <c r="Q150" s="53">
        <f t="shared" si="23"/>
        <v>1</v>
      </c>
      <c r="R150" s="491">
        <f t="shared" si="24"/>
        <v>0</v>
      </c>
      <c r="S150" s="800">
        <f t="shared" si="15"/>
        <v>0</v>
      </c>
    </row>
    <row r="151" spans="1:19">
      <c r="A151" s="966"/>
      <c r="B151" s="136"/>
      <c r="C151" s="53">
        <f t="shared" si="16"/>
        <v>1</v>
      </c>
      <c r="D151" s="964"/>
      <c r="E151" s="53">
        <f t="shared" si="17"/>
        <v>0</v>
      </c>
      <c r="F151" s="964"/>
      <c r="G151" s="53">
        <f t="shared" si="18"/>
        <v>1</v>
      </c>
      <c r="H151" s="964"/>
      <c r="I151" s="53">
        <f t="shared" si="19"/>
        <v>1</v>
      </c>
      <c r="J151" s="964"/>
      <c r="K151" s="53">
        <f t="shared" si="20"/>
        <v>1</v>
      </c>
      <c r="L151" s="964"/>
      <c r="M151" s="53">
        <f t="shared" si="21"/>
        <v>1</v>
      </c>
      <c r="N151" s="964"/>
      <c r="O151" s="53">
        <f t="shared" si="22"/>
        <v>1</v>
      </c>
      <c r="P151" s="964"/>
      <c r="Q151" s="53">
        <f t="shared" si="23"/>
        <v>1</v>
      </c>
      <c r="R151" s="491">
        <f t="shared" si="24"/>
        <v>0</v>
      </c>
      <c r="S151" s="800">
        <f t="shared" si="15"/>
        <v>0</v>
      </c>
    </row>
    <row r="152" spans="1:19">
      <c r="A152" s="966"/>
      <c r="B152" s="136"/>
      <c r="C152" s="53">
        <f t="shared" si="16"/>
        <v>1</v>
      </c>
      <c r="D152" s="964"/>
      <c r="E152" s="53">
        <f t="shared" si="17"/>
        <v>0</v>
      </c>
      <c r="F152" s="964"/>
      <c r="G152" s="53">
        <f t="shared" si="18"/>
        <v>1</v>
      </c>
      <c r="H152" s="964"/>
      <c r="I152" s="53">
        <f t="shared" si="19"/>
        <v>1</v>
      </c>
      <c r="J152" s="964"/>
      <c r="K152" s="53">
        <f t="shared" si="20"/>
        <v>1</v>
      </c>
      <c r="L152" s="964"/>
      <c r="M152" s="53">
        <f t="shared" si="21"/>
        <v>1</v>
      </c>
      <c r="N152" s="964"/>
      <c r="O152" s="53">
        <f t="shared" si="22"/>
        <v>1</v>
      </c>
      <c r="P152" s="964"/>
      <c r="Q152" s="53">
        <f t="shared" si="23"/>
        <v>1</v>
      </c>
      <c r="R152" s="491">
        <f t="shared" si="24"/>
        <v>0</v>
      </c>
      <c r="S152" s="800">
        <f t="shared" ref="S152:S215" si="25">ROUND(R152*B152/10000,0)</f>
        <v>0</v>
      </c>
    </row>
    <row r="153" spans="1:19">
      <c r="A153" s="966"/>
      <c r="B153" s="136"/>
      <c r="C153" s="53">
        <f t="shared" si="16"/>
        <v>1</v>
      </c>
      <c r="D153" s="964"/>
      <c r="E153" s="53">
        <f t="shared" si="17"/>
        <v>0</v>
      </c>
      <c r="F153" s="964"/>
      <c r="G153" s="53">
        <f t="shared" si="18"/>
        <v>1</v>
      </c>
      <c r="H153" s="964"/>
      <c r="I153" s="53">
        <f t="shared" si="19"/>
        <v>1</v>
      </c>
      <c r="J153" s="964"/>
      <c r="K153" s="53">
        <f t="shared" si="20"/>
        <v>1</v>
      </c>
      <c r="L153" s="964"/>
      <c r="M153" s="53">
        <f t="shared" si="21"/>
        <v>1</v>
      </c>
      <c r="N153" s="964"/>
      <c r="O153" s="53">
        <f t="shared" si="22"/>
        <v>1</v>
      </c>
      <c r="P153" s="964"/>
      <c r="Q153" s="53">
        <f t="shared" si="23"/>
        <v>1</v>
      </c>
      <c r="R153" s="491">
        <f t="shared" si="24"/>
        <v>0</v>
      </c>
      <c r="S153" s="800">
        <f t="shared" si="25"/>
        <v>0</v>
      </c>
    </row>
    <row r="154" spans="1:19">
      <c r="A154" s="966"/>
      <c r="B154" s="136"/>
      <c r="C154" s="53">
        <f t="shared" ref="C154:C217" si="26">IF(B154="",1,(LOOKUP(B154,$3:$3,$4:$4)-LOOKUP($B$24,$3:$3,$4:$4)+100)/100)</f>
        <v>1</v>
      </c>
      <c r="D154" s="964"/>
      <c r="E154" s="53">
        <f t="shared" ref="E154:E217" si="27">(SUMIF($5:$5,D154,$6:$6)-SUMIF($5:$5,$D$24,$6:$6)+100)/100</f>
        <v>0</v>
      </c>
      <c r="F154" s="964"/>
      <c r="G154" s="53">
        <f t="shared" ref="G154:G217" si="28">(SUMIF($7:$7,F154,$8:$8)-SUMIF($7:$7,$F$24,$8:$8)+100)/100</f>
        <v>1</v>
      </c>
      <c r="H154" s="964"/>
      <c r="I154" s="53">
        <f t="shared" ref="I154:I217" si="29">(SUMIF($9:$9,H154,$10:$10)-SUMIF($9:$9,$H$24,$10:$10)+100)/100</f>
        <v>1</v>
      </c>
      <c r="J154" s="964"/>
      <c r="K154" s="53">
        <f t="shared" ref="K154:K217" si="30">(SUMIF($11:$11,J154,$12:$12)-SUMIF($11:$11,$J$24,$12:$12)+100)/100</f>
        <v>1</v>
      </c>
      <c r="L154" s="964"/>
      <c r="M154" s="53">
        <f t="shared" ref="M154:M217" si="31">(SUMIF($13:$13,L154,$14:$14)-SUMIF($13:$13,$L$24,$14:$14)+100)/100</f>
        <v>1</v>
      </c>
      <c r="N154" s="964"/>
      <c r="O154" s="53">
        <f t="shared" ref="O154:O217" si="32">(SUMIF($15:$15,N154,$16:$16)-SUMIF($15:$15,$N$24,$16:$16)+100)/100</f>
        <v>1</v>
      </c>
      <c r="P154" s="964"/>
      <c r="Q154" s="53">
        <f t="shared" ref="Q154:Q217" si="33">(SUMIF($17:$17,P154,$18:$18)-SUMIF($17:$17,$P$24,$18:$18)+100)/100</f>
        <v>1</v>
      </c>
      <c r="R154" s="491">
        <f t="shared" ref="R154:R217" si="34">IF(B154="",0,ROUND($R$24*C154*E154*G154*I154*K154*M154*O154*Q154,0))</f>
        <v>0</v>
      </c>
      <c r="S154" s="800">
        <f t="shared" si="25"/>
        <v>0</v>
      </c>
    </row>
    <row r="155" spans="1:19">
      <c r="A155" s="966"/>
      <c r="B155" s="136"/>
      <c r="C155" s="53">
        <f t="shared" si="26"/>
        <v>1</v>
      </c>
      <c r="D155" s="964"/>
      <c r="E155" s="53">
        <f t="shared" si="27"/>
        <v>0</v>
      </c>
      <c r="F155" s="964"/>
      <c r="G155" s="53">
        <f t="shared" si="28"/>
        <v>1</v>
      </c>
      <c r="H155" s="964"/>
      <c r="I155" s="53">
        <f t="shared" si="29"/>
        <v>1</v>
      </c>
      <c r="J155" s="964"/>
      <c r="K155" s="53">
        <f t="shared" si="30"/>
        <v>1</v>
      </c>
      <c r="L155" s="964"/>
      <c r="M155" s="53">
        <f t="shared" si="31"/>
        <v>1</v>
      </c>
      <c r="N155" s="964"/>
      <c r="O155" s="53">
        <f t="shared" si="32"/>
        <v>1</v>
      </c>
      <c r="P155" s="964"/>
      <c r="Q155" s="53">
        <f t="shared" si="33"/>
        <v>1</v>
      </c>
      <c r="R155" s="491">
        <f t="shared" si="34"/>
        <v>0</v>
      </c>
      <c r="S155" s="800">
        <f t="shared" si="25"/>
        <v>0</v>
      </c>
    </row>
    <row r="156" spans="1:19">
      <c r="A156" s="966"/>
      <c r="B156" s="136"/>
      <c r="C156" s="53">
        <f t="shared" si="26"/>
        <v>1</v>
      </c>
      <c r="D156" s="964"/>
      <c r="E156" s="53">
        <f t="shared" si="27"/>
        <v>0</v>
      </c>
      <c r="F156" s="964"/>
      <c r="G156" s="53">
        <f t="shared" si="28"/>
        <v>1</v>
      </c>
      <c r="H156" s="964"/>
      <c r="I156" s="53">
        <f t="shared" si="29"/>
        <v>1</v>
      </c>
      <c r="J156" s="964"/>
      <c r="K156" s="53">
        <f t="shared" si="30"/>
        <v>1</v>
      </c>
      <c r="L156" s="964"/>
      <c r="M156" s="53">
        <f t="shared" si="31"/>
        <v>1</v>
      </c>
      <c r="N156" s="964"/>
      <c r="O156" s="53">
        <f t="shared" si="32"/>
        <v>1</v>
      </c>
      <c r="P156" s="964"/>
      <c r="Q156" s="53">
        <f t="shared" si="33"/>
        <v>1</v>
      </c>
      <c r="R156" s="491">
        <f t="shared" si="34"/>
        <v>0</v>
      </c>
      <c r="S156" s="800">
        <f t="shared" si="25"/>
        <v>0</v>
      </c>
    </row>
    <row r="157" spans="1:19">
      <c r="A157" s="966"/>
      <c r="B157" s="136"/>
      <c r="C157" s="53">
        <f t="shared" si="26"/>
        <v>1</v>
      </c>
      <c r="D157" s="964"/>
      <c r="E157" s="53">
        <f t="shared" si="27"/>
        <v>0</v>
      </c>
      <c r="F157" s="964"/>
      <c r="G157" s="53">
        <f t="shared" si="28"/>
        <v>1</v>
      </c>
      <c r="H157" s="964"/>
      <c r="I157" s="53">
        <f t="shared" si="29"/>
        <v>1</v>
      </c>
      <c r="J157" s="964"/>
      <c r="K157" s="53">
        <f t="shared" si="30"/>
        <v>1</v>
      </c>
      <c r="L157" s="964"/>
      <c r="M157" s="53">
        <f t="shared" si="31"/>
        <v>1</v>
      </c>
      <c r="N157" s="964"/>
      <c r="O157" s="53">
        <f t="shared" si="32"/>
        <v>1</v>
      </c>
      <c r="P157" s="964"/>
      <c r="Q157" s="53">
        <f t="shared" si="33"/>
        <v>1</v>
      </c>
      <c r="R157" s="491">
        <f t="shared" si="34"/>
        <v>0</v>
      </c>
      <c r="S157" s="800">
        <f t="shared" si="25"/>
        <v>0</v>
      </c>
    </row>
    <row r="158" spans="1:19">
      <c r="A158" s="966"/>
      <c r="B158" s="136"/>
      <c r="C158" s="53">
        <f t="shared" si="26"/>
        <v>1</v>
      </c>
      <c r="D158" s="964"/>
      <c r="E158" s="53">
        <f t="shared" si="27"/>
        <v>0</v>
      </c>
      <c r="F158" s="964"/>
      <c r="G158" s="53">
        <f t="shared" si="28"/>
        <v>1</v>
      </c>
      <c r="H158" s="964"/>
      <c r="I158" s="53">
        <f t="shared" si="29"/>
        <v>1</v>
      </c>
      <c r="J158" s="964"/>
      <c r="K158" s="53">
        <f t="shared" si="30"/>
        <v>1</v>
      </c>
      <c r="L158" s="964"/>
      <c r="M158" s="53">
        <f t="shared" si="31"/>
        <v>1</v>
      </c>
      <c r="N158" s="964"/>
      <c r="O158" s="53">
        <f t="shared" si="32"/>
        <v>1</v>
      </c>
      <c r="P158" s="964"/>
      <c r="Q158" s="53">
        <f t="shared" si="33"/>
        <v>1</v>
      </c>
      <c r="R158" s="491">
        <f t="shared" si="34"/>
        <v>0</v>
      </c>
      <c r="S158" s="800">
        <f t="shared" si="25"/>
        <v>0</v>
      </c>
    </row>
    <row r="159" spans="1:19">
      <c r="A159" s="966"/>
      <c r="B159" s="136"/>
      <c r="C159" s="53">
        <f t="shared" si="26"/>
        <v>1</v>
      </c>
      <c r="D159" s="964"/>
      <c r="E159" s="53">
        <f t="shared" si="27"/>
        <v>0</v>
      </c>
      <c r="F159" s="964"/>
      <c r="G159" s="53">
        <f t="shared" si="28"/>
        <v>1</v>
      </c>
      <c r="H159" s="964"/>
      <c r="I159" s="53">
        <f t="shared" si="29"/>
        <v>1</v>
      </c>
      <c r="J159" s="964"/>
      <c r="K159" s="53">
        <f t="shared" si="30"/>
        <v>1</v>
      </c>
      <c r="L159" s="964"/>
      <c r="M159" s="53">
        <f t="shared" si="31"/>
        <v>1</v>
      </c>
      <c r="N159" s="964"/>
      <c r="O159" s="53">
        <f t="shared" si="32"/>
        <v>1</v>
      </c>
      <c r="P159" s="964"/>
      <c r="Q159" s="53">
        <f t="shared" si="33"/>
        <v>1</v>
      </c>
      <c r="R159" s="491">
        <f t="shared" si="34"/>
        <v>0</v>
      </c>
      <c r="S159" s="800">
        <f t="shared" si="25"/>
        <v>0</v>
      </c>
    </row>
    <row r="160" spans="1:19">
      <c r="A160" s="966"/>
      <c r="B160" s="136"/>
      <c r="C160" s="53">
        <f t="shared" si="26"/>
        <v>1</v>
      </c>
      <c r="D160" s="964"/>
      <c r="E160" s="53">
        <f t="shared" si="27"/>
        <v>0</v>
      </c>
      <c r="F160" s="964"/>
      <c r="G160" s="53">
        <f t="shared" si="28"/>
        <v>1</v>
      </c>
      <c r="H160" s="964"/>
      <c r="I160" s="53">
        <f t="shared" si="29"/>
        <v>1</v>
      </c>
      <c r="J160" s="964"/>
      <c r="K160" s="53">
        <f t="shared" si="30"/>
        <v>1</v>
      </c>
      <c r="L160" s="964"/>
      <c r="M160" s="53">
        <f t="shared" si="31"/>
        <v>1</v>
      </c>
      <c r="N160" s="964"/>
      <c r="O160" s="53">
        <f t="shared" si="32"/>
        <v>1</v>
      </c>
      <c r="P160" s="964"/>
      <c r="Q160" s="53">
        <f t="shared" si="33"/>
        <v>1</v>
      </c>
      <c r="R160" s="491">
        <f t="shared" si="34"/>
        <v>0</v>
      </c>
      <c r="S160" s="800">
        <f t="shared" si="25"/>
        <v>0</v>
      </c>
    </row>
    <row r="161" spans="1:19">
      <c r="A161" s="966"/>
      <c r="B161" s="136"/>
      <c r="C161" s="53">
        <f t="shared" si="26"/>
        <v>1</v>
      </c>
      <c r="D161" s="964"/>
      <c r="E161" s="53">
        <f t="shared" si="27"/>
        <v>0</v>
      </c>
      <c r="F161" s="964"/>
      <c r="G161" s="53">
        <f t="shared" si="28"/>
        <v>1</v>
      </c>
      <c r="H161" s="964"/>
      <c r="I161" s="53">
        <f t="shared" si="29"/>
        <v>1</v>
      </c>
      <c r="J161" s="964"/>
      <c r="K161" s="53">
        <f t="shared" si="30"/>
        <v>1</v>
      </c>
      <c r="L161" s="964"/>
      <c r="M161" s="53">
        <f t="shared" si="31"/>
        <v>1</v>
      </c>
      <c r="N161" s="964"/>
      <c r="O161" s="53">
        <f t="shared" si="32"/>
        <v>1</v>
      </c>
      <c r="P161" s="964"/>
      <c r="Q161" s="53">
        <f t="shared" si="33"/>
        <v>1</v>
      </c>
      <c r="R161" s="491">
        <f t="shared" si="34"/>
        <v>0</v>
      </c>
      <c r="S161" s="800">
        <f t="shared" si="25"/>
        <v>0</v>
      </c>
    </row>
    <row r="162" spans="1:19">
      <c r="A162" s="966"/>
      <c r="B162" s="136"/>
      <c r="C162" s="53">
        <f t="shared" si="26"/>
        <v>1</v>
      </c>
      <c r="D162" s="964"/>
      <c r="E162" s="53">
        <f t="shared" si="27"/>
        <v>0</v>
      </c>
      <c r="F162" s="964"/>
      <c r="G162" s="53">
        <f t="shared" si="28"/>
        <v>1</v>
      </c>
      <c r="H162" s="964"/>
      <c r="I162" s="53">
        <f t="shared" si="29"/>
        <v>1</v>
      </c>
      <c r="J162" s="964"/>
      <c r="K162" s="53">
        <f t="shared" si="30"/>
        <v>1</v>
      </c>
      <c r="L162" s="964"/>
      <c r="M162" s="53">
        <f t="shared" si="31"/>
        <v>1</v>
      </c>
      <c r="N162" s="964"/>
      <c r="O162" s="53">
        <f t="shared" si="32"/>
        <v>1</v>
      </c>
      <c r="P162" s="964"/>
      <c r="Q162" s="53">
        <f t="shared" si="33"/>
        <v>1</v>
      </c>
      <c r="R162" s="491">
        <f t="shared" si="34"/>
        <v>0</v>
      </c>
      <c r="S162" s="800">
        <f t="shared" si="25"/>
        <v>0</v>
      </c>
    </row>
    <row r="163" spans="1:19">
      <c r="A163" s="966"/>
      <c r="B163" s="136"/>
      <c r="C163" s="53">
        <f t="shared" si="26"/>
        <v>1</v>
      </c>
      <c r="D163" s="964"/>
      <c r="E163" s="53">
        <f t="shared" si="27"/>
        <v>0</v>
      </c>
      <c r="F163" s="964"/>
      <c r="G163" s="53">
        <f t="shared" si="28"/>
        <v>1</v>
      </c>
      <c r="H163" s="964"/>
      <c r="I163" s="53">
        <f t="shared" si="29"/>
        <v>1</v>
      </c>
      <c r="J163" s="964"/>
      <c r="K163" s="53">
        <f t="shared" si="30"/>
        <v>1</v>
      </c>
      <c r="L163" s="964"/>
      <c r="M163" s="53">
        <f t="shared" si="31"/>
        <v>1</v>
      </c>
      <c r="N163" s="964"/>
      <c r="O163" s="53">
        <f t="shared" si="32"/>
        <v>1</v>
      </c>
      <c r="P163" s="964"/>
      <c r="Q163" s="53">
        <f t="shared" si="33"/>
        <v>1</v>
      </c>
      <c r="R163" s="491">
        <f t="shared" si="34"/>
        <v>0</v>
      </c>
      <c r="S163" s="800">
        <f t="shared" si="25"/>
        <v>0</v>
      </c>
    </row>
    <row r="164" spans="1:19">
      <c r="A164" s="966"/>
      <c r="B164" s="136"/>
      <c r="C164" s="53">
        <f t="shared" si="26"/>
        <v>1</v>
      </c>
      <c r="D164" s="964"/>
      <c r="E164" s="53">
        <f t="shared" si="27"/>
        <v>0</v>
      </c>
      <c r="F164" s="964"/>
      <c r="G164" s="53">
        <f t="shared" si="28"/>
        <v>1</v>
      </c>
      <c r="H164" s="964"/>
      <c r="I164" s="53">
        <f t="shared" si="29"/>
        <v>1</v>
      </c>
      <c r="J164" s="964"/>
      <c r="K164" s="53">
        <f t="shared" si="30"/>
        <v>1</v>
      </c>
      <c r="L164" s="964"/>
      <c r="M164" s="53">
        <f t="shared" si="31"/>
        <v>1</v>
      </c>
      <c r="N164" s="964"/>
      <c r="O164" s="53">
        <f t="shared" si="32"/>
        <v>1</v>
      </c>
      <c r="P164" s="964"/>
      <c r="Q164" s="53">
        <f t="shared" si="33"/>
        <v>1</v>
      </c>
      <c r="R164" s="491">
        <f t="shared" si="34"/>
        <v>0</v>
      </c>
      <c r="S164" s="800">
        <f t="shared" si="25"/>
        <v>0</v>
      </c>
    </row>
    <row r="165" spans="1:19">
      <c r="A165" s="966"/>
      <c r="B165" s="136"/>
      <c r="C165" s="53">
        <f t="shared" si="26"/>
        <v>1</v>
      </c>
      <c r="D165" s="964"/>
      <c r="E165" s="53">
        <f t="shared" si="27"/>
        <v>0</v>
      </c>
      <c r="F165" s="964"/>
      <c r="G165" s="53">
        <f t="shared" si="28"/>
        <v>1</v>
      </c>
      <c r="H165" s="964"/>
      <c r="I165" s="53">
        <f t="shared" si="29"/>
        <v>1</v>
      </c>
      <c r="J165" s="964"/>
      <c r="K165" s="53">
        <f t="shared" si="30"/>
        <v>1</v>
      </c>
      <c r="L165" s="964"/>
      <c r="M165" s="53">
        <f t="shared" si="31"/>
        <v>1</v>
      </c>
      <c r="N165" s="964"/>
      <c r="O165" s="53">
        <f t="shared" si="32"/>
        <v>1</v>
      </c>
      <c r="P165" s="964"/>
      <c r="Q165" s="53">
        <f t="shared" si="33"/>
        <v>1</v>
      </c>
      <c r="R165" s="491">
        <f t="shared" si="34"/>
        <v>0</v>
      </c>
      <c r="S165" s="800">
        <f t="shared" si="25"/>
        <v>0</v>
      </c>
    </row>
    <row r="166" spans="1:19">
      <c r="A166" s="966"/>
      <c r="B166" s="136"/>
      <c r="C166" s="53">
        <f t="shared" si="26"/>
        <v>1</v>
      </c>
      <c r="D166" s="964"/>
      <c r="E166" s="53">
        <f t="shared" si="27"/>
        <v>0</v>
      </c>
      <c r="F166" s="964"/>
      <c r="G166" s="53">
        <f t="shared" si="28"/>
        <v>1</v>
      </c>
      <c r="H166" s="964"/>
      <c r="I166" s="53">
        <f t="shared" si="29"/>
        <v>1</v>
      </c>
      <c r="J166" s="964"/>
      <c r="K166" s="53">
        <f t="shared" si="30"/>
        <v>1</v>
      </c>
      <c r="L166" s="964"/>
      <c r="M166" s="53">
        <f t="shared" si="31"/>
        <v>1</v>
      </c>
      <c r="N166" s="964"/>
      <c r="O166" s="53">
        <f t="shared" si="32"/>
        <v>1</v>
      </c>
      <c r="P166" s="964"/>
      <c r="Q166" s="53">
        <f t="shared" si="33"/>
        <v>1</v>
      </c>
      <c r="R166" s="491">
        <f t="shared" si="34"/>
        <v>0</v>
      </c>
      <c r="S166" s="800">
        <f t="shared" si="25"/>
        <v>0</v>
      </c>
    </row>
    <row r="167" spans="1:19">
      <c r="A167" s="966"/>
      <c r="B167" s="136"/>
      <c r="C167" s="53">
        <f t="shared" si="26"/>
        <v>1</v>
      </c>
      <c r="D167" s="964"/>
      <c r="E167" s="53">
        <f t="shared" si="27"/>
        <v>0</v>
      </c>
      <c r="F167" s="964"/>
      <c r="G167" s="53">
        <f t="shared" si="28"/>
        <v>1</v>
      </c>
      <c r="H167" s="964"/>
      <c r="I167" s="53">
        <f t="shared" si="29"/>
        <v>1</v>
      </c>
      <c r="J167" s="964"/>
      <c r="K167" s="53">
        <f t="shared" si="30"/>
        <v>1</v>
      </c>
      <c r="L167" s="964"/>
      <c r="M167" s="53">
        <f t="shared" si="31"/>
        <v>1</v>
      </c>
      <c r="N167" s="964"/>
      <c r="O167" s="53">
        <f t="shared" si="32"/>
        <v>1</v>
      </c>
      <c r="P167" s="964"/>
      <c r="Q167" s="53">
        <f t="shared" si="33"/>
        <v>1</v>
      </c>
      <c r="R167" s="491">
        <f t="shared" si="34"/>
        <v>0</v>
      </c>
      <c r="S167" s="800">
        <f t="shared" si="25"/>
        <v>0</v>
      </c>
    </row>
    <row r="168" spans="1:19">
      <c r="A168" s="966"/>
      <c r="B168" s="136"/>
      <c r="C168" s="53">
        <f t="shared" si="26"/>
        <v>1</v>
      </c>
      <c r="D168" s="964"/>
      <c r="E168" s="53">
        <f t="shared" si="27"/>
        <v>0</v>
      </c>
      <c r="F168" s="964"/>
      <c r="G168" s="53">
        <f t="shared" si="28"/>
        <v>1</v>
      </c>
      <c r="H168" s="964"/>
      <c r="I168" s="53">
        <f t="shared" si="29"/>
        <v>1</v>
      </c>
      <c r="J168" s="964"/>
      <c r="K168" s="53">
        <f t="shared" si="30"/>
        <v>1</v>
      </c>
      <c r="L168" s="964"/>
      <c r="M168" s="53">
        <f t="shared" si="31"/>
        <v>1</v>
      </c>
      <c r="N168" s="964"/>
      <c r="O168" s="53">
        <f t="shared" si="32"/>
        <v>1</v>
      </c>
      <c r="P168" s="964"/>
      <c r="Q168" s="53">
        <f t="shared" si="33"/>
        <v>1</v>
      </c>
      <c r="R168" s="491">
        <f t="shared" si="34"/>
        <v>0</v>
      </c>
      <c r="S168" s="800">
        <f t="shared" si="25"/>
        <v>0</v>
      </c>
    </row>
    <row r="169" spans="1:19">
      <c r="A169" s="966"/>
      <c r="B169" s="136"/>
      <c r="C169" s="53">
        <f t="shared" si="26"/>
        <v>1</v>
      </c>
      <c r="D169" s="964"/>
      <c r="E169" s="53">
        <f t="shared" si="27"/>
        <v>0</v>
      </c>
      <c r="F169" s="964"/>
      <c r="G169" s="53">
        <f t="shared" si="28"/>
        <v>1</v>
      </c>
      <c r="H169" s="964"/>
      <c r="I169" s="53">
        <f t="shared" si="29"/>
        <v>1</v>
      </c>
      <c r="J169" s="964"/>
      <c r="K169" s="53">
        <f t="shared" si="30"/>
        <v>1</v>
      </c>
      <c r="L169" s="964"/>
      <c r="M169" s="53">
        <f t="shared" si="31"/>
        <v>1</v>
      </c>
      <c r="N169" s="964"/>
      <c r="O169" s="53">
        <f t="shared" si="32"/>
        <v>1</v>
      </c>
      <c r="P169" s="964"/>
      <c r="Q169" s="53">
        <f t="shared" si="33"/>
        <v>1</v>
      </c>
      <c r="R169" s="491">
        <f t="shared" si="34"/>
        <v>0</v>
      </c>
      <c r="S169" s="800">
        <f t="shared" si="25"/>
        <v>0</v>
      </c>
    </row>
    <row r="170" spans="1:19">
      <c r="A170" s="966"/>
      <c r="B170" s="136"/>
      <c r="C170" s="53">
        <f t="shared" si="26"/>
        <v>1</v>
      </c>
      <c r="D170" s="964"/>
      <c r="E170" s="53">
        <f t="shared" si="27"/>
        <v>0</v>
      </c>
      <c r="F170" s="964"/>
      <c r="G170" s="53">
        <f t="shared" si="28"/>
        <v>1</v>
      </c>
      <c r="H170" s="964"/>
      <c r="I170" s="53">
        <f t="shared" si="29"/>
        <v>1</v>
      </c>
      <c r="J170" s="964"/>
      <c r="K170" s="53">
        <f t="shared" si="30"/>
        <v>1</v>
      </c>
      <c r="L170" s="964"/>
      <c r="M170" s="53">
        <f t="shared" si="31"/>
        <v>1</v>
      </c>
      <c r="N170" s="964"/>
      <c r="O170" s="53">
        <f t="shared" si="32"/>
        <v>1</v>
      </c>
      <c r="P170" s="964"/>
      <c r="Q170" s="53">
        <f t="shared" si="33"/>
        <v>1</v>
      </c>
      <c r="R170" s="491">
        <f t="shared" si="34"/>
        <v>0</v>
      </c>
      <c r="S170" s="800">
        <f t="shared" si="25"/>
        <v>0</v>
      </c>
    </row>
    <row r="171" spans="1:19">
      <c r="A171" s="966"/>
      <c r="B171" s="136"/>
      <c r="C171" s="53">
        <f t="shared" si="26"/>
        <v>1</v>
      </c>
      <c r="D171" s="964"/>
      <c r="E171" s="53">
        <f t="shared" si="27"/>
        <v>0</v>
      </c>
      <c r="F171" s="964"/>
      <c r="G171" s="53">
        <f t="shared" si="28"/>
        <v>1</v>
      </c>
      <c r="H171" s="964"/>
      <c r="I171" s="53">
        <f t="shared" si="29"/>
        <v>1</v>
      </c>
      <c r="J171" s="964"/>
      <c r="K171" s="53">
        <f t="shared" si="30"/>
        <v>1</v>
      </c>
      <c r="L171" s="964"/>
      <c r="M171" s="53">
        <f t="shared" si="31"/>
        <v>1</v>
      </c>
      <c r="N171" s="964"/>
      <c r="O171" s="53">
        <f t="shared" si="32"/>
        <v>1</v>
      </c>
      <c r="P171" s="964"/>
      <c r="Q171" s="53">
        <f t="shared" si="33"/>
        <v>1</v>
      </c>
      <c r="R171" s="491">
        <f t="shared" si="34"/>
        <v>0</v>
      </c>
      <c r="S171" s="800">
        <f t="shared" si="25"/>
        <v>0</v>
      </c>
    </row>
    <row r="172" spans="1:19">
      <c r="A172" s="966"/>
      <c r="B172" s="136"/>
      <c r="C172" s="53">
        <f t="shared" si="26"/>
        <v>1</v>
      </c>
      <c r="D172" s="964"/>
      <c r="E172" s="53">
        <f t="shared" si="27"/>
        <v>0</v>
      </c>
      <c r="F172" s="964"/>
      <c r="G172" s="53">
        <f t="shared" si="28"/>
        <v>1</v>
      </c>
      <c r="H172" s="964"/>
      <c r="I172" s="53">
        <f t="shared" si="29"/>
        <v>1</v>
      </c>
      <c r="J172" s="964"/>
      <c r="K172" s="53">
        <f t="shared" si="30"/>
        <v>1</v>
      </c>
      <c r="L172" s="964"/>
      <c r="M172" s="53">
        <f t="shared" si="31"/>
        <v>1</v>
      </c>
      <c r="N172" s="964"/>
      <c r="O172" s="53">
        <f t="shared" si="32"/>
        <v>1</v>
      </c>
      <c r="P172" s="964"/>
      <c r="Q172" s="53">
        <f t="shared" si="33"/>
        <v>1</v>
      </c>
      <c r="R172" s="491">
        <f t="shared" si="34"/>
        <v>0</v>
      </c>
      <c r="S172" s="800">
        <f t="shared" si="25"/>
        <v>0</v>
      </c>
    </row>
    <row r="173" spans="1:19">
      <c r="A173" s="966"/>
      <c r="B173" s="136"/>
      <c r="C173" s="53">
        <f t="shared" si="26"/>
        <v>1</v>
      </c>
      <c r="D173" s="964"/>
      <c r="E173" s="53">
        <f t="shared" si="27"/>
        <v>0</v>
      </c>
      <c r="F173" s="964"/>
      <c r="G173" s="53">
        <f t="shared" si="28"/>
        <v>1</v>
      </c>
      <c r="H173" s="964"/>
      <c r="I173" s="53">
        <f t="shared" si="29"/>
        <v>1</v>
      </c>
      <c r="J173" s="964"/>
      <c r="K173" s="53">
        <f t="shared" si="30"/>
        <v>1</v>
      </c>
      <c r="L173" s="964"/>
      <c r="M173" s="53">
        <f t="shared" si="31"/>
        <v>1</v>
      </c>
      <c r="N173" s="964"/>
      <c r="O173" s="53">
        <f t="shared" si="32"/>
        <v>1</v>
      </c>
      <c r="P173" s="964"/>
      <c r="Q173" s="53">
        <f t="shared" si="33"/>
        <v>1</v>
      </c>
      <c r="R173" s="491">
        <f t="shared" si="34"/>
        <v>0</v>
      </c>
      <c r="S173" s="800">
        <f t="shared" si="25"/>
        <v>0</v>
      </c>
    </row>
    <row r="174" spans="1:19">
      <c r="A174" s="966"/>
      <c r="B174" s="136"/>
      <c r="C174" s="53">
        <f t="shared" si="26"/>
        <v>1</v>
      </c>
      <c r="D174" s="964"/>
      <c r="E174" s="53">
        <f t="shared" si="27"/>
        <v>0</v>
      </c>
      <c r="F174" s="964"/>
      <c r="G174" s="53">
        <f t="shared" si="28"/>
        <v>1</v>
      </c>
      <c r="H174" s="964"/>
      <c r="I174" s="53">
        <f t="shared" si="29"/>
        <v>1</v>
      </c>
      <c r="J174" s="964"/>
      <c r="K174" s="53">
        <f t="shared" si="30"/>
        <v>1</v>
      </c>
      <c r="L174" s="964"/>
      <c r="M174" s="53">
        <f t="shared" si="31"/>
        <v>1</v>
      </c>
      <c r="N174" s="964"/>
      <c r="O174" s="53">
        <f t="shared" si="32"/>
        <v>1</v>
      </c>
      <c r="P174" s="964"/>
      <c r="Q174" s="53">
        <f t="shared" si="33"/>
        <v>1</v>
      </c>
      <c r="R174" s="491">
        <f t="shared" si="34"/>
        <v>0</v>
      </c>
      <c r="S174" s="800">
        <f t="shared" si="25"/>
        <v>0</v>
      </c>
    </row>
    <row r="175" spans="1:19">
      <c r="A175" s="966"/>
      <c r="B175" s="136"/>
      <c r="C175" s="53">
        <f t="shared" si="26"/>
        <v>1</v>
      </c>
      <c r="D175" s="964"/>
      <c r="E175" s="53">
        <f t="shared" si="27"/>
        <v>0</v>
      </c>
      <c r="F175" s="964"/>
      <c r="G175" s="53">
        <f t="shared" si="28"/>
        <v>1</v>
      </c>
      <c r="H175" s="964"/>
      <c r="I175" s="53">
        <f t="shared" si="29"/>
        <v>1</v>
      </c>
      <c r="J175" s="964"/>
      <c r="K175" s="53">
        <f t="shared" si="30"/>
        <v>1</v>
      </c>
      <c r="L175" s="964"/>
      <c r="M175" s="53">
        <f t="shared" si="31"/>
        <v>1</v>
      </c>
      <c r="N175" s="964"/>
      <c r="O175" s="53">
        <f t="shared" si="32"/>
        <v>1</v>
      </c>
      <c r="P175" s="964"/>
      <c r="Q175" s="53">
        <f t="shared" si="33"/>
        <v>1</v>
      </c>
      <c r="R175" s="491">
        <f t="shared" si="34"/>
        <v>0</v>
      </c>
      <c r="S175" s="800">
        <f t="shared" si="25"/>
        <v>0</v>
      </c>
    </row>
    <row r="176" spans="1:19">
      <c r="A176" s="966"/>
      <c r="B176" s="136"/>
      <c r="C176" s="53">
        <f t="shared" si="26"/>
        <v>1</v>
      </c>
      <c r="D176" s="964"/>
      <c r="E176" s="53">
        <f t="shared" si="27"/>
        <v>0</v>
      </c>
      <c r="F176" s="964"/>
      <c r="G176" s="53">
        <f t="shared" si="28"/>
        <v>1</v>
      </c>
      <c r="H176" s="964"/>
      <c r="I176" s="53">
        <f t="shared" si="29"/>
        <v>1</v>
      </c>
      <c r="J176" s="964"/>
      <c r="K176" s="53">
        <f t="shared" si="30"/>
        <v>1</v>
      </c>
      <c r="L176" s="964"/>
      <c r="M176" s="53">
        <f t="shared" si="31"/>
        <v>1</v>
      </c>
      <c r="N176" s="964"/>
      <c r="O176" s="53">
        <f t="shared" si="32"/>
        <v>1</v>
      </c>
      <c r="P176" s="964"/>
      <c r="Q176" s="53">
        <f t="shared" si="33"/>
        <v>1</v>
      </c>
      <c r="R176" s="491">
        <f t="shared" si="34"/>
        <v>0</v>
      </c>
      <c r="S176" s="800">
        <f t="shared" si="25"/>
        <v>0</v>
      </c>
    </row>
    <row r="177" spans="1:19">
      <c r="A177" s="966"/>
      <c r="B177" s="136"/>
      <c r="C177" s="53">
        <f t="shared" si="26"/>
        <v>1</v>
      </c>
      <c r="D177" s="964"/>
      <c r="E177" s="53">
        <f t="shared" si="27"/>
        <v>0</v>
      </c>
      <c r="F177" s="964"/>
      <c r="G177" s="53">
        <f t="shared" si="28"/>
        <v>1</v>
      </c>
      <c r="H177" s="964"/>
      <c r="I177" s="53">
        <f t="shared" si="29"/>
        <v>1</v>
      </c>
      <c r="J177" s="964"/>
      <c r="K177" s="53">
        <f t="shared" si="30"/>
        <v>1</v>
      </c>
      <c r="L177" s="964"/>
      <c r="M177" s="53">
        <f t="shared" si="31"/>
        <v>1</v>
      </c>
      <c r="N177" s="964"/>
      <c r="O177" s="53">
        <f t="shared" si="32"/>
        <v>1</v>
      </c>
      <c r="P177" s="964"/>
      <c r="Q177" s="53">
        <f t="shared" si="33"/>
        <v>1</v>
      </c>
      <c r="R177" s="491">
        <f t="shared" si="34"/>
        <v>0</v>
      </c>
      <c r="S177" s="800">
        <f t="shared" si="25"/>
        <v>0</v>
      </c>
    </row>
    <row r="178" spans="1:19">
      <c r="A178" s="966"/>
      <c r="B178" s="136"/>
      <c r="C178" s="53">
        <f t="shared" si="26"/>
        <v>1</v>
      </c>
      <c r="D178" s="964"/>
      <c r="E178" s="53">
        <f t="shared" si="27"/>
        <v>0</v>
      </c>
      <c r="F178" s="964"/>
      <c r="G178" s="53">
        <f t="shared" si="28"/>
        <v>1</v>
      </c>
      <c r="H178" s="964"/>
      <c r="I178" s="53">
        <f t="shared" si="29"/>
        <v>1</v>
      </c>
      <c r="J178" s="964"/>
      <c r="K178" s="53">
        <f t="shared" si="30"/>
        <v>1</v>
      </c>
      <c r="L178" s="964"/>
      <c r="M178" s="53">
        <f t="shared" si="31"/>
        <v>1</v>
      </c>
      <c r="N178" s="964"/>
      <c r="O178" s="53">
        <f t="shared" si="32"/>
        <v>1</v>
      </c>
      <c r="P178" s="964"/>
      <c r="Q178" s="53">
        <f t="shared" si="33"/>
        <v>1</v>
      </c>
      <c r="R178" s="491">
        <f t="shared" si="34"/>
        <v>0</v>
      </c>
      <c r="S178" s="800">
        <f t="shared" si="25"/>
        <v>0</v>
      </c>
    </row>
    <row r="179" spans="1:19">
      <c r="A179" s="966"/>
      <c r="B179" s="136"/>
      <c r="C179" s="53">
        <f t="shared" si="26"/>
        <v>1</v>
      </c>
      <c r="D179" s="964"/>
      <c r="E179" s="53">
        <f t="shared" si="27"/>
        <v>0</v>
      </c>
      <c r="F179" s="964"/>
      <c r="G179" s="53">
        <f t="shared" si="28"/>
        <v>1</v>
      </c>
      <c r="H179" s="964"/>
      <c r="I179" s="53">
        <f t="shared" si="29"/>
        <v>1</v>
      </c>
      <c r="J179" s="964"/>
      <c r="K179" s="53">
        <f t="shared" si="30"/>
        <v>1</v>
      </c>
      <c r="L179" s="964"/>
      <c r="M179" s="53">
        <f t="shared" si="31"/>
        <v>1</v>
      </c>
      <c r="N179" s="964"/>
      <c r="O179" s="53">
        <f t="shared" si="32"/>
        <v>1</v>
      </c>
      <c r="P179" s="964"/>
      <c r="Q179" s="53">
        <f t="shared" si="33"/>
        <v>1</v>
      </c>
      <c r="R179" s="491">
        <f t="shared" si="34"/>
        <v>0</v>
      </c>
      <c r="S179" s="800">
        <f t="shared" si="25"/>
        <v>0</v>
      </c>
    </row>
    <row r="180" spans="1:19">
      <c r="A180" s="966"/>
      <c r="B180" s="136"/>
      <c r="C180" s="53">
        <f t="shared" si="26"/>
        <v>1</v>
      </c>
      <c r="D180" s="964"/>
      <c r="E180" s="53">
        <f t="shared" si="27"/>
        <v>0</v>
      </c>
      <c r="F180" s="964"/>
      <c r="G180" s="53">
        <f t="shared" si="28"/>
        <v>1</v>
      </c>
      <c r="H180" s="964"/>
      <c r="I180" s="53">
        <f t="shared" si="29"/>
        <v>1</v>
      </c>
      <c r="J180" s="964"/>
      <c r="K180" s="53">
        <f t="shared" si="30"/>
        <v>1</v>
      </c>
      <c r="L180" s="964"/>
      <c r="M180" s="53">
        <f t="shared" si="31"/>
        <v>1</v>
      </c>
      <c r="N180" s="964"/>
      <c r="O180" s="53">
        <f t="shared" si="32"/>
        <v>1</v>
      </c>
      <c r="P180" s="964"/>
      <c r="Q180" s="53">
        <f t="shared" si="33"/>
        <v>1</v>
      </c>
      <c r="R180" s="491">
        <f t="shared" si="34"/>
        <v>0</v>
      </c>
      <c r="S180" s="800">
        <f t="shared" si="25"/>
        <v>0</v>
      </c>
    </row>
    <row r="181" spans="1:19">
      <c r="A181" s="966"/>
      <c r="B181" s="136"/>
      <c r="C181" s="53">
        <f t="shared" si="26"/>
        <v>1</v>
      </c>
      <c r="D181" s="964"/>
      <c r="E181" s="53">
        <f t="shared" si="27"/>
        <v>0</v>
      </c>
      <c r="F181" s="964"/>
      <c r="G181" s="53">
        <f t="shared" si="28"/>
        <v>1</v>
      </c>
      <c r="H181" s="964"/>
      <c r="I181" s="53">
        <f t="shared" si="29"/>
        <v>1</v>
      </c>
      <c r="J181" s="964"/>
      <c r="K181" s="53">
        <f t="shared" si="30"/>
        <v>1</v>
      </c>
      <c r="L181" s="964"/>
      <c r="M181" s="53">
        <f t="shared" si="31"/>
        <v>1</v>
      </c>
      <c r="N181" s="964"/>
      <c r="O181" s="53">
        <f t="shared" si="32"/>
        <v>1</v>
      </c>
      <c r="P181" s="964"/>
      <c r="Q181" s="53">
        <f t="shared" si="33"/>
        <v>1</v>
      </c>
      <c r="R181" s="491">
        <f t="shared" si="34"/>
        <v>0</v>
      </c>
      <c r="S181" s="800">
        <f t="shared" si="25"/>
        <v>0</v>
      </c>
    </row>
    <row r="182" spans="1:19">
      <c r="A182" s="966"/>
      <c r="B182" s="136"/>
      <c r="C182" s="53">
        <f t="shared" si="26"/>
        <v>1</v>
      </c>
      <c r="D182" s="964"/>
      <c r="E182" s="53">
        <f t="shared" si="27"/>
        <v>0</v>
      </c>
      <c r="F182" s="964"/>
      <c r="G182" s="53">
        <f t="shared" si="28"/>
        <v>1</v>
      </c>
      <c r="H182" s="964"/>
      <c r="I182" s="53">
        <f t="shared" si="29"/>
        <v>1</v>
      </c>
      <c r="J182" s="964"/>
      <c r="K182" s="53">
        <f t="shared" si="30"/>
        <v>1</v>
      </c>
      <c r="L182" s="964"/>
      <c r="M182" s="53">
        <f t="shared" si="31"/>
        <v>1</v>
      </c>
      <c r="N182" s="964"/>
      <c r="O182" s="53">
        <f t="shared" si="32"/>
        <v>1</v>
      </c>
      <c r="P182" s="964"/>
      <c r="Q182" s="53">
        <f t="shared" si="33"/>
        <v>1</v>
      </c>
      <c r="R182" s="491">
        <f t="shared" si="34"/>
        <v>0</v>
      </c>
      <c r="S182" s="800">
        <f t="shared" si="25"/>
        <v>0</v>
      </c>
    </row>
    <row r="183" spans="1:19">
      <c r="A183" s="966"/>
      <c r="B183" s="136"/>
      <c r="C183" s="53">
        <f t="shared" si="26"/>
        <v>1</v>
      </c>
      <c r="D183" s="964"/>
      <c r="E183" s="53">
        <f t="shared" si="27"/>
        <v>0</v>
      </c>
      <c r="F183" s="964"/>
      <c r="G183" s="53">
        <f t="shared" si="28"/>
        <v>1</v>
      </c>
      <c r="H183" s="964"/>
      <c r="I183" s="53">
        <f t="shared" si="29"/>
        <v>1</v>
      </c>
      <c r="J183" s="964"/>
      <c r="K183" s="53">
        <f t="shared" si="30"/>
        <v>1</v>
      </c>
      <c r="L183" s="964"/>
      <c r="M183" s="53">
        <f t="shared" si="31"/>
        <v>1</v>
      </c>
      <c r="N183" s="964"/>
      <c r="O183" s="53">
        <f t="shared" si="32"/>
        <v>1</v>
      </c>
      <c r="P183" s="964"/>
      <c r="Q183" s="53">
        <f t="shared" si="33"/>
        <v>1</v>
      </c>
      <c r="R183" s="491">
        <f t="shared" si="34"/>
        <v>0</v>
      </c>
      <c r="S183" s="800">
        <f t="shared" si="25"/>
        <v>0</v>
      </c>
    </row>
    <row r="184" spans="1:19">
      <c r="A184" s="966"/>
      <c r="B184" s="136"/>
      <c r="C184" s="53">
        <f t="shared" si="26"/>
        <v>1</v>
      </c>
      <c r="D184" s="964"/>
      <c r="E184" s="53">
        <f t="shared" si="27"/>
        <v>0</v>
      </c>
      <c r="F184" s="964"/>
      <c r="G184" s="53">
        <f t="shared" si="28"/>
        <v>1</v>
      </c>
      <c r="H184" s="964"/>
      <c r="I184" s="53">
        <f t="shared" si="29"/>
        <v>1</v>
      </c>
      <c r="J184" s="964"/>
      <c r="K184" s="53">
        <f t="shared" si="30"/>
        <v>1</v>
      </c>
      <c r="L184" s="964"/>
      <c r="M184" s="53">
        <f t="shared" si="31"/>
        <v>1</v>
      </c>
      <c r="N184" s="964"/>
      <c r="O184" s="53">
        <f t="shared" si="32"/>
        <v>1</v>
      </c>
      <c r="P184" s="964"/>
      <c r="Q184" s="53">
        <f t="shared" si="33"/>
        <v>1</v>
      </c>
      <c r="R184" s="491">
        <f t="shared" si="34"/>
        <v>0</v>
      </c>
      <c r="S184" s="800">
        <f t="shared" si="25"/>
        <v>0</v>
      </c>
    </row>
    <row r="185" spans="1:19">
      <c r="A185" s="966"/>
      <c r="B185" s="136"/>
      <c r="C185" s="53">
        <f t="shared" si="26"/>
        <v>1</v>
      </c>
      <c r="D185" s="964"/>
      <c r="E185" s="53">
        <f t="shared" si="27"/>
        <v>0</v>
      </c>
      <c r="F185" s="964"/>
      <c r="G185" s="53">
        <f t="shared" si="28"/>
        <v>1</v>
      </c>
      <c r="H185" s="964"/>
      <c r="I185" s="53">
        <f t="shared" si="29"/>
        <v>1</v>
      </c>
      <c r="J185" s="964"/>
      <c r="K185" s="53">
        <f t="shared" si="30"/>
        <v>1</v>
      </c>
      <c r="L185" s="964"/>
      <c r="M185" s="53">
        <f t="shared" si="31"/>
        <v>1</v>
      </c>
      <c r="N185" s="964"/>
      <c r="O185" s="53">
        <f t="shared" si="32"/>
        <v>1</v>
      </c>
      <c r="P185" s="964"/>
      <c r="Q185" s="53">
        <f t="shared" si="33"/>
        <v>1</v>
      </c>
      <c r="R185" s="491">
        <f t="shared" si="34"/>
        <v>0</v>
      </c>
      <c r="S185" s="800">
        <f t="shared" si="25"/>
        <v>0</v>
      </c>
    </row>
    <row r="186" spans="1:19">
      <c r="A186" s="966"/>
      <c r="B186" s="136"/>
      <c r="C186" s="53">
        <f t="shared" si="26"/>
        <v>1</v>
      </c>
      <c r="D186" s="964"/>
      <c r="E186" s="53">
        <f t="shared" si="27"/>
        <v>0</v>
      </c>
      <c r="F186" s="964"/>
      <c r="G186" s="53">
        <f t="shared" si="28"/>
        <v>1</v>
      </c>
      <c r="H186" s="964"/>
      <c r="I186" s="53">
        <f t="shared" si="29"/>
        <v>1</v>
      </c>
      <c r="J186" s="964"/>
      <c r="K186" s="53">
        <f t="shared" si="30"/>
        <v>1</v>
      </c>
      <c r="L186" s="964"/>
      <c r="M186" s="53">
        <f t="shared" si="31"/>
        <v>1</v>
      </c>
      <c r="N186" s="964"/>
      <c r="O186" s="53">
        <f t="shared" si="32"/>
        <v>1</v>
      </c>
      <c r="P186" s="964"/>
      <c r="Q186" s="53">
        <f t="shared" si="33"/>
        <v>1</v>
      </c>
      <c r="R186" s="491">
        <f t="shared" si="34"/>
        <v>0</v>
      </c>
      <c r="S186" s="800">
        <f t="shared" si="25"/>
        <v>0</v>
      </c>
    </row>
    <row r="187" spans="1:19">
      <c r="A187" s="966"/>
      <c r="B187" s="136"/>
      <c r="C187" s="53">
        <f t="shared" si="26"/>
        <v>1</v>
      </c>
      <c r="D187" s="964"/>
      <c r="E187" s="53">
        <f t="shared" si="27"/>
        <v>0</v>
      </c>
      <c r="F187" s="964"/>
      <c r="G187" s="53">
        <f t="shared" si="28"/>
        <v>1</v>
      </c>
      <c r="H187" s="964"/>
      <c r="I187" s="53">
        <f t="shared" si="29"/>
        <v>1</v>
      </c>
      <c r="J187" s="964"/>
      <c r="K187" s="53">
        <f t="shared" si="30"/>
        <v>1</v>
      </c>
      <c r="L187" s="964"/>
      <c r="M187" s="53">
        <f t="shared" si="31"/>
        <v>1</v>
      </c>
      <c r="N187" s="964"/>
      <c r="O187" s="53">
        <f t="shared" si="32"/>
        <v>1</v>
      </c>
      <c r="P187" s="964"/>
      <c r="Q187" s="53">
        <f t="shared" si="33"/>
        <v>1</v>
      </c>
      <c r="R187" s="491">
        <f t="shared" si="34"/>
        <v>0</v>
      </c>
      <c r="S187" s="800">
        <f t="shared" si="25"/>
        <v>0</v>
      </c>
    </row>
    <row r="188" spans="1:19">
      <c r="A188" s="966"/>
      <c r="B188" s="136"/>
      <c r="C188" s="53">
        <f t="shared" si="26"/>
        <v>1</v>
      </c>
      <c r="D188" s="964"/>
      <c r="E188" s="53">
        <f t="shared" si="27"/>
        <v>0</v>
      </c>
      <c r="F188" s="964"/>
      <c r="G188" s="53">
        <f t="shared" si="28"/>
        <v>1</v>
      </c>
      <c r="H188" s="964"/>
      <c r="I188" s="53">
        <f t="shared" si="29"/>
        <v>1</v>
      </c>
      <c r="J188" s="964"/>
      <c r="K188" s="53">
        <f t="shared" si="30"/>
        <v>1</v>
      </c>
      <c r="L188" s="964"/>
      <c r="M188" s="53">
        <f t="shared" si="31"/>
        <v>1</v>
      </c>
      <c r="N188" s="964"/>
      <c r="O188" s="53">
        <f t="shared" si="32"/>
        <v>1</v>
      </c>
      <c r="P188" s="964"/>
      <c r="Q188" s="53">
        <f t="shared" si="33"/>
        <v>1</v>
      </c>
      <c r="R188" s="491">
        <f t="shared" si="34"/>
        <v>0</v>
      </c>
      <c r="S188" s="800">
        <f t="shared" si="25"/>
        <v>0</v>
      </c>
    </row>
    <row r="189" spans="1:19">
      <c r="A189" s="966"/>
      <c r="B189" s="136"/>
      <c r="C189" s="53">
        <f t="shared" si="26"/>
        <v>1</v>
      </c>
      <c r="D189" s="964"/>
      <c r="E189" s="53">
        <f t="shared" si="27"/>
        <v>0</v>
      </c>
      <c r="F189" s="964"/>
      <c r="G189" s="53">
        <f t="shared" si="28"/>
        <v>1</v>
      </c>
      <c r="H189" s="964"/>
      <c r="I189" s="53">
        <f t="shared" si="29"/>
        <v>1</v>
      </c>
      <c r="J189" s="964"/>
      <c r="K189" s="53">
        <f t="shared" si="30"/>
        <v>1</v>
      </c>
      <c r="L189" s="964"/>
      <c r="M189" s="53">
        <f t="shared" si="31"/>
        <v>1</v>
      </c>
      <c r="N189" s="964"/>
      <c r="O189" s="53">
        <f t="shared" si="32"/>
        <v>1</v>
      </c>
      <c r="P189" s="964"/>
      <c r="Q189" s="53">
        <f t="shared" si="33"/>
        <v>1</v>
      </c>
      <c r="R189" s="491">
        <f t="shared" si="34"/>
        <v>0</v>
      </c>
      <c r="S189" s="800">
        <f t="shared" si="25"/>
        <v>0</v>
      </c>
    </row>
    <row r="190" spans="1:19">
      <c r="A190" s="966"/>
      <c r="B190" s="136"/>
      <c r="C190" s="53">
        <f t="shared" si="26"/>
        <v>1</v>
      </c>
      <c r="D190" s="964"/>
      <c r="E190" s="53">
        <f t="shared" si="27"/>
        <v>0</v>
      </c>
      <c r="F190" s="964"/>
      <c r="G190" s="53">
        <f t="shared" si="28"/>
        <v>1</v>
      </c>
      <c r="H190" s="964"/>
      <c r="I190" s="53">
        <f t="shared" si="29"/>
        <v>1</v>
      </c>
      <c r="J190" s="964"/>
      <c r="K190" s="53">
        <f t="shared" si="30"/>
        <v>1</v>
      </c>
      <c r="L190" s="964"/>
      <c r="M190" s="53">
        <f t="shared" si="31"/>
        <v>1</v>
      </c>
      <c r="N190" s="964"/>
      <c r="O190" s="53">
        <f t="shared" si="32"/>
        <v>1</v>
      </c>
      <c r="P190" s="964"/>
      <c r="Q190" s="53">
        <f t="shared" si="33"/>
        <v>1</v>
      </c>
      <c r="R190" s="491">
        <f t="shared" si="34"/>
        <v>0</v>
      </c>
      <c r="S190" s="800">
        <f t="shared" si="25"/>
        <v>0</v>
      </c>
    </row>
    <row r="191" spans="1:19">
      <c r="A191" s="966"/>
      <c r="B191" s="136"/>
      <c r="C191" s="53">
        <f t="shared" si="26"/>
        <v>1</v>
      </c>
      <c r="D191" s="964"/>
      <c r="E191" s="53">
        <f t="shared" si="27"/>
        <v>0</v>
      </c>
      <c r="F191" s="964"/>
      <c r="G191" s="53">
        <f t="shared" si="28"/>
        <v>1</v>
      </c>
      <c r="H191" s="964"/>
      <c r="I191" s="53">
        <f t="shared" si="29"/>
        <v>1</v>
      </c>
      <c r="J191" s="964"/>
      <c r="K191" s="53">
        <f t="shared" si="30"/>
        <v>1</v>
      </c>
      <c r="L191" s="964"/>
      <c r="M191" s="53">
        <f t="shared" si="31"/>
        <v>1</v>
      </c>
      <c r="N191" s="964"/>
      <c r="O191" s="53">
        <f t="shared" si="32"/>
        <v>1</v>
      </c>
      <c r="P191" s="964"/>
      <c r="Q191" s="53">
        <f t="shared" si="33"/>
        <v>1</v>
      </c>
      <c r="R191" s="491">
        <f t="shared" si="34"/>
        <v>0</v>
      </c>
      <c r="S191" s="800">
        <f t="shared" si="25"/>
        <v>0</v>
      </c>
    </row>
    <row r="192" spans="1:19">
      <c r="A192" s="966"/>
      <c r="B192" s="136"/>
      <c r="C192" s="53">
        <f t="shared" si="26"/>
        <v>1</v>
      </c>
      <c r="D192" s="964"/>
      <c r="E192" s="53">
        <f t="shared" si="27"/>
        <v>0</v>
      </c>
      <c r="F192" s="964"/>
      <c r="G192" s="53">
        <f t="shared" si="28"/>
        <v>1</v>
      </c>
      <c r="H192" s="964"/>
      <c r="I192" s="53">
        <f t="shared" si="29"/>
        <v>1</v>
      </c>
      <c r="J192" s="964"/>
      <c r="K192" s="53">
        <f t="shared" si="30"/>
        <v>1</v>
      </c>
      <c r="L192" s="964"/>
      <c r="M192" s="53">
        <f t="shared" si="31"/>
        <v>1</v>
      </c>
      <c r="N192" s="964"/>
      <c r="O192" s="53">
        <f t="shared" si="32"/>
        <v>1</v>
      </c>
      <c r="P192" s="964"/>
      <c r="Q192" s="53">
        <f t="shared" si="33"/>
        <v>1</v>
      </c>
      <c r="R192" s="491">
        <f t="shared" si="34"/>
        <v>0</v>
      </c>
      <c r="S192" s="800">
        <f t="shared" si="25"/>
        <v>0</v>
      </c>
    </row>
    <row r="193" spans="1:19">
      <c r="A193" s="966"/>
      <c r="B193" s="136"/>
      <c r="C193" s="53">
        <f t="shared" si="26"/>
        <v>1</v>
      </c>
      <c r="D193" s="964"/>
      <c r="E193" s="53">
        <f t="shared" si="27"/>
        <v>0</v>
      </c>
      <c r="F193" s="964"/>
      <c r="G193" s="53">
        <f t="shared" si="28"/>
        <v>1</v>
      </c>
      <c r="H193" s="964"/>
      <c r="I193" s="53">
        <f t="shared" si="29"/>
        <v>1</v>
      </c>
      <c r="J193" s="964"/>
      <c r="K193" s="53">
        <f t="shared" si="30"/>
        <v>1</v>
      </c>
      <c r="L193" s="964"/>
      <c r="M193" s="53">
        <f t="shared" si="31"/>
        <v>1</v>
      </c>
      <c r="N193" s="964"/>
      <c r="O193" s="53">
        <f t="shared" si="32"/>
        <v>1</v>
      </c>
      <c r="P193" s="964"/>
      <c r="Q193" s="53">
        <f t="shared" si="33"/>
        <v>1</v>
      </c>
      <c r="R193" s="491">
        <f t="shared" si="34"/>
        <v>0</v>
      </c>
      <c r="S193" s="800">
        <f t="shared" si="25"/>
        <v>0</v>
      </c>
    </row>
    <row r="194" spans="1:19">
      <c r="A194" s="966"/>
      <c r="B194" s="136"/>
      <c r="C194" s="53">
        <f t="shared" si="26"/>
        <v>1</v>
      </c>
      <c r="D194" s="964"/>
      <c r="E194" s="53">
        <f t="shared" si="27"/>
        <v>0</v>
      </c>
      <c r="F194" s="964"/>
      <c r="G194" s="53">
        <f t="shared" si="28"/>
        <v>1</v>
      </c>
      <c r="H194" s="964"/>
      <c r="I194" s="53">
        <f t="shared" si="29"/>
        <v>1</v>
      </c>
      <c r="J194" s="964"/>
      <c r="K194" s="53">
        <f t="shared" si="30"/>
        <v>1</v>
      </c>
      <c r="L194" s="964"/>
      <c r="M194" s="53">
        <f t="shared" si="31"/>
        <v>1</v>
      </c>
      <c r="N194" s="964"/>
      <c r="O194" s="53">
        <f t="shared" si="32"/>
        <v>1</v>
      </c>
      <c r="P194" s="964"/>
      <c r="Q194" s="53">
        <f t="shared" si="33"/>
        <v>1</v>
      </c>
      <c r="R194" s="491">
        <f t="shared" si="34"/>
        <v>0</v>
      </c>
      <c r="S194" s="800">
        <f t="shared" si="25"/>
        <v>0</v>
      </c>
    </row>
    <row r="195" spans="1:19">
      <c r="A195" s="966"/>
      <c r="B195" s="136"/>
      <c r="C195" s="53">
        <f t="shared" si="26"/>
        <v>1</v>
      </c>
      <c r="D195" s="964"/>
      <c r="E195" s="53">
        <f t="shared" si="27"/>
        <v>0</v>
      </c>
      <c r="F195" s="964"/>
      <c r="G195" s="53">
        <f t="shared" si="28"/>
        <v>1</v>
      </c>
      <c r="H195" s="964"/>
      <c r="I195" s="53">
        <f t="shared" si="29"/>
        <v>1</v>
      </c>
      <c r="J195" s="964"/>
      <c r="K195" s="53">
        <f t="shared" si="30"/>
        <v>1</v>
      </c>
      <c r="L195" s="964"/>
      <c r="M195" s="53">
        <f t="shared" si="31"/>
        <v>1</v>
      </c>
      <c r="N195" s="964"/>
      <c r="O195" s="53">
        <f t="shared" si="32"/>
        <v>1</v>
      </c>
      <c r="P195" s="964"/>
      <c r="Q195" s="53">
        <f t="shared" si="33"/>
        <v>1</v>
      </c>
      <c r="R195" s="491">
        <f t="shared" si="34"/>
        <v>0</v>
      </c>
      <c r="S195" s="800">
        <f t="shared" si="25"/>
        <v>0</v>
      </c>
    </row>
    <row r="196" spans="1:19">
      <c r="A196" s="966"/>
      <c r="B196" s="136"/>
      <c r="C196" s="53">
        <f t="shared" si="26"/>
        <v>1</v>
      </c>
      <c r="D196" s="964"/>
      <c r="E196" s="53">
        <f t="shared" si="27"/>
        <v>0</v>
      </c>
      <c r="F196" s="964"/>
      <c r="G196" s="53">
        <f t="shared" si="28"/>
        <v>1</v>
      </c>
      <c r="H196" s="964"/>
      <c r="I196" s="53">
        <f t="shared" si="29"/>
        <v>1</v>
      </c>
      <c r="J196" s="964"/>
      <c r="K196" s="53">
        <f t="shared" si="30"/>
        <v>1</v>
      </c>
      <c r="L196" s="964"/>
      <c r="M196" s="53">
        <f t="shared" si="31"/>
        <v>1</v>
      </c>
      <c r="N196" s="964"/>
      <c r="O196" s="53">
        <f t="shared" si="32"/>
        <v>1</v>
      </c>
      <c r="P196" s="964"/>
      <c r="Q196" s="53">
        <f t="shared" si="33"/>
        <v>1</v>
      </c>
      <c r="R196" s="491">
        <f t="shared" si="34"/>
        <v>0</v>
      </c>
      <c r="S196" s="800">
        <f t="shared" si="25"/>
        <v>0</v>
      </c>
    </row>
    <row r="197" spans="1:19">
      <c r="A197" s="966"/>
      <c r="B197" s="136"/>
      <c r="C197" s="53">
        <f t="shared" si="26"/>
        <v>1</v>
      </c>
      <c r="D197" s="964"/>
      <c r="E197" s="53">
        <f t="shared" si="27"/>
        <v>0</v>
      </c>
      <c r="F197" s="964"/>
      <c r="G197" s="53">
        <f t="shared" si="28"/>
        <v>1</v>
      </c>
      <c r="H197" s="964"/>
      <c r="I197" s="53">
        <f t="shared" si="29"/>
        <v>1</v>
      </c>
      <c r="J197" s="964"/>
      <c r="K197" s="53">
        <f t="shared" si="30"/>
        <v>1</v>
      </c>
      <c r="L197" s="964"/>
      <c r="M197" s="53">
        <f t="shared" si="31"/>
        <v>1</v>
      </c>
      <c r="N197" s="964"/>
      <c r="O197" s="53">
        <f t="shared" si="32"/>
        <v>1</v>
      </c>
      <c r="P197" s="964"/>
      <c r="Q197" s="53">
        <f t="shared" si="33"/>
        <v>1</v>
      </c>
      <c r="R197" s="491">
        <f t="shared" si="34"/>
        <v>0</v>
      </c>
      <c r="S197" s="800">
        <f t="shared" si="25"/>
        <v>0</v>
      </c>
    </row>
    <row r="198" spans="1:19">
      <c r="A198" s="966"/>
      <c r="B198" s="136"/>
      <c r="C198" s="53">
        <f t="shared" si="26"/>
        <v>1</v>
      </c>
      <c r="D198" s="964"/>
      <c r="E198" s="53">
        <f t="shared" si="27"/>
        <v>0</v>
      </c>
      <c r="F198" s="964"/>
      <c r="G198" s="53">
        <f t="shared" si="28"/>
        <v>1</v>
      </c>
      <c r="H198" s="964"/>
      <c r="I198" s="53">
        <f t="shared" si="29"/>
        <v>1</v>
      </c>
      <c r="J198" s="964"/>
      <c r="K198" s="53">
        <f t="shared" si="30"/>
        <v>1</v>
      </c>
      <c r="L198" s="964"/>
      <c r="M198" s="53">
        <f t="shared" si="31"/>
        <v>1</v>
      </c>
      <c r="N198" s="964"/>
      <c r="O198" s="53">
        <f t="shared" si="32"/>
        <v>1</v>
      </c>
      <c r="P198" s="964"/>
      <c r="Q198" s="53">
        <f t="shared" si="33"/>
        <v>1</v>
      </c>
      <c r="R198" s="491">
        <f t="shared" si="34"/>
        <v>0</v>
      </c>
      <c r="S198" s="800">
        <f t="shared" si="25"/>
        <v>0</v>
      </c>
    </row>
    <row r="199" spans="1:19">
      <c r="A199" s="966"/>
      <c r="B199" s="136"/>
      <c r="C199" s="53">
        <f t="shared" si="26"/>
        <v>1</v>
      </c>
      <c r="D199" s="964"/>
      <c r="E199" s="53">
        <f t="shared" si="27"/>
        <v>0</v>
      </c>
      <c r="F199" s="964"/>
      <c r="G199" s="53">
        <f t="shared" si="28"/>
        <v>1</v>
      </c>
      <c r="H199" s="964"/>
      <c r="I199" s="53">
        <f t="shared" si="29"/>
        <v>1</v>
      </c>
      <c r="J199" s="964"/>
      <c r="K199" s="53">
        <f t="shared" si="30"/>
        <v>1</v>
      </c>
      <c r="L199" s="964"/>
      <c r="M199" s="53">
        <f t="shared" si="31"/>
        <v>1</v>
      </c>
      <c r="N199" s="964"/>
      <c r="O199" s="53">
        <f t="shared" si="32"/>
        <v>1</v>
      </c>
      <c r="P199" s="964"/>
      <c r="Q199" s="53">
        <f t="shared" si="33"/>
        <v>1</v>
      </c>
      <c r="R199" s="491">
        <f t="shared" si="34"/>
        <v>0</v>
      </c>
      <c r="S199" s="800">
        <f t="shared" si="25"/>
        <v>0</v>
      </c>
    </row>
    <row r="200" spans="1:19">
      <c r="A200" s="966"/>
      <c r="B200" s="136"/>
      <c r="C200" s="53">
        <f t="shared" si="26"/>
        <v>1</v>
      </c>
      <c r="D200" s="964"/>
      <c r="E200" s="53">
        <f t="shared" si="27"/>
        <v>0</v>
      </c>
      <c r="F200" s="964"/>
      <c r="G200" s="53">
        <f t="shared" si="28"/>
        <v>1</v>
      </c>
      <c r="H200" s="964"/>
      <c r="I200" s="53">
        <f t="shared" si="29"/>
        <v>1</v>
      </c>
      <c r="J200" s="964"/>
      <c r="K200" s="53">
        <f t="shared" si="30"/>
        <v>1</v>
      </c>
      <c r="L200" s="964"/>
      <c r="M200" s="53">
        <f t="shared" si="31"/>
        <v>1</v>
      </c>
      <c r="N200" s="964"/>
      <c r="O200" s="53">
        <f t="shared" si="32"/>
        <v>1</v>
      </c>
      <c r="P200" s="964"/>
      <c r="Q200" s="53">
        <f t="shared" si="33"/>
        <v>1</v>
      </c>
      <c r="R200" s="491">
        <f t="shared" si="34"/>
        <v>0</v>
      </c>
      <c r="S200" s="800">
        <f t="shared" si="25"/>
        <v>0</v>
      </c>
    </row>
    <row r="201" spans="1:19">
      <c r="A201" s="966"/>
      <c r="B201" s="136"/>
      <c r="C201" s="53">
        <f t="shared" si="26"/>
        <v>1</v>
      </c>
      <c r="D201" s="964"/>
      <c r="E201" s="53">
        <f t="shared" si="27"/>
        <v>0</v>
      </c>
      <c r="F201" s="964"/>
      <c r="G201" s="53">
        <f t="shared" si="28"/>
        <v>1</v>
      </c>
      <c r="H201" s="964"/>
      <c r="I201" s="53">
        <f t="shared" si="29"/>
        <v>1</v>
      </c>
      <c r="J201" s="964"/>
      <c r="K201" s="53">
        <f t="shared" si="30"/>
        <v>1</v>
      </c>
      <c r="L201" s="964"/>
      <c r="M201" s="53">
        <f t="shared" si="31"/>
        <v>1</v>
      </c>
      <c r="N201" s="964"/>
      <c r="O201" s="53">
        <f t="shared" si="32"/>
        <v>1</v>
      </c>
      <c r="P201" s="964"/>
      <c r="Q201" s="53">
        <f t="shared" si="33"/>
        <v>1</v>
      </c>
      <c r="R201" s="491">
        <f t="shared" si="34"/>
        <v>0</v>
      </c>
      <c r="S201" s="800">
        <f t="shared" si="25"/>
        <v>0</v>
      </c>
    </row>
    <row r="202" spans="1:19">
      <c r="A202" s="966"/>
      <c r="B202" s="136"/>
      <c r="C202" s="53">
        <f t="shared" si="26"/>
        <v>1</v>
      </c>
      <c r="D202" s="964"/>
      <c r="E202" s="53">
        <f t="shared" si="27"/>
        <v>0</v>
      </c>
      <c r="F202" s="964"/>
      <c r="G202" s="53">
        <f t="shared" si="28"/>
        <v>1</v>
      </c>
      <c r="H202" s="964"/>
      <c r="I202" s="53">
        <f t="shared" si="29"/>
        <v>1</v>
      </c>
      <c r="J202" s="964"/>
      <c r="K202" s="53">
        <f t="shared" si="30"/>
        <v>1</v>
      </c>
      <c r="L202" s="964"/>
      <c r="M202" s="53">
        <f t="shared" si="31"/>
        <v>1</v>
      </c>
      <c r="N202" s="964"/>
      <c r="O202" s="53">
        <f t="shared" si="32"/>
        <v>1</v>
      </c>
      <c r="P202" s="964"/>
      <c r="Q202" s="53">
        <f t="shared" si="33"/>
        <v>1</v>
      </c>
      <c r="R202" s="491">
        <f t="shared" si="34"/>
        <v>0</v>
      </c>
      <c r="S202" s="800">
        <f t="shared" si="25"/>
        <v>0</v>
      </c>
    </row>
    <row r="203" spans="1:19">
      <c r="A203" s="966"/>
      <c r="B203" s="136"/>
      <c r="C203" s="53">
        <f t="shared" si="26"/>
        <v>1</v>
      </c>
      <c r="D203" s="964"/>
      <c r="E203" s="53">
        <f t="shared" si="27"/>
        <v>0</v>
      </c>
      <c r="F203" s="964"/>
      <c r="G203" s="53">
        <f t="shared" si="28"/>
        <v>1</v>
      </c>
      <c r="H203" s="964"/>
      <c r="I203" s="53">
        <f t="shared" si="29"/>
        <v>1</v>
      </c>
      <c r="J203" s="964"/>
      <c r="K203" s="53">
        <f t="shared" si="30"/>
        <v>1</v>
      </c>
      <c r="L203" s="964"/>
      <c r="M203" s="53">
        <f t="shared" si="31"/>
        <v>1</v>
      </c>
      <c r="N203" s="964"/>
      <c r="O203" s="53">
        <f t="shared" si="32"/>
        <v>1</v>
      </c>
      <c r="P203" s="964"/>
      <c r="Q203" s="53">
        <f t="shared" si="33"/>
        <v>1</v>
      </c>
      <c r="R203" s="491">
        <f t="shared" si="34"/>
        <v>0</v>
      </c>
      <c r="S203" s="800">
        <f t="shared" si="25"/>
        <v>0</v>
      </c>
    </row>
    <row r="204" spans="1:19">
      <c r="A204" s="966"/>
      <c r="B204" s="136"/>
      <c r="C204" s="53">
        <f t="shared" si="26"/>
        <v>1</v>
      </c>
      <c r="D204" s="964"/>
      <c r="E204" s="53">
        <f t="shared" si="27"/>
        <v>0</v>
      </c>
      <c r="F204" s="964"/>
      <c r="G204" s="53">
        <f t="shared" si="28"/>
        <v>1</v>
      </c>
      <c r="H204" s="964"/>
      <c r="I204" s="53">
        <f t="shared" si="29"/>
        <v>1</v>
      </c>
      <c r="J204" s="964"/>
      <c r="K204" s="53">
        <f t="shared" si="30"/>
        <v>1</v>
      </c>
      <c r="L204" s="964"/>
      <c r="M204" s="53">
        <f t="shared" si="31"/>
        <v>1</v>
      </c>
      <c r="N204" s="964"/>
      <c r="O204" s="53">
        <f t="shared" si="32"/>
        <v>1</v>
      </c>
      <c r="P204" s="964"/>
      <c r="Q204" s="53">
        <f t="shared" si="33"/>
        <v>1</v>
      </c>
      <c r="R204" s="491">
        <f t="shared" si="34"/>
        <v>0</v>
      </c>
      <c r="S204" s="800">
        <f t="shared" si="25"/>
        <v>0</v>
      </c>
    </row>
    <row r="205" spans="1:19">
      <c r="A205" s="966"/>
      <c r="B205" s="136"/>
      <c r="C205" s="53">
        <f t="shared" si="26"/>
        <v>1</v>
      </c>
      <c r="D205" s="964"/>
      <c r="E205" s="53">
        <f t="shared" si="27"/>
        <v>0</v>
      </c>
      <c r="F205" s="964"/>
      <c r="G205" s="53">
        <f t="shared" si="28"/>
        <v>1</v>
      </c>
      <c r="H205" s="964"/>
      <c r="I205" s="53">
        <f t="shared" si="29"/>
        <v>1</v>
      </c>
      <c r="J205" s="964"/>
      <c r="K205" s="53">
        <f t="shared" si="30"/>
        <v>1</v>
      </c>
      <c r="L205" s="964"/>
      <c r="M205" s="53">
        <f t="shared" si="31"/>
        <v>1</v>
      </c>
      <c r="N205" s="964"/>
      <c r="O205" s="53">
        <f t="shared" si="32"/>
        <v>1</v>
      </c>
      <c r="P205" s="964"/>
      <c r="Q205" s="53">
        <f t="shared" si="33"/>
        <v>1</v>
      </c>
      <c r="R205" s="491">
        <f t="shared" si="34"/>
        <v>0</v>
      </c>
      <c r="S205" s="800">
        <f t="shared" si="25"/>
        <v>0</v>
      </c>
    </row>
    <row r="206" spans="1:19">
      <c r="A206" s="966"/>
      <c r="B206" s="136"/>
      <c r="C206" s="53">
        <f t="shared" si="26"/>
        <v>1</v>
      </c>
      <c r="D206" s="964"/>
      <c r="E206" s="53">
        <f t="shared" si="27"/>
        <v>0</v>
      </c>
      <c r="F206" s="964"/>
      <c r="G206" s="53">
        <f t="shared" si="28"/>
        <v>1</v>
      </c>
      <c r="H206" s="964"/>
      <c r="I206" s="53">
        <f t="shared" si="29"/>
        <v>1</v>
      </c>
      <c r="J206" s="964"/>
      <c r="K206" s="53">
        <f t="shared" si="30"/>
        <v>1</v>
      </c>
      <c r="L206" s="964"/>
      <c r="M206" s="53">
        <f t="shared" si="31"/>
        <v>1</v>
      </c>
      <c r="N206" s="964"/>
      <c r="O206" s="53">
        <f t="shared" si="32"/>
        <v>1</v>
      </c>
      <c r="P206" s="964"/>
      <c r="Q206" s="53">
        <f t="shared" si="33"/>
        <v>1</v>
      </c>
      <c r="R206" s="491">
        <f t="shared" si="34"/>
        <v>0</v>
      </c>
      <c r="S206" s="800">
        <f t="shared" si="25"/>
        <v>0</v>
      </c>
    </row>
    <row r="207" spans="1:19">
      <c r="A207" s="966"/>
      <c r="B207" s="136"/>
      <c r="C207" s="53">
        <f t="shared" si="26"/>
        <v>1</v>
      </c>
      <c r="D207" s="964"/>
      <c r="E207" s="53">
        <f t="shared" si="27"/>
        <v>0</v>
      </c>
      <c r="F207" s="964"/>
      <c r="G207" s="53">
        <f t="shared" si="28"/>
        <v>1</v>
      </c>
      <c r="H207" s="964"/>
      <c r="I207" s="53">
        <f t="shared" si="29"/>
        <v>1</v>
      </c>
      <c r="J207" s="964"/>
      <c r="K207" s="53">
        <f t="shared" si="30"/>
        <v>1</v>
      </c>
      <c r="L207" s="964"/>
      <c r="M207" s="53">
        <f t="shared" si="31"/>
        <v>1</v>
      </c>
      <c r="N207" s="964"/>
      <c r="O207" s="53">
        <f t="shared" si="32"/>
        <v>1</v>
      </c>
      <c r="P207" s="964"/>
      <c r="Q207" s="53">
        <f t="shared" si="33"/>
        <v>1</v>
      </c>
      <c r="R207" s="491">
        <f t="shared" si="34"/>
        <v>0</v>
      </c>
      <c r="S207" s="800">
        <f t="shared" si="25"/>
        <v>0</v>
      </c>
    </row>
    <row r="208" spans="1:19">
      <c r="A208" s="966"/>
      <c r="B208" s="136"/>
      <c r="C208" s="53">
        <f t="shared" si="26"/>
        <v>1</v>
      </c>
      <c r="D208" s="964"/>
      <c r="E208" s="53">
        <f t="shared" si="27"/>
        <v>0</v>
      </c>
      <c r="F208" s="964"/>
      <c r="G208" s="53">
        <f t="shared" si="28"/>
        <v>1</v>
      </c>
      <c r="H208" s="964"/>
      <c r="I208" s="53">
        <f t="shared" si="29"/>
        <v>1</v>
      </c>
      <c r="J208" s="964"/>
      <c r="K208" s="53">
        <f t="shared" si="30"/>
        <v>1</v>
      </c>
      <c r="L208" s="964"/>
      <c r="M208" s="53">
        <f t="shared" si="31"/>
        <v>1</v>
      </c>
      <c r="N208" s="964"/>
      <c r="O208" s="53">
        <f t="shared" si="32"/>
        <v>1</v>
      </c>
      <c r="P208" s="964"/>
      <c r="Q208" s="53">
        <f t="shared" si="33"/>
        <v>1</v>
      </c>
      <c r="R208" s="491">
        <f t="shared" si="34"/>
        <v>0</v>
      </c>
      <c r="S208" s="800">
        <f t="shared" si="25"/>
        <v>0</v>
      </c>
    </row>
    <row r="209" spans="1:19">
      <c r="A209" s="966"/>
      <c r="B209" s="136"/>
      <c r="C209" s="53">
        <f t="shared" si="26"/>
        <v>1</v>
      </c>
      <c r="D209" s="964"/>
      <c r="E209" s="53">
        <f t="shared" si="27"/>
        <v>0</v>
      </c>
      <c r="F209" s="964"/>
      <c r="G209" s="53">
        <f t="shared" si="28"/>
        <v>1</v>
      </c>
      <c r="H209" s="964"/>
      <c r="I209" s="53">
        <f t="shared" si="29"/>
        <v>1</v>
      </c>
      <c r="J209" s="964"/>
      <c r="K209" s="53">
        <f t="shared" si="30"/>
        <v>1</v>
      </c>
      <c r="L209" s="964"/>
      <c r="M209" s="53">
        <f t="shared" si="31"/>
        <v>1</v>
      </c>
      <c r="N209" s="964"/>
      <c r="O209" s="53">
        <f t="shared" si="32"/>
        <v>1</v>
      </c>
      <c r="P209" s="964"/>
      <c r="Q209" s="53">
        <f t="shared" si="33"/>
        <v>1</v>
      </c>
      <c r="R209" s="491">
        <f t="shared" si="34"/>
        <v>0</v>
      </c>
      <c r="S209" s="800">
        <f t="shared" si="25"/>
        <v>0</v>
      </c>
    </row>
    <row r="210" spans="1:19">
      <c r="A210" s="966"/>
      <c r="B210" s="136"/>
      <c r="C210" s="53">
        <f t="shared" si="26"/>
        <v>1</v>
      </c>
      <c r="D210" s="964"/>
      <c r="E210" s="53">
        <f t="shared" si="27"/>
        <v>0</v>
      </c>
      <c r="F210" s="964"/>
      <c r="G210" s="53">
        <f t="shared" si="28"/>
        <v>1</v>
      </c>
      <c r="H210" s="964"/>
      <c r="I210" s="53">
        <f t="shared" si="29"/>
        <v>1</v>
      </c>
      <c r="J210" s="964"/>
      <c r="K210" s="53">
        <f t="shared" si="30"/>
        <v>1</v>
      </c>
      <c r="L210" s="964"/>
      <c r="M210" s="53">
        <f t="shared" si="31"/>
        <v>1</v>
      </c>
      <c r="N210" s="964"/>
      <c r="O210" s="53">
        <f t="shared" si="32"/>
        <v>1</v>
      </c>
      <c r="P210" s="964"/>
      <c r="Q210" s="53">
        <f t="shared" si="33"/>
        <v>1</v>
      </c>
      <c r="R210" s="491">
        <f t="shared" si="34"/>
        <v>0</v>
      </c>
      <c r="S210" s="800">
        <f t="shared" si="25"/>
        <v>0</v>
      </c>
    </row>
    <row r="211" spans="1:19">
      <c r="A211" s="966"/>
      <c r="B211" s="136"/>
      <c r="C211" s="53">
        <f t="shared" si="26"/>
        <v>1</v>
      </c>
      <c r="D211" s="964"/>
      <c r="E211" s="53">
        <f t="shared" si="27"/>
        <v>0</v>
      </c>
      <c r="F211" s="964"/>
      <c r="G211" s="53">
        <f t="shared" si="28"/>
        <v>1</v>
      </c>
      <c r="H211" s="964"/>
      <c r="I211" s="53">
        <f t="shared" si="29"/>
        <v>1</v>
      </c>
      <c r="J211" s="964"/>
      <c r="K211" s="53">
        <f t="shared" si="30"/>
        <v>1</v>
      </c>
      <c r="L211" s="964"/>
      <c r="M211" s="53">
        <f t="shared" si="31"/>
        <v>1</v>
      </c>
      <c r="N211" s="964"/>
      <c r="O211" s="53">
        <f t="shared" si="32"/>
        <v>1</v>
      </c>
      <c r="P211" s="964"/>
      <c r="Q211" s="53">
        <f t="shared" si="33"/>
        <v>1</v>
      </c>
      <c r="R211" s="491">
        <f t="shared" si="34"/>
        <v>0</v>
      </c>
      <c r="S211" s="800">
        <f t="shared" si="25"/>
        <v>0</v>
      </c>
    </row>
    <row r="212" spans="1:19">
      <c r="A212" s="966"/>
      <c r="B212" s="136"/>
      <c r="C212" s="53">
        <f t="shared" si="26"/>
        <v>1</v>
      </c>
      <c r="D212" s="964"/>
      <c r="E212" s="53">
        <f t="shared" si="27"/>
        <v>0</v>
      </c>
      <c r="F212" s="964"/>
      <c r="G212" s="53">
        <f t="shared" si="28"/>
        <v>1</v>
      </c>
      <c r="H212" s="964"/>
      <c r="I212" s="53">
        <f t="shared" si="29"/>
        <v>1</v>
      </c>
      <c r="J212" s="964"/>
      <c r="K212" s="53">
        <f t="shared" si="30"/>
        <v>1</v>
      </c>
      <c r="L212" s="964"/>
      <c r="M212" s="53">
        <f t="shared" si="31"/>
        <v>1</v>
      </c>
      <c r="N212" s="964"/>
      <c r="O212" s="53">
        <f t="shared" si="32"/>
        <v>1</v>
      </c>
      <c r="P212" s="964"/>
      <c r="Q212" s="53">
        <f t="shared" si="33"/>
        <v>1</v>
      </c>
      <c r="R212" s="491">
        <f t="shared" si="34"/>
        <v>0</v>
      </c>
      <c r="S212" s="800">
        <f t="shared" si="25"/>
        <v>0</v>
      </c>
    </row>
    <row r="213" spans="1:19">
      <c r="A213" s="966"/>
      <c r="B213" s="136"/>
      <c r="C213" s="53">
        <f t="shared" si="26"/>
        <v>1</v>
      </c>
      <c r="D213" s="964"/>
      <c r="E213" s="53">
        <f t="shared" si="27"/>
        <v>0</v>
      </c>
      <c r="F213" s="964"/>
      <c r="G213" s="53">
        <f t="shared" si="28"/>
        <v>1</v>
      </c>
      <c r="H213" s="964"/>
      <c r="I213" s="53">
        <f t="shared" si="29"/>
        <v>1</v>
      </c>
      <c r="J213" s="964"/>
      <c r="K213" s="53">
        <f t="shared" si="30"/>
        <v>1</v>
      </c>
      <c r="L213" s="964"/>
      <c r="M213" s="53">
        <f t="shared" si="31"/>
        <v>1</v>
      </c>
      <c r="N213" s="964"/>
      <c r="O213" s="53">
        <f t="shared" si="32"/>
        <v>1</v>
      </c>
      <c r="P213" s="964"/>
      <c r="Q213" s="53">
        <f t="shared" si="33"/>
        <v>1</v>
      </c>
      <c r="R213" s="491">
        <f t="shared" si="34"/>
        <v>0</v>
      </c>
      <c r="S213" s="800">
        <f t="shared" si="25"/>
        <v>0</v>
      </c>
    </row>
    <row r="214" spans="1:19">
      <c r="A214" s="966"/>
      <c r="B214" s="136"/>
      <c r="C214" s="53">
        <f t="shared" si="26"/>
        <v>1</v>
      </c>
      <c r="D214" s="964"/>
      <c r="E214" s="53">
        <f t="shared" si="27"/>
        <v>0</v>
      </c>
      <c r="F214" s="964"/>
      <c r="G214" s="53">
        <f t="shared" si="28"/>
        <v>1</v>
      </c>
      <c r="H214" s="964"/>
      <c r="I214" s="53">
        <f t="shared" si="29"/>
        <v>1</v>
      </c>
      <c r="J214" s="964"/>
      <c r="K214" s="53">
        <f t="shared" si="30"/>
        <v>1</v>
      </c>
      <c r="L214" s="964"/>
      <c r="M214" s="53">
        <f t="shared" si="31"/>
        <v>1</v>
      </c>
      <c r="N214" s="964"/>
      <c r="O214" s="53">
        <f t="shared" si="32"/>
        <v>1</v>
      </c>
      <c r="P214" s="964"/>
      <c r="Q214" s="53">
        <f t="shared" si="33"/>
        <v>1</v>
      </c>
      <c r="R214" s="491">
        <f t="shared" si="34"/>
        <v>0</v>
      </c>
      <c r="S214" s="800">
        <f t="shared" si="25"/>
        <v>0</v>
      </c>
    </row>
    <row r="215" spans="1:19">
      <c r="A215" s="966"/>
      <c r="B215" s="136"/>
      <c r="C215" s="53">
        <f t="shared" si="26"/>
        <v>1</v>
      </c>
      <c r="D215" s="964"/>
      <c r="E215" s="53">
        <f t="shared" si="27"/>
        <v>0</v>
      </c>
      <c r="F215" s="964"/>
      <c r="G215" s="53">
        <f t="shared" si="28"/>
        <v>1</v>
      </c>
      <c r="H215" s="964"/>
      <c r="I215" s="53">
        <f t="shared" si="29"/>
        <v>1</v>
      </c>
      <c r="J215" s="964"/>
      <c r="K215" s="53">
        <f t="shared" si="30"/>
        <v>1</v>
      </c>
      <c r="L215" s="964"/>
      <c r="M215" s="53">
        <f t="shared" si="31"/>
        <v>1</v>
      </c>
      <c r="N215" s="964"/>
      <c r="O215" s="53">
        <f t="shared" si="32"/>
        <v>1</v>
      </c>
      <c r="P215" s="964"/>
      <c r="Q215" s="53">
        <f t="shared" si="33"/>
        <v>1</v>
      </c>
      <c r="R215" s="491">
        <f t="shared" si="34"/>
        <v>0</v>
      </c>
      <c r="S215" s="800">
        <f t="shared" si="25"/>
        <v>0</v>
      </c>
    </row>
    <row r="216" spans="1:19">
      <c r="A216" s="966"/>
      <c r="B216" s="136"/>
      <c r="C216" s="53">
        <f t="shared" si="26"/>
        <v>1</v>
      </c>
      <c r="D216" s="964"/>
      <c r="E216" s="53">
        <f t="shared" si="27"/>
        <v>0</v>
      </c>
      <c r="F216" s="964"/>
      <c r="G216" s="53">
        <f t="shared" si="28"/>
        <v>1</v>
      </c>
      <c r="H216" s="964"/>
      <c r="I216" s="53">
        <f t="shared" si="29"/>
        <v>1</v>
      </c>
      <c r="J216" s="964"/>
      <c r="K216" s="53">
        <f t="shared" si="30"/>
        <v>1</v>
      </c>
      <c r="L216" s="964"/>
      <c r="M216" s="53">
        <f t="shared" si="31"/>
        <v>1</v>
      </c>
      <c r="N216" s="964"/>
      <c r="O216" s="53">
        <f t="shared" si="32"/>
        <v>1</v>
      </c>
      <c r="P216" s="964"/>
      <c r="Q216" s="53">
        <f t="shared" si="33"/>
        <v>1</v>
      </c>
      <c r="R216" s="491">
        <f t="shared" si="34"/>
        <v>0</v>
      </c>
      <c r="S216" s="800">
        <f t="shared" ref="S216:S279" si="35">ROUND(R216*B216/10000,0)</f>
        <v>0</v>
      </c>
    </row>
    <row r="217" spans="1:19">
      <c r="A217" s="966"/>
      <c r="B217" s="136"/>
      <c r="C217" s="53">
        <f t="shared" si="26"/>
        <v>1</v>
      </c>
      <c r="D217" s="964"/>
      <c r="E217" s="53">
        <f t="shared" si="27"/>
        <v>0</v>
      </c>
      <c r="F217" s="964"/>
      <c r="G217" s="53">
        <f t="shared" si="28"/>
        <v>1</v>
      </c>
      <c r="H217" s="964"/>
      <c r="I217" s="53">
        <f t="shared" si="29"/>
        <v>1</v>
      </c>
      <c r="J217" s="964"/>
      <c r="K217" s="53">
        <f t="shared" si="30"/>
        <v>1</v>
      </c>
      <c r="L217" s="964"/>
      <c r="M217" s="53">
        <f t="shared" si="31"/>
        <v>1</v>
      </c>
      <c r="N217" s="964"/>
      <c r="O217" s="53">
        <f t="shared" si="32"/>
        <v>1</v>
      </c>
      <c r="P217" s="964"/>
      <c r="Q217" s="53">
        <f t="shared" si="33"/>
        <v>1</v>
      </c>
      <c r="R217" s="491">
        <f t="shared" si="34"/>
        <v>0</v>
      </c>
      <c r="S217" s="800">
        <f t="shared" si="35"/>
        <v>0</v>
      </c>
    </row>
    <row r="218" spans="1:19">
      <c r="A218" s="966"/>
      <c r="B218" s="136"/>
      <c r="C218" s="53">
        <f t="shared" ref="C218:C281" si="36">IF(B218="",1,(LOOKUP(B218,$3:$3,$4:$4)-LOOKUP($B$24,$3:$3,$4:$4)+100)/100)</f>
        <v>1</v>
      </c>
      <c r="D218" s="964"/>
      <c r="E218" s="53">
        <f t="shared" ref="E218:E281" si="37">(SUMIF($5:$5,D218,$6:$6)-SUMIF($5:$5,$D$24,$6:$6)+100)/100</f>
        <v>0</v>
      </c>
      <c r="F218" s="964"/>
      <c r="G218" s="53">
        <f t="shared" ref="G218:G281" si="38">(SUMIF($7:$7,F218,$8:$8)-SUMIF($7:$7,$F$24,$8:$8)+100)/100</f>
        <v>1</v>
      </c>
      <c r="H218" s="964"/>
      <c r="I218" s="53">
        <f t="shared" ref="I218:I281" si="39">(SUMIF($9:$9,H218,$10:$10)-SUMIF($9:$9,$H$24,$10:$10)+100)/100</f>
        <v>1</v>
      </c>
      <c r="J218" s="964"/>
      <c r="K218" s="53">
        <f t="shared" ref="K218:K281" si="40">(SUMIF($11:$11,J218,$12:$12)-SUMIF($11:$11,$J$24,$12:$12)+100)/100</f>
        <v>1</v>
      </c>
      <c r="L218" s="964"/>
      <c r="M218" s="53">
        <f t="shared" ref="M218:M281" si="41">(SUMIF($13:$13,L218,$14:$14)-SUMIF($13:$13,$L$24,$14:$14)+100)/100</f>
        <v>1</v>
      </c>
      <c r="N218" s="964"/>
      <c r="O218" s="53">
        <f t="shared" ref="O218:O281" si="42">(SUMIF($15:$15,N218,$16:$16)-SUMIF($15:$15,$N$24,$16:$16)+100)/100</f>
        <v>1</v>
      </c>
      <c r="P218" s="964"/>
      <c r="Q218" s="53">
        <f t="shared" ref="Q218:Q281" si="43">(SUMIF($17:$17,P218,$18:$18)-SUMIF($17:$17,$P$24,$18:$18)+100)/100</f>
        <v>1</v>
      </c>
      <c r="R218" s="491">
        <f t="shared" ref="R218:R281" si="44">IF(B218="",0,ROUND($R$24*C218*E218*G218*I218*K218*M218*O218*Q218,0))</f>
        <v>0</v>
      </c>
      <c r="S218" s="800">
        <f t="shared" si="35"/>
        <v>0</v>
      </c>
    </row>
    <row r="219" spans="1:19">
      <c r="A219" s="966"/>
      <c r="B219" s="136"/>
      <c r="C219" s="53">
        <f t="shared" si="36"/>
        <v>1</v>
      </c>
      <c r="D219" s="964"/>
      <c r="E219" s="53">
        <f t="shared" si="37"/>
        <v>0</v>
      </c>
      <c r="F219" s="964"/>
      <c r="G219" s="53">
        <f t="shared" si="38"/>
        <v>1</v>
      </c>
      <c r="H219" s="964"/>
      <c r="I219" s="53">
        <f t="shared" si="39"/>
        <v>1</v>
      </c>
      <c r="J219" s="964"/>
      <c r="K219" s="53">
        <f t="shared" si="40"/>
        <v>1</v>
      </c>
      <c r="L219" s="964"/>
      <c r="M219" s="53">
        <f t="shared" si="41"/>
        <v>1</v>
      </c>
      <c r="N219" s="964"/>
      <c r="O219" s="53">
        <f t="shared" si="42"/>
        <v>1</v>
      </c>
      <c r="P219" s="964"/>
      <c r="Q219" s="53">
        <f t="shared" si="43"/>
        <v>1</v>
      </c>
      <c r="R219" s="491">
        <f t="shared" si="44"/>
        <v>0</v>
      </c>
      <c r="S219" s="800">
        <f t="shared" si="35"/>
        <v>0</v>
      </c>
    </row>
    <row r="220" spans="1:19">
      <c r="A220" s="966"/>
      <c r="B220" s="136"/>
      <c r="C220" s="53">
        <f t="shared" si="36"/>
        <v>1</v>
      </c>
      <c r="D220" s="964"/>
      <c r="E220" s="53">
        <f t="shared" si="37"/>
        <v>0</v>
      </c>
      <c r="F220" s="964"/>
      <c r="G220" s="53">
        <f t="shared" si="38"/>
        <v>1</v>
      </c>
      <c r="H220" s="964"/>
      <c r="I220" s="53">
        <f t="shared" si="39"/>
        <v>1</v>
      </c>
      <c r="J220" s="964"/>
      <c r="K220" s="53">
        <f t="shared" si="40"/>
        <v>1</v>
      </c>
      <c r="L220" s="964"/>
      <c r="M220" s="53">
        <f t="shared" si="41"/>
        <v>1</v>
      </c>
      <c r="N220" s="964"/>
      <c r="O220" s="53">
        <f t="shared" si="42"/>
        <v>1</v>
      </c>
      <c r="P220" s="964"/>
      <c r="Q220" s="53">
        <f t="shared" si="43"/>
        <v>1</v>
      </c>
      <c r="R220" s="491">
        <f t="shared" si="44"/>
        <v>0</v>
      </c>
      <c r="S220" s="800">
        <f t="shared" si="35"/>
        <v>0</v>
      </c>
    </row>
    <row r="221" spans="1:19">
      <c r="A221" s="966"/>
      <c r="B221" s="136"/>
      <c r="C221" s="53">
        <f t="shared" si="36"/>
        <v>1</v>
      </c>
      <c r="D221" s="964"/>
      <c r="E221" s="53">
        <f t="shared" si="37"/>
        <v>0</v>
      </c>
      <c r="F221" s="964"/>
      <c r="G221" s="53">
        <f t="shared" si="38"/>
        <v>1</v>
      </c>
      <c r="H221" s="964"/>
      <c r="I221" s="53">
        <f t="shared" si="39"/>
        <v>1</v>
      </c>
      <c r="J221" s="964"/>
      <c r="K221" s="53">
        <f t="shared" si="40"/>
        <v>1</v>
      </c>
      <c r="L221" s="964"/>
      <c r="M221" s="53">
        <f t="shared" si="41"/>
        <v>1</v>
      </c>
      <c r="N221" s="964"/>
      <c r="O221" s="53">
        <f t="shared" si="42"/>
        <v>1</v>
      </c>
      <c r="P221" s="964"/>
      <c r="Q221" s="53">
        <f t="shared" si="43"/>
        <v>1</v>
      </c>
      <c r="R221" s="491">
        <f t="shared" si="44"/>
        <v>0</v>
      </c>
      <c r="S221" s="800">
        <f t="shared" si="35"/>
        <v>0</v>
      </c>
    </row>
    <row r="222" spans="1:19">
      <c r="A222" s="966"/>
      <c r="B222" s="136"/>
      <c r="C222" s="53">
        <f t="shared" si="36"/>
        <v>1</v>
      </c>
      <c r="D222" s="964"/>
      <c r="E222" s="53">
        <f t="shared" si="37"/>
        <v>0</v>
      </c>
      <c r="F222" s="964"/>
      <c r="G222" s="53">
        <f t="shared" si="38"/>
        <v>1</v>
      </c>
      <c r="H222" s="964"/>
      <c r="I222" s="53">
        <f t="shared" si="39"/>
        <v>1</v>
      </c>
      <c r="J222" s="964"/>
      <c r="K222" s="53">
        <f t="shared" si="40"/>
        <v>1</v>
      </c>
      <c r="L222" s="964"/>
      <c r="M222" s="53">
        <f t="shared" si="41"/>
        <v>1</v>
      </c>
      <c r="N222" s="964"/>
      <c r="O222" s="53">
        <f t="shared" si="42"/>
        <v>1</v>
      </c>
      <c r="P222" s="964"/>
      <c r="Q222" s="53">
        <f t="shared" si="43"/>
        <v>1</v>
      </c>
      <c r="R222" s="491">
        <f t="shared" si="44"/>
        <v>0</v>
      </c>
      <c r="S222" s="800">
        <f t="shared" si="35"/>
        <v>0</v>
      </c>
    </row>
    <row r="223" spans="1:19">
      <c r="A223" s="966"/>
      <c r="B223" s="136"/>
      <c r="C223" s="53">
        <f t="shared" si="36"/>
        <v>1</v>
      </c>
      <c r="D223" s="964"/>
      <c r="E223" s="53">
        <f t="shared" si="37"/>
        <v>0</v>
      </c>
      <c r="F223" s="964"/>
      <c r="G223" s="53">
        <f t="shared" si="38"/>
        <v>1</v>
      </c>
      <c r="H223" s="964"/>
      <c r="I223" s="53">
        <f t="shared" si="39"/>
        <v>1</v>
      </c>
      <c r="J223" s="964"/>
      <c r="K223" s="53">
        <f t="shared" si="40"/>
        <v>1</v>
      </c>
      <c r="L223" s="964"/>
      <c r="M223" s="53">
        <f t="shared" si="41"/>
        <v>1</v>
      </c>
      <c r="N223" s="964"/>
      <c r="O223" s="53">
        <f t="shared" si="42"/>
        <v>1</v>
      </c>
      <c r="P223" s="964"/>
      <c r="Q223" s="53">
        <f t="shared" si="43"/>
        <v>1</v>
      </c>
      <c r="R223" s="491">
        <f t="shared" si="44"/>
        <v>0</v>
      </c>
      <c r="S223" s="800">
        <f t="shared" si="35"/>
        <v>0</v>
      </c>
    </row>
    <row r="224" spans="1:19">
      <c r="A224" s="966"/>
      <c r="B224" s="136"/>
      <c r="C224" s="53">
        <f t="shared" si="36"/>
        <v>1</v>
      </c>
      <c r="D224" s="964"/>
      <c r="E224" s="53">
        <f t="shared" si="37"/>
        <v>0</v>
      </c>
      <c r="F224" s="964"/>
      <c r="G224" s="53">
        <f t="shared" si="38"/>
        <v>1</v>
      </c>
      <c r="H224" s="964"/>
      <c r="I224" s="53">
        <f t="shared" si="39"/>
        <v>1</v>
      </c>
      <c r="J224" s="964"/>
      <c r="K224" s="53">
        <f t="shared" si="40"/>
        <v>1</v>
      </c>
      <c r="L224" s="964"/>
      <c r="M224" s="53">
        <f t="shared" si="41"/>
        <v>1</v>
      </c>
      <c r="N224" s="964"/>
      <c r="O224" s="53">
        <f t="shared" si="42"/>
        <v>1</v>
      </c>
      <c r="P224" s="964"/>
      <c r="Q224" s="53">
        <f t="shared" si="43"/>
        <v>1</v>
      </c>
      <c r="R224" s="491">
        <f t="shared" si="44"/>
        <v>0</v>
      </c>
      <c r="S224" s="800">
        <f t="shared" si="35"/>
        <v>0</v>
      </c>
    </row>
    <row r="225" spans="1:19">
      <c r="A225" s="966"/>
      <c r="B225" s="136"/>
      <c r="C225" s="53">
        <f t="shared" si="36"/>
        <v>1</v>
      </c>
      <c r="D225" s="964"/>
      <c r="E225" s="53">
        <f t="shared" si="37"/>
        <v>0</v>
      </c>
      <c r="F225" s="964"/>
      <c r="G225" s="53">
        <f t="shared" si="38"/>
        <v>1</v>
      </c>
      <c r="H225" s="964"/>
      <c r="I225" s="53">
        <f t="shared" si="39"/>
        <v>1</v>
      </c>
      <c r="J225" s="964"/>
      <c r="K225" s="53">
        <f t="shared" si="40"/>
        <v>1</v>
      </c>
      <c r="L225" s="964"/>
      <c r="M225" s="53">
        <f t="shared" si="41"/>
        <v>1</v>
      </c>
      <c r="N225" s="964"/>
      <c r="O225" s="53">
        <f t="shared" si="42"/>
        <v>1</v>
      </c>
      <c r="P225" s="964"/>
      <c r="Q225" s="53">
        <f t="shared" si="43"/>
        <v>1</v>
      </c>
      <c r="R225" s="491">
        <f t="shared" si="44"/>
        <v>0</v>
      </c>
      <c r="S225" s="800">
        <f t="shared" si="35"/>
        <v>0</v>
      </c>
    </row>
    <row r="226" spans="1:19">
      <c r="A226" s="966"/>
      <c r="B226" s="136"/>
      <c r="C226" s="53">
        <f t="shared" si="36"/>
        <v>1</v>
      </c>
      <c r="D226" s="964"/>
      <c r="E226" s="53">
        <f t="shared" si="37"/>
        <v>0</v>
      </c>
      <c r="F226" s="964"/>
      <c r="G226" s="53">
        <f t="shared" si="38"/>
        <v>1</v>
      </c>
      <c r="H226" s="964"/>
      <c r="I226" s="53">
        <f t="shared" si="39"/>
        <v>1</v>
      </c>
      <c r="J226" s="964"/>
      <c r="K226" s="53">
        <f t="shared" si="40"/>
        <v>1</v>
      </c>
      <c r="L226" s="964"/>
      <c r="M226" s="53">
        <f t="shared" si="41"/>
        <v>1</v>
      </c>
      <c r="N226" s="964"/>
      <c r="O226" s="53">
        <f t="shared" si="42"/>
        <v>1</v>
      </c>
      <c r="P226" s="964"/>
      <c r="Q226" s="53">
        <f t="shared" si="43"/>
        <v>1</v>
      </c>
      <c r="R226" s="491">
        <f t="shared" si="44"/>
        <v>0</v>
      </c>
      <c r="S226" s="800">
        <f t="shared" si="35"/>
        <v>0</v>
      </c>
    </row>
    <row r="227" spans="1:19">
      <c r="A227" s="966"/>
      <c r="B227" s="136"/>
      <c r="C227" s="53">
        <f t="shared" si="36"/>
        <v>1</v>
      </c>
      <c r="D227" s="964"/>
      <c r="E227" s="53">
        <f t="shared" si="37"/>
        <v>0</v>
      </c>
      <c r="F227" s="964"/>
      <c r="G227" s="53">
        <f t="shared" si="38"/>
        <v>1</v>
      </c>
      <c r="H227" s="964"/>
      <c r="I227" s="53">
        <f t="shared" si="39"/>
        <v>1</v>
      </c>
      <c r="J227" s="964"/>
      <c r="K227" s="53">
        <f t="shared" si="40"/>
        <v>1</v>
      </c>
      <c r="L227" s="964"/>
      <c r="M227" s="53">
        <f t="shared" si="41"/>
        <v>1</v>
      </c>
      <c r="N227" s="964"/>
      <c r="O227" s="53">
        <f t="shared" si="42"/>
        <v>1</v>
      </c>
      <c r="P227" s="964"/>
      <c r="Q227" s="53">
        <f t="shared" si="43"/>
        <v>1</v>
      </c>
      <c r="R227" s="491">
        <f t="shared" si="44"/>
        <v>0</v>
      </c>
      <c r="S227" s="800">
        <f t="shared" si="35"/>
        <v>0</v>
      </c>
    </row>
    <row r="228" spans="1:19">
      <c r="A228" s="966"/>
      <c r="B228" s="136"/>
      <c r="C228" s="53">
        <f t="shared" si="36"/>
        <v>1</v>
      </c>
      <c r="D228" s="964"/>
      <c r="E228" s="53">
        <f t="shared" si="37"/>
        <v>0</v>
      </c>
      <c r="F228" s="964"/>
      <c r="G228" s="53">
        <f t="shared" si="38"/>
        <v>1</v>
      </c>
      <c r="H228" s="964"/>
      <c r="I228" s="53">
        <f t="shared" si="39"/>
        <v>1</v>
      </c>
      <c r="J228" s="964"/>
      <c r="K228" s="53">
        <f t="shared" si="40"/>
        <v>1</v>
      </c>
      <c r="L228" s="964"/>
      <c r="M228" s="53">
        <f t="shared" si="41"/>
        <v>1</v>
      </c>
      <c r="N228" s="964"/>
      <c r="O228" s="53">
        <f t="shared" si="42"/>
        <v>1</v>
      </c>
      <c r="P228" s="964"/>
      <c r="Q228" s="53">
        <f t="shared" si="43"/>
        <v>1</v>
      </c>
      <c r="R228" s="491">
        <f t="shared" si="44"/>
        <v>0</v>
      </c>
      <c r="S228" s="800">
        <f t="shared" si="35"/>
        <v>0</v>
      </c>
    </row>
    <row r="229" spans="1:19">
      <c r="A229" s="966"/>
      <c r="B229" s="136"/>
      <c r="C229" s="53">
        <f t="shared" si="36"/>
        <v>1</v>
      </c>
      <c r="D229" s="964"/>
      <c r="E229" s="53">
        <f t="shared" si="37"/>
        <v>0</v>
      </c>
      <c r="F229" s="964"/>
      <c r="G229" s="53">
        <f t="shared" si="38"/>
        <v>1</v>
      </c>
      <c r="H229" s="964"/>
      <c r="I229" s="53">
        <f t="shared" si="39"/>
        <v>1</v>
      </c>
      <c r="J229" s="964"/>
      <c r="K229" s="53">
        <f t="shared" si="40"/>
        <v>1</v>
      </c>
      <c r="L229" s="964"/>
      <c r="M229" s="53">
        <f t="shared" si="41"/>
        <v>1</v>
      </c>
      <c r="N229" s="964"/>
      <c r="O229" s="53">
        <f t="shared" si="42"/>
        <v>1</v>
      </c>
      <c r="P229" s="964"/>
      <c r="Q229" s="53">
        <f t="shared" si="43"/>
        <v>1</v>
      </c>
      <c r="R229" s="491">
        <f t="shared" si="44"/>
        <v>0</v>
      </c>
      <c r="S229" s="800">
        <f t="shared" si="35"/>
        <v>0</v>
      </c>
    </row>
    <row r="230" spans="1:19">
      <c r="A230" s="966"/>
      <c r="B230" s="136"/>
      <c r="C230" s="53">
        <f t="shared" si="36"/>
        <v>1</v>
      </c>
      <c r="D230" s="964"/>
      <c r="E230" s="53">
        <f t="shared" si="37"/>
        <v>0</v>
      </c>
      <c r="F230" s="964"/>
      <c r="G230" s="53">
        <f t="shared" si="38"/>
        <v>1</v>
      </c>
      <c r="H230" s="964"/>
      <c r="I230" s="53">
        <f t="shared" si="39"/>
        <v>1</v>
      </c>
      <c r="J230" s="964"/>
      <c r="K230" s="53">
        <f t="shared" si="40"/>
        <v>1</v>
      </c>
      <c r="L230" s="964"/>
      <c r="M230" s="53">
        <f t="shared" si="41"/>
        <v>1</v>
      </c>
      <c r="N230" s="964"/>
      <c r="O230" s="53">
        <f t="shared" si="42"/>
        <v>1</v>
      </c>
      <c r="P230" s="964"/>
      <c r="Q230" s="53">
        <f t="shared" si="43"/>
        <v>1</v>
      </c>
      <c r="R230" s="491">
        <f t="shared" si="44"/>
        <v>0</v>
      </c>
      <c r="S230" s="800">
        <f t="shared" si="35"/>
        <v>0</v>
      </c>
    </row>
    <row r="231" spans="1:19">
      <c r="A231" s="966"/>
      <c r="B231" s="136"/>
      <c r="C231" s="53">
        <f t="shared" si="36"/>
        <v>1</v>
      </c>
      <c r="D231" s="964"/>
      <c r="E231" s="53">
        <f t="shared" si="37"/>
        <v>0</v>
      </c>
      <c r="F231" s="964"/>
      <c r="G231" s="53">
        <f t="shared" si="38"/>
        <v>1</v>
      </c>
      <c r="H231" s="964"/>
      <c r="I231" s="53">
        <f t="shared" si="39"/>
        <v>1</v>
      </c>
      <c r="J231" s="964"/>
      <c r="K231" s="53">
        <f t="shared" si="40"/>
        <v>1</v>
      </c>
      <c r="L231" s="964"/>
      <c r="M231" s="53">
        <f t="shared" si="41"/>
        <v>1</v>
      </c>
      <c r="N231" s="964"/>
      <c r="O231" s="53">
        <f t="shared" si="42"/>
        <v>1</v>
      </c>
      <c r="P231" s="964"/>
      <c r="Q231" s="53">
        <f t="shared" si="43"/>
        <v>1</v>
      </c>
      <c r="R231" s="491">
        <f t="shared" si="44"/>
        <v>0</v>
      </c>
      <c r="S231" s="800">
        <f t="shared" si="35"/>
        <v>0</v>
      </c>
    </row>
    <row r="232" spans="1:19">
      <c r="A232" s="966"/>
      <c r="B232" s="136"/>
      <c r="C232" s="53">
        <f t="shared" si="36"/>
        <v>1</v>
      </c>
      <c r="D232" s="964"/>
      <c r="E232" s="53">
        <f t="shared" si="37"/>
        <v>0</v>
      </c>
      <c r="F232" s="964"/>
      <c r="G232" s="53">
        <f t="shared" si="38"/>
        <v>1</v>
      </c>
      <c r="H232" s="964"/>
      <c r="I232" s="53">
        <f t="shared" si="39"/>
        <v>1</v>
      </c>
      <c r="J232" s="964"/>
      <c r="K232" s="53">
        <f t="shared" si="40"/>
        <v>1</v>
      </c>
      <c r="L232" s="964"/>
      <c r="M232" s="53">
        <f t="shared" si="41"/>
        <v>1</v>
      </c>
      <c r="N232" s="964"/>
      <c r="O232" s="53">
        <f t="shared" si="42"/>
        <v>1</v>
      </c>
      <c r="P232" s="964"/>
      <c r="Q232" s="53">
        <f t="shared" si="43"/>
        <v>1</v>
      </c>
      <c r="R232" s="491">
        <f t="shared" si="44"/>
        <v>0</v>
      </c>
      <c r="S232" s="800">
        <f t="shared" si="35"/>
        <v>0</v>
      </c>
    </row>
    <row r="233" spans="1:19">
      <c r="A233" s="966"/>
      <c r="B233" s="136"/>
      <c r="C233" s="53">
        <f t="shared" si="36"/>
        <v>1</v>
      </c>
      <c r="D233" s="964"/>
      <c r="E233" s="53">
        <f t="shared" si="37"/>
        <v>0</v>
      </c>
      <c r="F233" s="964"/>
      <c r="G233" s="53">
        <f t="shared" si="38"/>
        <v>1</v>
      </c>
      <c r="H233" s="964"/>
      <c r="I233" s="53">
        <f t="shared" si="39"/>
        <v>1</v>
      </c>
      <c r="J233" s="964"/>
      <c r="K233" s="53">
        <f t="shared" si="40"/>
        <v>1</v>
      </c>
      <c r="L233" s="964"/>
      <c r="M233" s="53">
        <f t="shared" si="41"/>
        <v>1</v>
      </c>
      <c r="N233" s="964"/>
      <c r="O233" s="53">
        <f t="shared" si="42"/>
        <v>1</v>
      </c>
      <c r="P233" s="964"/>
      <c r="Q233" s="53">
        <f t="shared" si="43"/>
        <v>1</v>
      </c>
      <c r="R233" s="491">
        <f t="shared" si="44"/>
        <v>0</v>
      </c>
      <c r="S233" s="800">
        <f t="shared" si="35"/>
        <v>0</v>
      </c>
    </row>
    <row r="234" spans="1:19">
      <c r="A234" s="966"/>
      <c r="B234" s="136"/>
      <c r="C234" s="53">
        <f t="shared" si="36"/>
        <v>1</v>
      </c>
      <c r="D234" s="964"/>
      <c r="E234" s="53">
        <f t="shared" si="37"/>
        <v>0</v>
      </c>
      <c r="F234" s="964"/>
      <c r="G234" s="53">
        <f t="shared" si="38"/>
        <v>1</v>
      </c>
      <c r="H234" s="964"/>
      <c r="I234" s="53">
        <f t="shared" si="39"/>
        <v>1</v>
      </c>
      <c r="J234" s="964"/>
      <c r="K234" s="53">
        <f t="shared" si="40"/>
        <v>1</v>
      </c>
      <c r="L234" s="964"/>
      <c r="M234" s="53">
        <f t="shared" si="41"/>
        <v>1</v>
      </c>
      <c r="N234" s="964"/>
      <c r="O234" s="53">
        <f t="shared" si="42"/>
        <v>1</v>
      </c>
      <c r="P234" s="964"/>
      <c r="Q234" s="53">
        <f t="shared" si="43"/>
        <v>1</v>
      </c>
      <c r="R234" s="491">
        <f t="shared" si="44"/>
        <v>0</v>
      </c>
      <c r="S234" s="800">
        <f t="shared" si="35"/>
        <v>0</v>
      </c>
    </row>
    <row r="235" spans="1:19">
      <c r="A235" s="966"/>
      <c r="B235" s="136"/>
      <c r="C235" s="53">
        <f t="shared" si="36"/>
        <v>1</v>
      </c>
      <c r="D235" s="964"/>
      <c r="E235" s="53">
        <f t="shared" si="37"/>
        <v>0</v>
      </c>
      <c r="F235" s="964"/>
      <c r="G235" s="53">
        <f t="shared" si="38"/>
        <v>1</v>
      </c>
      <c r="H235" s="964"/>
      <c r="I235" s="53">
        <f t="shared" si="39"/>
        <v>1</v>
      </c>
      <c r="J235" s="964"/>
      <c r="K235" s="53">
        <f t="shared" si="40"/>
        <v>1</v>
      </c>
      <c r="L235" s="964"/>
      <c r="M235" s="53">
        <f t="shared" si="41"/>
        <v>1</v>
      </c>
      <c r="N235" s="964"/>
      <c r="O235" s="53">
        <f t="shared" si="42"/>
        <v>1</v>
      </c>
      <c r="P235" s="964"/>
      <c r="Q235" s="53">
        <f t="shared" si="43"/>
        <v>1</v>
      </c>
      <c r="R235" s="491">
        <f t="shared" si="44"/>
        <v>0</v>
      </c>
      <c r="S235" s="800">
        <f t="shared" si="35"/>
        <v>0</v>
      </c>
    </row>
    <row r="236" spans="1:19">
      <c r="A236" s="966"/>
      <c r="B236" s="136"/>
      <c r="C236" s="53">
        <f t="shared" si="36"/>
        <v>1</v>
      </c>
      <c r="D236" s="964"/>
      <c r="E236" s="53">
        <f t="shared" si="37"/>
        <v>0</v>
      </c>
      <c r="F236" s="964"/>
      <c r="G236" s="53">
        <f t="shared" si="38"/>
        <v>1</v>
      </c>
      <c r="H236" s="964"/>
      <c r="I236" s="53">
        <f t="shared" si="39"/>
        <v>1</v>
      </c>
      <c r="J236" s="964"/>
      <c r="K236" s="53">
        <f t="shared" si="40"/>
        <v>1</v>
      </c>
      <c r="L236" s="964"/>
      <c r="M236" s="53">
        <f t="shared" si="41"/>
        <v>1</v>
      </c>
      <c r="N236" s="964"/>
      <c r="O236" s="53">
        <f t="shared" si="42"/>
        <v>1</v>
      </c>
      <c r="P236" s="964"/>
      <c r="Q236" s="53">
        <f t="shared" si="43"/>
        <v>1</v>
      </c>
      <c r="R236" s="491">
        <f t="shared" si="44"/>
        <v>0</v>
      </c>
      <c r="S236" s="800">
        <f t="shared" si="35"/>
        <v>0</v>
      </c>
    </row>
    <row r="237" spans="1:19">
      <c r="A237" s="966"/>
      <c r="B237" s="136"/>
      <c r="C237" s="53">
        <f t="shared" si="36"/>
        <v>1</v>
      </c>
      <c r="D237" s="964"/>
      <c r="E237" s="53">
        <f t="shared" si="37"/>
        <v>0</v>
      </c>
      <c r="F237" s="964"/>
      <c r="G237" s="53">
        <f t="shared" si="38"/>
        <v>1</v>
      </c>
      <c r="H237" s="964"/>
      <c r="I237" s="53">
        <f t="shared" si="39"/>
        <v>1</v>
      </c>
      <c r="J237" s="964"/>
      <c r="K237" s="53">
        <f t="shared" si="40"/>
        <v>1</v>
      </c>
      <c r="L237" s="964"/>
      <c r="M237" s="53">
        <f t="shared" si="41"/>
        <v>1</v>
      </c>
      <c r="N237" s="964"/>
      <c r="O237" s="53">
        <f t="shared" si="42"/>
        <v>1</v>
      </c>
      <c r="P237" s="964"/>
      <c r="Q237" s="53">
        <f t="shared" si="43"/>
        <v>1</v>
      </c>
      <c r="R237" s="491">
        <f t="shared" si="44"/>
        <v>0</v>
      </c>
      <c r="S237" s="800">
        <f t="shared" si="35"/>
        <v>0</v>
      </c>
    </row>
    <row r="238" spans="1:19">
      <c r="A238" s="966"/>
      <c r="B238" s="136"/>
      <c r="C238" s="53">
        <f t="shared" si="36"/>
        <v>1</v>
      </c>
      <c r="D238" s="964"/>
      <c r="E238" s="53">
        <f t="shared" si="37"/>
        <v>0</v>
      </c>
      <c r="F238" s="964"/>
      <c r="G238" s="53">
        <f t="shared" si="38"/>
        <v>1</v>
      </c>
      <c r="H238" s="964"/>
      <c r="I238" s="53">
        <f t="shared" si="39"/>
        <v>1</v>
      </c>
      <c r="J238" s="964"/>
      <c r="K238" s="53">
        <f t="shared" si="40"/>
        <v>1</v>
      </c>
      <c r="L238" s="964"/>
      <c r="M238" s="53">
        <f t="shared" si="41"/>
        <v>1</v>
      </c>
      <c r="N238" s="964"/>
      <c r="O238" s="53">
        <f t="shared" si="42"/>
        <v>1</v>
      </c>
      <c r="P238" s="964"/>
      <c r="Q238" s="53">
        <f t="shared" si="43"/>
        <v>1</v>
      </c>
      <c r="R238" s="491">
        <f t="shared" si="44"/>
        <v>0</v>
      </c>
      <c r="S238" s="800">
        <f t="shared" si="35"/>
        <v>0</v>
      </c>
    </row>
    <row r="239" spans="1:19">
      <c r="A239" s="966"/>
      <c r="B239" s="136"/>
      <c r="C239" s="53">
        <f t="shared" si="36"/>
        <v>1</v>
      </c>
      <c r="D239" s="964"/>
      <c r="E239" s="53">
        <f t="shared" si="37"/>
        <v>0</v>
      </c>
      <c r="F239" s="964"/>
      <c r="G239" s="53">
        <f t="shared" si="38"/>
        <v>1</v>
      </c>
      <c r="H239" s="964"/>
      <c r="I239" s="53">
        <f t="shared" si="39"/>
        <v>1</v>
      </c>
      <c r="J239" s="964"/>
      <c r="K239" s="53">
        <f t="shared" si="40"/>
        <v>1</v>
      </c>
      <c r="L239" s="964"/>
      <c r="M239" s="53">
        <f t="shared" si="41"/>
        <v>1</v>
      </c>
      <c r="N239" s="964"/>
      <c r="O239" s="53">
        <f t="shared" si="42"/>
        <v>1</v>
      </c>
      <c r="P239" s="964"/>
      <c r="Q239" s="53">
        <f t="shared" si="43"/>
        <v>1</v>
      </c>
      <c r="R239" s="491">
        <f t="shared" si="44"/>
        <v>0</v>
      </c>
      <c r="S239" s="800">
        <f t="shared" si="35"/>
        <v>0</v>
      </c>
    </row>
    <row r="240" spans="1:19">
      <c r="A240" s="966"/>
      <c r="B240" s="136"/>
      <c r="C240" s="53">
        <f t="shared" si="36"/>
        <v>1</v>
      </c>
      <c r="D240" s="964"/>
      <c r="E240" s="53">
        <f t="shared" si="37"/>
        <v>0</v>
      </c>
      <c r="F240" s="964"/>
      <c r="G240" s="53">
        <f t="shared" si="38"/>
        <v>1</v>
      </c>
      <c r="H240" s="964"/>
      <c r="I240" s="53">
        <f t="shared" si="39"/>
        <v>1</v>
      </c>
      <c r="J240" s="964"/>
      <c r="K240" s="53">
        <f t="shared" si="40"/>
        <v>1</v>
      </c>
      <c r="L240" s="964"/>
      <c r="M240" s="53">
        <f t="shared" si="41"/>
        <v>1</v>
      </c>
      <c r="N240" s="964"/>
      <c r="O240" s="53">
        <f t="shared" si="42"/>
        <v>1</v>
      </c>
      <c r="P240" s="964"/>
      <c r="Q240" s="53">
        <f t="shared" si="43"/>
        <v>1</v>
      </c>
      <c r="R240" s="491">
        <f t="shared" si="44"/>
        <v>0</v>
      </c>
      <c r="S240" s="800">
        <f t="shared" si="35"/>
        <v>0</v>
      </c>
    </row>
    <row r="241" spans="1:19">
      <c r="A241" s="966"/>
      <c r="B241" s="136"/>
      <c r="C241" s="53">
        <f t="shared" si="36"/>
        <v>1</v>
      </c>
      <c r="D241" s="964"/>
      <c r="E241" s="53">
        <f t="shared" si="37"/>
        <v>0</v>
      </c>
      <c r="F241" s="964"/>
      <c r="G241" s="53">
        <f t="shared" si="38"/>
        <v>1</v>
      </c>
      <c r="H241" s="964"/>
      <c r="I241" s="53">
        <f t="shared" si="39"/>
        <v>1</v>
      </c>
      <c r="J241" s="964"/>
      <c r="K241" s="53">
        <f t="shared" si="40"/>
        <v>1</v>
      </c>
      <c r="L241" s="964"/>
      <c r="M241" s="53">
        <f t="shared" si="41"/>
        <v>1</v>
      </c>
      <c r="N241" s="964"/>
      <c r="O241" s="53">
        <f t="shared" si="42"/>
        <v>1</v>
      </c>
      <c r="P241" s="964"/>
      <c r="Q241" s="53">
        <f t="shared" si="43"/>
        <v>1</v>
      </c>
      <c r="R241" s="491">
        <f t="shared" si="44"/>
        <v>0</v>
      </c>
      <c r="S241" s="800">
        <f t="shared" si="35"/>
        <v>0</v>
      </c>
    </row>
    <row r="242" spans="1:19">
      <c r="A242" s="966"/>
      <c r="B242" s="136"/>
      <c r="C242" s="53">
        <f t="shared" si="36"/>
        <v>1</v>
      </c>
      <c r="D242" s="964"/>
      <c r="E242" s="53">
        <f t="shared" si="37"/>
        <v>0</v>
      </c>
      <c r="F242" s="964"/>
      <c r="G242" s="53">
        <f t="shared" si="38"/>
        <v>1</v>
      </c>
      <c r="H242" s="964"/>
      <c r="I242" s="53">
        <f t="shared" si="39"/>
        <v>1</v>
      </c>
      <c r="J242" s="964"/>
      <c r="K242" s="53">
        <f t="shared" si="40"/>
        <v>1</v>
      </c>
      <c r="L242" s="964"/>
      <c r="M242" s="53">
        <f t="shared" si="41"/>
        <v>1</v>
      </c>
      <c r="N242" s="964"/>
      <c r="O242" s="53">
        <f t="shared" si="42"/>
        <v>1</v>
      </c>
      <c r="P242" s="964"/>
      <c r="Q242" s="53">
        <f t="shared" si="43"/>
        <v>1</v>
      </c>
      <c r="R242" s="491">
        <f t="shared" si="44"/>
        <v>0</v>
      </c>
      <c r="S242" s="800">
        <f t="shared" si="35"/>
        <v>0</v>
      </c>
    </row>
    <row r="243" spans="1:19">
      <c r="A243" s="966"/>
      <c r="B243" s="136"/>
      <c r="C243" s="53">
        <f t="shared" si="36"/>
        <v>1</v>
      </c>
      <c r="D243" s="964"/>
      <c r="E243" s="53">
        <f t="shared" si="37"/>
        <v>0</v>
      </c>
      <c r="F243" s="964"/>
      <c r="G243" s="53">
        <f t="shared" si="38"/>
        <v>1</v>
      </c>
      <c r="H243" s="964"/>
      <c r="I243" s="53">
        <f t="shared" si="39"/>
        <v>1</v>
      </c>
      <c r="J243" s="964"/>
      <c r="K243" s="53">
        <f t="shared" si="40"/>
        <v>1</v>
      </c>
      <c r="L243" s="964"/>
      <c r="M243" s="53">
        <f t="shared" si="41"/>
        <v>1</v>
      </c>
      <c r="N243" s="964"/>
      <c r="O243" s="53">
        <f t="shared" si="42"/>
        <v>1</v>
      </c>
      <c r="P243" s="964"/>
      <c r="Q243" s="53">
        <f t="shared" si="43"/>
        <v>1</v>
      </c>
      <c r="R243" s="491">
        <f t="shared" si="44"/>
        <v>0</v>
      </c>
      <c r="S243" s="800">
        <f t="shared" si="35"/>
        <v>0</v>
      </c>
    </row>
    <row r="244" spans="1:19">
      <c r="A244" s="966"/>
      <c r="B244" s="136"/>
      <c r="C244" s="53">
        <f t="shared" si="36"/>
        <v>1</v>
      </c>
      <c r="D244" s="964"/>
      <c r="E244" s="53">
        <f t="shared" si="37"/>
        <v>0</v>
      </c>
      <c r="F244" s="964"/>
      <c r="G244" s="53">
        <f t="shared" si="38"/>
        <v>1</v>
      </c>
      <c r="H244" s="964"/>
      <c r="I244" s="53">
        <f t="shared" si="39"/>
        <v>1</v>
      </c>
      <c r="J244" s="964"/>
      <c r="K244" s="53">
        <f t="shared" si="40"/>
        <v>1</v>
      </c>
      <c r="L244" s="964"/>
      <c r="M244" s="53">
        <f t="shared" si="41"/>
        <v>1</v>
      </c>
      <c r="N244" s="964"/>
      <c r="O244" s="53">
        <f t="shared" si="42"/>
        <v>1</v>
      </c>
      <c r="P244" s="964"/>
      <c r="Q244" s="53">
        <f t="shared" si="43"/>
        <v>1</v>
      </c>
      <c r="R244" s="491">
        <f t="shared" si="44"/>
        <v>0</v>
      </c>
      <c r="S244" s="800">
        <f t="shared" si="35"/>
        <v>0</v>
      </c>
    </row>
    <row r="245" spans="1:19">
      <c r="A245" s="966"/>
      <c r="B245" s="136"/>
      <c r="C245" s="53">
        <f t="shared" si="36"/>
        <v>1</v>
      </c>
      <c r="D245" s="964"/>
      <c r="E245" s="53">
        <f t="shared" si="37"/>
        <v>0</v>
      </c>
      <c r="F245" s="964"/>
      <c r="G245" s="53">
        <f t="shared" si="38"/>
        <v>1</v>
      </c>
      <c r="H245" s="964"/>
      <c r="I245" s="53">
        <f t="shared" si="39"/>
        <v>1</v>
      </c>
      <c r="J245" s="964"/>
      <c r="K245" s="53">
        <f t="shared" si="40"/>
        <v>1</v>
      </c>
      <c r="L245" s="964"/>
      <c r="M245" s="53">
        <f t="shared" si="41"/>
        <v>1</v>
      </c>
      <c r="N245" s="964"/>
      <c r="O245" s="53">
        <f t="shared" si="42"/>
        <v>1</v>
      </c>
      <c r="P245" s="964"/>
      <c r="Q245" s="53">
        <f t="shared" si="43"/>
        <v>1</v>
      </c>
      <c r="R245" s="491">
        <f t="shared" si="44"/>
        <v>0</v>
      </c>
      <c r="S245" s="800">
        <f t="shared" si="35"/>
        <v>0</v>
      </c>
    </row>
    <row r="246" spans="1:19">
      <c r="A246" s="966"/>
      <c r="B246" s="136"/>
      <c r="C246" s="53">
        <f t="shared" si="36"/>
        <v>1</v>
      </c>
      <c r="D246" s="964"/>
      <c r="E246" s="53">
        <f t="shared" si="37"/>
        <v>0</v>
      </c>
      <c r="F246" s="964"/>
      <c r="G246" s="53">
        <f t="shared" si="38"/>
        <v>1</v>
      </c>
      <c r="H246" s="964"/>
      <c r="I246" s="53">
        <f t="shared" si="39"/>
        <v>1</v>
      </c>
      <c r="J246" s="964"/>
      <c r="K246" s="53">
        <f t="shared" si="40"/>
        <v>1</v>
      </c>
      <c r="L246" s="964"/>
      <c r="M246" s="53">
        <f t="shared" si="41"/>
        <v>1</v>
      </c>
      <c r="N246" s="964"/>
      <c r="O246" s="53">
        <f t="shared" si="42"/>
        <v>1</v>
      </c>
      <c r="P246" s="964"/>
      <c r="Q246" s="53">
        <f t="shared" si="43"/>
        <v>1</v>
      </c>
      <c r="R246" s="491">
        <f t="shared" si="44"/>
        <v>0</v>
      </c>
      <c r="S246" s="800">
        <f t="shared" si="35"/>
        <v>0</v>
      </c>
    </row>
    <row r="247" spans="1:19">
      <c r="A247" s="966"/>
      <c r="B247" s="136"/>
      <c r="C247" s="53">
        <f t="shared" si="36"/>
        <v>1</v>
      </c>
      <c r="D247" s="964"/>
      <c r="E247" s="53">
        <f t="shared" si="37"/>
        <v>0</v>
      </c>
      <c r="F247" s="964"/>
      <c r="G247" s="53">
        <f t="shared" si="38"/>
        <v>1</v>
      </c>
      <c r="H247" s="964"/>
      <c r="I247" s="53">
        <f t="shared" si="39"/>
        <v>1</v>
      </c>
      <c r="J247" s="964"/>
      <c r="K247" s="53">
        <f t="shared" si="40"/>
        <v>1</v>
      </c>
      <c r="L247" s="964"/>
      <c r="M247" s="53">
        <f t="shared" si="41"/>
        <v>1</v>
      </c>
      <c r="N247" s="964"/>
      <c r="O247" s="53">
        <f t="shared" si="42"/>
        <v>1</v>
      </c>
      <c r="P247" s="964"/>
      <c r="Q247" s="53">
        <f t="shared" si="43"/>
        <v>1</v>
      </c>
      <c r="R247" s="491">
        <f t="shared" si="44"/>
        <v>0</v>
      </c>
      <c r="S247" s="800">
        <f t="shared" si="35"/>
        <v>0</v>
      </c>
    </row>
    <row r="248" spans="1:19">
      <c r="A248" s="966"/>
      <c r="B248" s="136"/>
      <c r="C248" s="53">
        <f t="shared" si="36"/>
        <v>1</v>
      </c>
      <c r="D248" s="964"/>
      <c r="E248" s="53">
        <f t="shared" si="37"/>
        <v>0</v>
      </c>
      <c r="F248" s="964"/>
      <c r="G248" s="53">
        <f t="shared" si="38"/>
        <v>1</v>
      </c>
      <c r="H248" s="964"/>
      <c r="I248" s="53">
        <f t="shared" si="39"/>
        <v>1</v>
      </c>
      <c r="J248" s="964"/>
      <c r="K248" s="53">
        <f t="shared" si="40"/>
        <v>1</v>
      </c>
      <c r="L248" s="964"/>
      <c r="M248" s="53">
        <f t="shared" si="41"/>
        <v>1</v>
      </c>
      <c r="N248" s="964"/>
      <c r="O248" s="53">
        <f t="shared" si="42"/>
        <v>1</v>
      </c>
      <c r="P248" s="964"/>
      <c r="Q248" s="53">
        <f t="shared" si="43"/>
        <v>1</v>
      </c>
      <c r="R248" s="491">
        <f t="shared" si="44"/>
        <v>0</v>
      </c>
      <c r="S248" s="800">
        <f t="shared" si="35"/>
        <v>0</v>
      </c>
    </row>
    <row r="249" spans="1:19">
      <c r="A249" s="966"/>
      <c r="B249" s="136"/>
      <c r="C249" s="53">
        <f t="shared" si="36"/>
        <v>1</v>
      </c>
      <c r="D249" s="964"/>
      <c r="E249" s="53">
        <f t="shared" si="37"/>
        <v>0</v>
      </c>
      <c r="F249" s="964"/>
      <c r="G249" s="53">
        <f t="shared" si="38"/>
        <v>1</v>
      </c>
      <c r="H249" s="964"/>
      <c r="I249" s="53">
        <f t="shared" si="39"/>
        <v>1</v>
      </c>
      <c r="J249" s="964"/>
      <c r="K249" s="53">
        <f t="shared" si="40"/>
        <v>1</v>
      </c>
      <c r="L249" s="964"/>
      <c r="M249" s="53">
        <f t="shared" si="41"/>
        <v>1</v>
      </c>
      <c r="N249" s="964"/>
      <c r="O249" s="53">
        <f t="shared" si="42"/>
        <v>1</v>
      </c>
      <c r="P249" s="964"/>
      <c r="Q249" s="53">
        <f t="shared" si="43"/>
        <v>1</v>
      </c>
      <c r="R249" s="491">
        <f t="shared" si="44"/>
        <v>0</v>
      </c>
      <c r="S249" s="800">
        <f t="shared" si="35"/>
        <v>0</v>
      </c>
    </row>
    <row r="250" spans="1:19">
      <c r="A250" s="966"/>
      <c r="B250" s="136"/>
      <c r="C250" s="53">
        <f t="shared" si="36"/>
        <v>1</v>
      </c>
      <c r="D250" s="964"/>
      <c r="E250" s="53">
        <f t="shared" si="37"/>
        <v>0</v>
      </c>
      <c r="F250" s="964"/>
      <c r="G250" s="53">
        <f t="shared" si="38"/>
        <v>1</v>
      </c>
      <c r="H250" s="964"/>
      <c r="I250" s="53">
        <f t="shared" si="39"/>
        <v>1</v>
      </c>
      <c r="J250" s="964"/>
      <c r="K250" s="53">
        <f t="shared" si="40"/>
        <v>1</v>
      </c>
      <c r="L250" s="964"/>
      <c r="M250" s="53">
        <f t="shared" si="41"/>
        <v>1</v>
      </c>
      <c r="N250" s="964"/>
      <c r="O250" s="53">
        <f t="shared" si="42"/>
        <v>1</v>
      </c>
      <c r="P250" s="964"/>
      <c r="Q250" s="53">
        <f t="shared" si="43"/>
        <v>1</v>
      </c>
      <c r="R250" s="491">
        <f t="shared" si="44"/>
        <v>0</v>
      </c>
      <c r="S250" s="800">
        <f t="shared" si="35"/>
        <v>0</v>
      </c>
    </row>
    <row r="251" spans="1:19">
      <c r="A251" s="966"/>
      <c r="B251" s="136"/>
      <c r="C251" s="53">
        <f t="shared" si="36"/>
        <v>1</v>
      </c>
      <c r="D251" s="964"/>
      <c r="E251" s="53">
        <f t="shared" si="37"/>
        <v>0</v>
      </c>
      <c r="F251" s="964"/>
      <c r="G251" s="53">
        <f t="shared" si="38"/>
        <v>1</v>
      </c>
      <c r="H251" s="964"/>
      <c r="I251" s="53">
        <f t="shared" si="39"/>
        <v>1</v>
      </c>
      <c r="J251" s="964"/>
      <c r="K251" s="53">
        <f t="shared" si="40"/>
        <v>1</v>
      </c>
      <c r="L251" s="964"/>
      <c r="M251" s="53">
        <f t="shared" si="41"/>
        <v>1</v>
      </c>
      <c r="N251" s="964"/>
      <c r="O251" s="53">
        <f t="shared" si="42"/>
        <v>1</v>
      </c>
      <c r="P251" s="964"/>
      <c r="Q251" s="53">
        <f t="shared" si="43"/>
        <v>1</v>
      </c>
      <c r="R251" s="491">
        <f t="shared" si="44"/>
        <v>0</v>
      </c>
      <c r="S251" s="800">
        <f t="shared" si="35"/>
        <v>0</v>
      </c>
    </row>
    <row r="252" spans="1:19">
      <c r="A252" s="966"/>
      <c r="B252" s="136"/>
      <c r="C252" s="53">
        <f t="shared" si="36"/>
        <v>1</v>
      </c>
      <c r="D252" s="964"/>
      <c r="E252" s="53">
        <f t="shared" si="37"/>
        <v>0</v>
      </c>
      <c r="F252" s="964"/>
      <c r="G252" s="53">
        <f t="shared" si="38"/>
        <v>1</v>
      </c>
      <c r="H252" s="964"/>
      <c r="I252" s="53">
        <f t="shared" si="39"/>
        <v>1</v>
      </c>
      <c r="J252" s="964"/>
      <c r="K252" s="53">
        <f t="shared" si="40"/>
        <v>1</v>
      </c>
      <c r="L252" s="964"/>
      <c r="M252" s="53">
        <f t="shared" si="41"/>
        <v>1</v>
      </c>
      <c r="N252" s="964"/>
      <c r="O252" s="53">
        <f t="shared" si="42"/>
        <v>1</v>
      </c>
      <c r="P252" s="964"/>
      <c r="Q252" s="53">
        <f t="shared" si="43"/>
        <v>1</v>
      </c>
      <c r="R252" s="491">
        <f t="shared" si="44"/>
        <v>0</v>
      </c>
      <c r="S252" s="800">
        <f t="shared" si="35"/>
        <v>0</v>
      </c>
    </row>
    <row r="253" spans="1:19">
      <c r="A253" s="966"/>
      <c r="B253" s="136"/>
      <c r="C253" s="53">
        <f t="shared" si="36"/>
        <v>1</v>
      </c>
      <c r="D253" s="964"/>
      <c r="E253" s="53">
        <f t="shared" si="37"/>
        <v>0</v>
      </c>
      <c r="F253" s="964"/>
      <c r="G253" s="53">
        <f t="shared" si="38"/>
        <v>1</v>
      </c>
      <c r="H253" s="964"/>
      <c r="I253" s="53">
        <f t="shared" si="39"/>
        <v>1</v>
      </c>
      <c r="J253" s="964"/>
      <c r="K253" s="53">
        <f t="shared" si="40"/>
        <v>1</v>
      </c>
      <c r="L253" s="964"/>
      <c r="M253" s="53">
        <f t="shared" si="41"/>
        <v>1</v>
      </c>
      <c r="N253" s="964"/>
      <c r="O253" s="53">
        <f t="shared" si="42"/>
        <v>1</v>
      </c>
      <c r="P253" s="964"/>
      <c r="Q253" s="53">
        <f t="shared" si="43"/>
        <v>1</v>
      </c>
      <c r="R253" s="491">
        <f t="shared" si="44"/>
        <v>0</v>
      </c>
      <c r="S253" s="800">
        <f t="shared" si="35"/>
        <v>0</v>
      </c>
    </row>
    <row r="254" spans="1:19">
      <c r="A254" s="966"/>
      <c r="B254" s="136"/>
      <c r="C254" s="53">
        <f t="shared" si="36"/>
        <v>1</v>
      </c>
      <c r="D254" s="964"/>
      <c r="E254" s="53">
        <f t="shared" si="37"/>
        <v>0</v>
      </c>
      <c r="F254" s="964"/>
      <c r="G254" s="53">
        <f t="shared" si="38"/>
        <v>1</v>
      </c>
      <c r="H254" s="964"/>
      <c r="I254" s="53">
        <f t="shared" si="39"/>
        <v>1</v>
      </c>
      <c r="J254" s="964"/>
      <c r="K254" s="53">
        <f t="shared" si="40"/>
        <v>1</v>
      </c>
      <c r="L254" s="964"/>
      <c r="M254" s="53">
        <f t="shared" si="41"/>
        <v>1</v>
      </c>
      <c r="N254" s="964"/>
      <c r="O254" s="53">
        <f t="shared" si="42"/>
        <v>1</v>
      </c>
      <c r="P254" s="964"/>
      <c r="Q254" s="53">
        <f t="shared" si="43"/>
        <v>1</v>
      </c>
      <c r="R254" s="491">
        <f t="shared" si="44"/>
        <v>0</v>
      </c>
      <c r="S254" s="800">
        <f t="shared" si="35"/>
        <v>0</v>
      </c>
    </row>
    <row r="255" spans="1:19">
      <c r="A255" s="966"/>
      <c r="B255" s="136"/>
      <c r="C255" s="53">
        <f t="shared" si="36"/>
        <v>1</v>
      </c>
      <c r="D255" s="964"/>
      <c r="E255" s="53">
        <f t="shared" si="37"/>
        <v>0</v>
      </c>
      <c r="F255" s="964"/>
      <c r="G255" s="53">
        <f t="shared" si="38"/>
        <v>1</v>
      </c>
      <c r="H255" s="964"/>
      <c r="I255" s="53">
        <f t="shared" si="39"/>
        <v>1</v>
      </c>
      <c r="J255" s="964"/>
      <c r="K255" s="53">
        <f t="shared" si="40"/>
        <v>1</v>
      </c>
      <c r="L255" s="964"/>
      <c r="M255" s="53">
        <f t="shared" si="41"/>
        <v>1</v>
      </c>
      <c r="N255" s="964"/>
      <c r="O255" s="53">
        <f t="shared" si="42"/>
        <v>1</v>
      </c>
      <c r="P255" s="964"/>
      <c r="Q255" s="53">
        <f t="shared" si="43"/>
        <v>1</v>
      </c>
      <c r="R255" s="491">
        <f t="shared" si="44"/>
        <v>0</v>
      </c>
      <c r="S255" s="800">
        <f t="shared" si="35"/>
        <v>0</v>
      </c>
    </row>
    <row r="256" spans="1:19">
      <c r="A256" s="966"/>
      <c r="B256" s="136"/>
      <c r="C256" s="53">
        <f t="shared" si="36"/>
        <v>1</v>
      </c>
      <c r="D256" s="964"/>
      <c r="E256" s="53">
        <f t="shared" si="37"/>
        <v>0</v>
      </c>
      <c r="F256" s="964"/>
      <c r="G256" s="53">
        <f t="shared" si="38"/>
        <v>1</v>
      </c>
      <c r="H256" s="964"/>
      <c r="I256" s="53">
        <f t="shared" si="39"/>
        <v>1</v>
      </c>
      <c r="J256" s="964"/>
      <c r="K256" s="53">
        <f t="shared" si="40"/>
        <v>1</v>
      </c>
      <c r="L256" s="964"/>
      <c r="M256" s="53">
        <f t="shared" si="41"/>
        <v>1</v>
      </c>
      <c r="N256" s="964"/>
      <c r="O256" s="53">
        <f t="shared" si="42"/>
        <v>1</v>
      </c>
      <c r="P256" s="964"/>
      <c r="Q256" s="53">
        <f t="shared" si="43"/>
        <v>1</v>
      </c>
      <c r="R256" s="491">
        <f t="shared" si="44"/>
        <v>0</v>
      </c>
      <c r="S256" s="800">
        <f t="shared" si="35"/>
        <v>0</v>
      </c>
    </row>
    <row r="257" spans="1:19">
      <c r="A257" s="966"/>
      <c r="B257" s="136"/>
      <c r="C257" s="53">
        <f t="shared" si="36"/>
        <v>1</v>
      </c>
      <c r="D257" s="964"/>
      <c r="E257" s="53">
        <f t="shared" si="37"/>
        <v>0</v>
      </c>
      <c r="F257" s="964"/>
      <c r="G257" s="53">
        <f t="shared" si="38"/>
        <v>1</v>
      </c>
      <c r="H257" s="964"/>
      <c r="I257" s="53">
        <f t="shared" si="39"/>
        <v>1</v>
      </c>
      <c r="J257" s="964"/>
      <c r="K257" s="53">
        <f t="shared" si="40"/>
        <v>1</v>
      </c>
      <c r="L257" s="964"/>
      <c r="M257" s="53">
        <f t="shared" si="41"/>
        <v>1</v>
      </c>
      <c r="N257" s="964"/>
      <c r="O257" s="53">
        <f t="shared" si="42"/>
        <v>1</v>
      </c>
      <c r="P257" s="964"/>
      <c r="Q257" s="53">
        <f t="shared" si="43"/>
        <v>1</v>
      </c>
      <c r="R257" s="491">
        <f t="shared" si="44"/>
        <v>0</v>
      </c>
      <c r="S257" s="800">
        <f t="shared" si="35"/>
        <v>0</v>
      </c>
    </row>
    <row r="258" spans="1:19">
      <c r="A258" s="966"/>
      <c r="B258" s="136"/>
      <c r="C258" s="53">
        <f t="shared" si="36"/>
        <v>1</v>
      </c>
      <c r="D258" s="964"/>
      <c r="E258" s="53">
        <f t="shared" si="37"/>
        <v>0</v>
      </c>
      <c r="F258" s="964"/>
      <c r="G258" s="53">
        <f t="shared" si="38"/>
        <v>1</v>
      </c>
      <c r="H258" s="964"/>
      <c r="I258" s="53">
        <f t="shared" si="39"/>
        <v>1</v>
      </c>
      <c r="J258" s="964"/>
      <c r="K258" s="53">
        <f t="shared" si="40"/>
        <v>1</v>
      </c>
      <c r="L258" s="964"/>
      <c r="M258" s="53">
        <f t="shared" si="41"/>
        <v>1</v>
      </c>
      <c r="N258" s="964"/>
      <c r="O258" s="53">
        <f t="shared" si="42"/>
        <v>1</v>
      </c>
      <c r="P258" s="964"/>
      <c r="Q258" s="53">
        <f t="shared" si="43"/>
        <v>1</v>
      </c>
      <c r="R258" s="491">
        <f t="shared" si="44"/>
        <v>0</v>
      </c>
      <c r="S258" s="800">
        <f t="shared" si="35"/>
        <v>0</v>
      </c>
    </row>
    <row r="259" spans="1:19">
      <c r="A259" s="966"/>
      <c r="B259" s="136"/>
      <c r="C259" s="53">
        <f t="shared" si="36"/>
        <v>1</v>
      </c>
      <c r="D259" s="964"/>
      <c r="E259" s="53">
        <f t="shared" si="37"/>
        <v>0</v>
      </c>
      <c r="F259" s="964"/>
      <c r="G259" s="53">
        <f t="shared" si="38"/>
        <v>1</v>
      </c>
      <c r="H259" s="964"/>
      <c r="I259" s="53">
        <f t="shared" si="39"/>
        <v>1</v>
      </c>
      <c r="J259" s="964"/>
      <c r="K259" s="53">
        <f t="shared" si="40"/>
        <v>1</v>
      </c>
      <c r="L259" s="964"/>
      <c r="M259" s="53">
        <f t="shared" si="41"/>
        <v>1</v>
      </c>
      <c r="N259" s="964"/>
      <c r="O259" s="53">
        <f t="shared" si="42"/>
        <v>1</v>
      </c>
      <c r="P259" s="964"/>
      <c r="Q259" s="53">
        <f t="shared" si="43"/>
        <v>1</v>
      </c>
      <c r="R259" s="491">
        <f t="shared" si="44"/>
        <v>0</v>
      </c>
      <c r="S259" s="800">
        <f t="shared" si="35"/>
        <v>0</v>
      </c>
    </row>
    <row r="260" spans="1:19">
      <c r="A260" s="966"/>
      <c r="B260" s="136"/>
      <c r="C260" s="53">
        <f t="shared" si="36"/>
        <v>1</v>
      </c>
      <c r="D260" s="964"/>
      <c r="E260" s="53">
        <f t="shared" si="37"/>
        <v>0</v>
      </c>
      <c r="F260" s="964"/>
      <c r="G260" s="53">
        <f t="shared" si="38"/>
        <v>1</v>
      </c>
      <c r="H260" s="964"/>
      <c r="I260" s="53">
        <f t="shared" si="39"/>
        <v>1</v>
      </c>
      <c r="J260" s="964"/>
      <c r="K260" s="53">
        <f t="shared" si="40"/>
        <v>1</v>
      </c>
      <c r="L260" s="964"/>
      <c r="M260" s="53">
        <f t="shared" si="41"/>
        <v>1</v>
      </c>
      <c r="N260" s="964"/>
      <c r="O260" s="53">
        <f t="shared" si="42"/>
        <v>1</v>
      </c>
      <c r="P260" s="964"/>
      <c r="Q260" s="53">
        <f t="shared" si="43"/>
        <v>1</v>
      </c>
      <c r="R260" s="491">
        <f t="shared" si="44"/>
        <v>0</v>
      </c>
      <c r="S260" s="800">
        <f t="shared" si="35"/>
        <v>0</v>
      </c>
    </row>
    <row r="261" spans="1:19">
      <c r="A261" s="966"/>
      <c r="B261" s="136"/>
      <c r="C261" s="53">
        <f t="shared" si="36"/>
        <v>1</v>
      </c>
      <c r="D261" s="964"/>
      <c r="E261" s="53">
        <f t="shared" si="37"/>
        <v>0</v>
      </c>
      <c r="F261" s="964"/>
      <c r="G261" s="53">
        <f t="shared" si="38"/>
        <v>1</v>
      </c>
      <c r="H261" s="964"/>
      <c r="I261" s="53">
        <f t="shared" si="39"/>
        <v>1</v>
      </c>
      <c r="J261" s="964"/>
      <c r="K261" s="53">
        <f t="shared" si="40"/>
        <v>1</v>
      </c>
      <c r="L261" s="964"/>
      <c r="M261" s="53">
        <f t="shared" si="41"/>
        <v>1</v>
      </c>
      <c r="N261" s="964"/>
      <c r="O261" s="53">
        <f t="shared" si="42"/>
        <v>1</v>
      </c>
      <c r="P261" s="964"/>
      <c r="Q261" s="53">
        <f t="shared" si="43"/>
        <v>1</v>
      </c>
      <c r="R261" s="491">
        <f t="shared" si="44"/>
        <v>0</v>
      </c>
      <c r="S261" s="800">
        <f t="shared" si="35"/>
        <v>0</v>
      </c>
    </row>
    <row r="262" spans="1:19">
      <c r="A262" s="966"/>
      <c r="B262" s="136"/>
      <c r="C262" s="53">
        <f t="shared" si="36"/>
        <v>1</v>
      </c>
      <c r="D262" s="964"/>
      <c r="E262" s="53">
        <f t="shared" si="37"/>
        <v>0</v>
      </c>
      <c r="F262" s="964"/>
      <c r="G262" s="53">
        <f t="shared" si="38"/>
        <v>1</v>
      </c>
      <c r="H262" s="964"/>
      <c r="I262" s="53">
        <f t="shared" si="39"/>
        <v>1</v>
      </c>
      <c r="J262" s="964"/>
      <c r="K262" s="53">
        <f t="shared" si="40"/>
        <v>1</v>
      </c>
      <c r="L262" s="964"/>
      <c r="M262" s="53">
        <f t="shared" si="41"/>
        <v>1</v>
      </c>
      <c r="N262" s="964"/>
      <c r="O262" s="53">
        <f t="shared" si="42"/>
        <v>1</v>
      </c>
      <c r="P262" s="964"/>
      <c r="Q262" s="53">
        <f t="shared" si="43"/>
        <v>1</v>
      </c>
      <c r="R262" s="491">
        <f t="shared" si="44"/>
        <v>0</v>
      </c>
      <c r="S262" s="800">
        <f t="shared" si="35"/>
        <v>0</v>
      </c>
    </row>
    <row r="263" spans="1:19">
      <c r="A263" s="966"/>
      <c r="B263" s="136"/>
      <c r="C263" s="53">
        <f t="shared" si="36"/>
        <v>1</v>
      </c>
      <c r="D263" s="964"/>
      <c r="E263" s="53">
        <f t="shared" si="37"/>
        <v>0</v>
      </c>
      <c r="F263" s="964"/>
      <c r="G263" s="53">
        <f t="shared" si="38"/>
        <v>1</v>
      </c>
      <c r="H263" s="964"/>
      <c r="I263" s="53">
        <f t="shared" si="39"/>
        <v>1</v>
      </c>
      <c r="J263" s="964"/>
      <c r="K263" s="53">
        <f t="shared" si="40"/>
        <v>1</v>
      </c>
      <c r="L263" s="964"/>
      <c r="M263" s="53">
        <f t="shared" si="41"/>
        <v>1</v>
      </c>
      <c r="N263" s="964"/>
      <c r="O263" s="53">
        <f t="shared" si="42"/>
        <v>1</v>
      </c>
      <c r="P263" s="964"/>
      <c r="Q263" s="53">
        <f t="shared" si="43"/>
        <v>1</v>
      </c>
      <c r="R263" s="491">
        <f t="shared" si="44"/>
        <v>0</v>
      </c>
      <c r="S263" s="800">
        <f t="shared" si="35"/>
        <v>0</v>
      </c>
    </row>
    <row r="264" spans="1:19">
      <c r="A264" s="966"/>
      <c r="B264" s="136"/>
      <c r="C264" s="53">
        <f t="shared" si="36"/>
        <v>1</v>
      </c>
      <c r="D264" s="964"/>
      <c r="E264" s="53">
        <f t="shared" si="37"/>
        <v>0</v>
      </c>
      <c r="F264" s="964"/>
      <c r="G264" s="53">
        <f t="shared" si="38"/>
        <v>1</v>
      </c>
      <c r="H264" s="964"/>
      <c r="I264" s="53">
        <f t="shared" si="39"/>
        <v>1</v>
      </c>
      <c r="J264" s="964"/>
      <c r="K264" s="53">
        <f t="shared" si="40"/>
        <v>1</v>
      </c>
      <c r="L264" s="964"/>
      <c r="M264" s="53">
        <f t="shared" si="41"/>
        <v>1</v>
      </c>
      <c r="N264" s="964"/>
      <c r="O264" s="53">
        <f t="shared" si="42"/>
        <v>1</v>
      </c>
      <c r="P264" s="964"/>
      <c r="Q264" s="53">
        <f t="shared" si="43"/>
        <v>1</v>
      </c>
      <c r="R264" s="491">
        <f t="shared" si="44"/>
        <v>0</v>
      </c>
      <c r="S264" s="800">
        <f t="shared" si="35"/>
        <v>0</v>
      </c>
    </row>
    <row r="265" spans="1:19">
      <c r="A265" s="966"/>
      <c r="B265" s="136"/>
      <c r="C265" s="53">
        <f t="shared" si="36"/>
        <v>1</v>
      </c>
      <c r="D265" s="964"/>
      <c r="E265" s="53">
        <f t="shared" si="37"/>
        <v>0</v>
      </c>
      <c r="F265" s="964"/>
      <c r="G265" s="53">
        <f t="shared" si="38"/>
        <v>1</v>
      </c>
      <c r="H265" s="964"/>
      <c r="I265" s="53">
        <f t="shared" si="39"/>
        <v>1</v>
      </c>
      <c r="J265" s="964"/>
      <c r="K265" s="53">
        <f t="shared" si="40"/>
        <v>1</v>
      </c>
      <c r="L265" s="964"/>
      <c r="M265" s="53">
        <f t="shared" si="41"/>
        <v>1</v>
      </c>
      <c r="N265" s="964"/>
      <c r="O265" s="53">
        <f t="shared" si="42"/>
        <v>1</v>
      </c>
      <c r="P265" s="964"/>
      <c r="Q265" s="53">
        <f t="shared" si="43"/>
        <v>1</v>
      </c>
      <c r="R265" s="491">
        <f t="shared" si="44"/>
        <v>0</v>
      </c>
      <c r="S265" s="800">
        <f t="shared" si="35"/>
        <v>0</v>
      </c>
    </row>
    <row r="266" spans="1:19">
      <c r="A266" s="966"/>
      <c r="B266" s="136"/>
      <c r="C266" s="53">
        <f t="shared" si="36"/>
        <v>1</v>
      </c>
      <c r="D266" s="964"/>
      <c r="E266" s="53">
        <f t="shared" si="37"/>
        <v>0</v>
      </c>
      <c r="F266" s="964"/>
      <c r="G266" s="53">
        <f t="shared" si="38"/>
        <v>1</v>
      </c>
      <c r="H266" s="964"/>
      <c r="I266" s="53">
        <f t="shared" si="39"/>
        <v>1</v>
      </c>
      <c r="J266" s="964"/>
      <c r="K266" s="53">
        <f t="shared" si="40"/>
        <v>1</v>
      </c>
      <c r="L266" s="964"/>
      <c r="M266" s="53">
        <f t="shared" si="41"/>
        <v>1</v>
      </c>
      <c r="N266" s="964"/>
      <c r="O266" s="53">
        <f t="shared" si="42"/>
        <v>1</v>
      </c>
      <c r="P266" s="964"/>
      <c r="Q266" s="53">
        <f t="shared" si="43"/>
        <v>1</v>
      </c>
      <c r="R266" s="491">
        <f t="shared" si="44"/>
        <v>0</v>
      </c>
      <c r="S266" s="800">
        <f t="shared" si="35"/>
        <v>0</v>
      </c>
    </row>
    <row r="267" spans="1:19">
      <c r="A267" s="966"/>
      <c r="B267" s="136"/>
      <c r="C267" s="53">
        <f t="shared" si="36"/>
        <v>1</v>
      </c>
      <c r="D267" s="964"/>
      <c r="E267" s="53">
        <f t="shared" si="37"/>
        <v>0</v>
      </c>
      <c r="F267" s="964"/>
      <c r="G267" s="53">
        <f t="shared" si="38"/>
        <v>1</v>
      </c>
      <c r="H267" s="964"/>
      <c r="I267" s="53">
        <f t="shared" si="39"/>
        <v>1</v>
      </c>
      <c r="J267" s="964"/>
      <c r="K267" s="53">
        <f t="shared" si="40"/>
        <v>1</v>
      </c>
      <c r="L267" s="964"/>
      <c r="M267" s="53">
        <f t="shared" si="41"/>
        <v>1</v>
      </c>
      <c r="N267" s="964"/>
      <c r="O267" s="53">
        <f t="shared" si="42"/>
        <v>1</v>
      </c>
      <c r="P267" s="964"/>
      <c r="Q267" s="53">
        <f t="shared" si="43"/>
        <v>1</v>
      </c>
      <c r="R267" s="491">
        <f t="shared" si="44"/>
        <v>0</v>
      </c>
      <c r="S267" s="800">
        <f t="shared" si="35"/>
        <v>0</v>
      </c>
    </row>
    <row r="268" spans="1:19">
      <c r="A268" s="966"/>
      <c r="B268" s="136"/>
      <c r="C268" s="53">
        <f t="shared" si="36"/>
        <v>1</v>
      </c>
      <c r="D268" s="964"/>
      <c r="E268" s="53">
        <f t="shared" si="37"/>
        <v>0</v>
      </c>
      <c r="F268" s="964"/>
      <c r="G268" s="53">
        <f t="shared" si="38"/>
        <v>1</v>
      </c>
      <c r="H268" s="964"/>
      <c r="I268" s="53">
        <f t="shared" si="39"/>
        <v>1</v>
      </c>
      <c r="J268" s="964"/>
      <c r="K268" s="53">
        <f t="shared" si="40"/>
        <v>1</v>
      </c>
      <c r="L268" s="964"/>
      <c r="M268" s="53">
        <f t="shared" si="41"/>
        <v>1</v>
      </c>
      <c r="N268" s="964"/>
      <c r="O268" s="53">
        <f t="shared" si="42"/>
        <v>1</v>
      </c>
      <c r="P268" s="964"/>
      <c r="Q268" s="53">
        <f t="shared" si="43"/>
        <v>1</v>
      </c>
      <c r="R268" s="491">
        <f t="shared" si="44"/>
        <v>0</v>
      </c>
      <c r="S268" s="800">
        <f t="shared" si="35"/>
        <v>0</v>
      </c>
    </row>
    <row r="269" spans="1:19">
      <c r="A269" s="966"/>
      <c r="B269" s="136"/>
      <c r="C269" s="53">
        <f t="shared" si="36"/>
        <v>1</v>
      </c>
      <c r="D269" s="964"/>
      <c r="E269" s="53">
        <f t="shared" si="37"/>
        <v>0</v>
      </c>
      <c r="F269" s="964"/>
      <c r="G269" s="53">
        <f t="shared" si="38"/>
        <v>1</v>
      </c>
      <c r="H269" s="964"/>
      <c r="I269" s="53">
        <f t="shared" si="39"/>
        <v>1</v>
      </c>
      <c r="J269" s="964"/>
      <c r="K269" s="53">
        <f t="shared" si="40"/>
        <v>1</v>
      </c>
      <c r="L269" s="964"/>
      <c r="M269" s="53">
        <f t="shared" si="41"/>
        <v>1</v>
      </c>
      <c r="N269" s="964"/>
      <c r="O269" s="53">
        <f t="shared" si="42"/>
        <v>1</v>
      </c>
      <c r="P269" s="964"/>
      <c r="Q269" s="53">
        <f t="shared" si="43"/>
        <v>1</v>
      </c>
      <c r="R269" s="491">
        <f t="shared" si="44"/>
        <v>0</v>
      </c>
      <c r="S269" s="800">
        <f t="shared" si="35"/>
        <v>0</v>
      </c>
    </row>
    <row r="270" spans="1:19">
      <c r="A270" s="966"/>
      <c r="B270" s="136"/>
      <c r="C270" s="53">
        <f t="shared" si="36"/>
        <v>1</v>
      </c>
      <c r="D270" s="964"/>
      <c r="E270" s="53">
        <f t="shared" si="37"/>
        <v>0</v>
      </c>
      <c r="F270" s="964"/>
      <c r="G270" s="53">
        <f t="shared" si="38"/>
        <v>1</v>
      </c>
      <c r="H270" s="964"/>
      <c r="I270" s="53">
        <f t="shared" si="39"/>
        <v>1</v>
      </c>
      <c r="J270" s="964"/>
      <c r="K270" s="53">
        <f t="shared" si="40"/>
        <v>1</v>
      </c>
      <c r="L270" s="964"/>
      <c r="M270" s="53">
        <f t="shared" si="41"/>
        <v>1</v>
      </c>
      <c r="N270" s="964"/>
      <c r="O270" s="53">
        <f t="shared" si="42"/>
        <v>1</v>
      </c>
      <c r="P270" s="964"/>
      <c r="Q270" s="53">
        <f t="shared" si="43"/>
        <v>1</v>
      </c>
      <c r="R270" s="491">
        <f t="shared" si="44"/>
        <v>0</v>
      </c>
      <c r="S270" s="800">
        <f t="shared" si="35"/>
        <v>0</v>
      </c>
    </row>
    <row r="271" spans="1:19">
      <c r="A271" s="966"/>
      <c r="B271" s="136"/>
      <c r="C271" s="53">
        <f t="shared" si="36"/>
        <v>1</v>
      </c>
      <c r="D271" s="964"/>
      <c r="E271" s="53">
        <f t="shared" si="37"/>
        <v>0</v>
      </c>
      <c r="F271" s="964"/>
      <c r="G271" s="53">
        <f t="shared" si="38"/>
        <v>1</v>
      </c>
      <c r="H271" s="964"/>
      <c r="I271" s="53">
        <f t="shared" si="39"/>
        <v>1</v>
      </c>
      <c r="J271" s="964"/>
      <c r="K271" s="53">
        <f t="shared" si="40"/>
        <v>1</v>
      </c>
      <c r="L271" s="964"/>
      <c r="M271" s="53">
        <f t="shared" si="41"/>
        <v>1</v>
      </c>
      <c r="N271" s="964"/>
      <c r="O271" s="53">
        <f t="shared" si="42"/>
        <v>1</v>
      </c>
      <c r="P271" s="964"/>
      <c r="Q271" s="53">
        <f t="shared" si="43"/>
        <v>1</v>
      </c>
      <c r="R271" s="491">
        <f t="shared" si="44"/>
        <v>0</v>
      </c>
      <c r="S271" s="800">
        <f t="shared" si="35"/>
        <v>0</v>
      </c>
    </row>
    <row r="272" spans="1:19">
      <c r="A272" s="966"/>
      <c r="B272" s="136"/>
      <c r="C272" s="53">
        <f t="shared" si="36"/>
        <v>1</v>
      </c>
      <c r="D272" s="964"/>
      <c r="E272" s="53">
        <f t="shared" si="37"/>
        <v>0</v>
      </c>
      <c r="F272" s="964"/>
      <c r="G272" s="53">
        <f t="shared" si="38"/>
        <v>1</v>
      </c>
      <c r="H272" s="964"/>
      <c r="I272" s="53">
        <f t="shared" si="39"/>
        <v>1</v>
      </c>
      <c r="J272" s="964"/>
      <c r="K272" s="53">
        <f t="shared" si="40"/>
        <v>1</v>
      </c>
      <c r="L272" s="964"/>
      <c r="M272" s="53">
        <f t="shared" si="41"/>
        <v>1</v>
      </c>
      <c r="N272" s="964"/>
      <c r="O272" s="53">
        <f t="shared" si="42"/>
        <v>1</v>
      </c>
      <c r="P272" s="964"/>
      <c r="Q272" s="53">
        <f t="shared" si="43"/>
        <v>1</v>
      </c>
      <c r="R272" s="491">
        <f t="shared" si="44"/>
        <v>0</v>
      </c>
      <c r="S272" s="800">
        <f t="shared" si="35"/>
        <v>0</v>
      </c>
    </row>
    <row r="273" spans="1:19">
      <c r="A273" s="966"/>
      <c r="B273" s="136"/>
      <c r="C273" s="53">
        <f t="shared" si="36"/>
        <v>1</v>
      </c>
      <c r="D273" s="964"/>
      <c r="E273" s="53">
        <f t="shared" si="37"/>
        <v>0</v>
      </c>
      <c r="F273" s="964"/>
      <c r="G273" s="53">
        <f t="shared" si="38"/>
        <v>1</v>
      </c>
      <c r="H273" s="964"/>
      <c r="I273" s="53">
        <f t="shared" si="39"/>
        <v>1</v>
      </c>
      <c r="J273" s="964"/>
      <c r="K273" s="53">
        <f t="shared" si="40"/>
        <v>1</v>
      </c>
      <c r="L273" s="964"/>
      <c r="M273" s="53">
        <f t="shared" si="41"/>
        <v>1</v>
      </c>
      <c r="N273" s="964"/>
      <c r="O273" s="53">
        <f t="shared" si="42"/>
        <v>1</v>
      </c>
      <c r="P273" s="964"/>
      <c r="Q273" s="53">
        <f t="shared" si="43"/>
        <v>1</v>
      </c>
      <c r="R273" s="491">
        <f t="shared" si="44"/>
        <v>0</v>
      </c>
      <c r="S273" s="800">
        <f t="shared" si="35"/>
        <v>0</v>
      </c>
    </row>
    <row r="274" spans="1:19">
      <c r="A274" s="966"/>
      <c r="B274" s="136"/>
      <c r="C274" s="53">
        <f t="shared" si="36"/>
        <v>1</v>
      </c>
      <c r="D274" s="964"/>
      <c r="E274" s="53">
        <f t="shared" si="37"/>
        <v>0</v>
      </c>
      <c r="F274" s="964"/>
      <c r="G274" s="53">
        <f t="shared" si="38"/>
        <v>1</v>
      </c>
      <c r="H274" s="964"/>
      <c r="I274" s="53">
        <f t="shared" si="39"/>
        <v>1</v>
      </c>
      <c r="J274" s="964"/>
      <c r="K274" s="53">
        <f t="shared" si="40"/>
        <v>1</v>
      </c>
      <c r="L274" s="964"/>
      <c r="M274" s="53">
        <f t="shared" si="41"/>
        <v>1</v>
      </c>
      <c r="N274" s="964"/>
      <c r="O274" s="53">
        <f t="shared" si="42"/>
        <v>1</v>
      </c>
      <c r="P274" s="964"/>
      <c r="Q274" s="53">
        <f t="shared" si="43"/>
        <v>1</v>
      </c>
      <c r="R274" s="491">
        <f t="shared" si="44"/>
        <v>0</v>
      </c>
      <c r="S274" s="800">
        <f t="shared" si="35"/>
        <v>0</v>
      </c>
    </row>
    <row r="275" spans="1:19">
      <c r="A275" s="966"/>
      <c r="B275" s="136"/>
      <c r="C275" s="53">
        <f t="shared" si="36"/>
        <v>1</v>
      </c>
      <c r="D275" s="964"/>
      <c r="E275" s="53">
        <f t="shared" si="37"/>
        <v>0</v>
      </c>
      <c r="F275" s="964"/>
      <c r="G275" s="53">
        <f t="shared" si="38"/>
        <v>1</v>
      </c>
      <c r="H275" s="964"/>
      <c r="I275" s="53">
        <f t="shared" si="39"/>
        <v>1</v>
      </c>
      <c r="J275" s="964"/>
      <c r="K275" s="53">
        <f t="shared" si="40"/>
        <v>1</v>
      </c>
      <c r="L275" s="964"/>
      <c r="M275" s="53">
        <f t="shared" si="41"/>
        <v>1</v>
      </c>
      <c r="N275" s="964"/>
      <c r="O275" s="53">
        <f t="shared" si="42"/>
        <v>1</v>
      </c>
      <c r="P275" s="964"/>
      <c r="Q275" s="53">
        <f t="shared" si="43"/>
        <v>1</v>
      </c>
      <c r="R275" s="491">
        <f t="shared" si="44"/>
        <v>0</v>
      </c>
      <c r="S275" s="800">
        <f t="shared" si="35"/>
        <v>0</v>
      </c>
    </row>
    <row r="276" spans="1:19">
      <c r="A276" s="966"/>
      <c r="B276" s="136"/>
      <c r="C276" s="53">
        <f t="shared" si="36"/>
        <v>1</v>
      </c>
      <c r="D276" s="964"/>
      <c r="E276" s="53">
        <f t="shared" si="37"/>
        <v>0</v>
      </c>
      <c r="F276" s="964"/>
      <c r="G276" s="53">
        <f t="shared" si="38"/>
        <v>1</v>
      </c>
      <c r="H276" s="964"/>
      <c r="I276" s="53">
        <f t="shared" si="39"/>
        <v>1</v>
      </c>
      <c r="J276" s="964"/>
      <c r="K276" s="53">
        <f t="shared" si="40"/>
        <v>1</v>
      </c>
      <c r="L276" s="964"/>
      <c r="M276" s="53">
        <f t="shared" si="41"/>
        <v>1</v>
      </c>
      <c r="N276" s="964"/>
      <c r="O276" s="53">
        <f t="shared" si="42"/>
        <v>1</v>
      </c>
      <c r="P276" s="964"/>
      <c r="Q276" s="53">
        <f t="shared" si="43"/>
        <v>1</v>
      </c>
      <c r="R276" s="491">
        <f t="shared" si="44"/>
        <v>0</v>
      </c>
      <c r="S276" s="800">
        <f t="shared" si="35"/>
        <v>0</v>
      </c>
    </row>
    <row r="277" spans="1:19">
      <c r="A277" s="966"/>
      <c r="B277" s="136"/>
      <c r="C277" s="53">
        <f t="shared" si="36"/>
        <v>1</v>
      </c>
      <c r="D277" s="964"/>
      <c r="E277" s="53">
        <f t="shared" si="37"/>
        <v>0</v>
      </c>
      <c r="F277" s="964"/>
      <c r="G277" s="53">
        <f t="shared" si="38"/>
        <v>1</v>
      </c>
      <c r="H277" s="964"/>
      <c r="I277" s="53">
        <f t="shared" si="39"/>
        <v>1</v>
      </c>
      <c r="J277" s="964"/>
      <c r="K277" s="53">
        <f t="shared" si="40"/>
        <v>1</v>
      </c>
      <c r="L277" s="964"/>
      <c r="M277" s="53">
        <f t="shared" si="41"/>
        <v>1</v>
      </c>
      <c r="N277" s="964"/>
      <c r="O277" s="53">
        <f t="shared" si="42"/>
        <v>1</v>
      </c>
      <c r="P277" s="964"/>
      <c r="Q277" s="53">
        <f t="shared" si="43"/>
        <v>1</v>
      </c>
      <c r="R277" s="491">
        <f t="shared" si="44"/>
        <v>0</v>
      </c>
      <c r="S277" s="800">
        <f t="shared" si="35"/>
        <v>0</v>
      </c>
    </row>
    <row r="278" spans="1:19">
      <c r="A278" s="966"/>
      <c r="B278" s="136"/>
      <c r="C278" s="53">
        <f t="shared" si="36"/>
        <v>1</v>
      </c>
      <c r="D278" s="964"/>
      <c r="E278" s="53">
        <f t="shared" si="37"/>
        <v>0</v>
      </c>
      <c r="F278" s="964"/>
      <c r="G278" s="53">
        <f t="shared" si="38"/>
        <v>1</v>
      </c>
      <c r="H278" s="964"/>
      <c r="I278" s="53">
        <f t="shared" si="39"/>
        <v>1</v>
      </c>
      <c r="J278" s="964"/>
      <c r="K278" s="53">
        <f t="shared" si="40"/>
        <v>1</v>
      </c>
      <c r="L278" s="964"/>
      <c r="M278" s="53">
        <f t="shared" si="41"/>
        <v>1</v>
      </c>
      <c r="N278" s="964"/>
      <c r="O278" s="53">
        <f t="shared" si="42"/>
        <v>1</v>
      </c>
      <c r="P278" s="964"/>
      <c r="Q278" s="53">
        <f t="shared" si="43"/>
        <v>1</v>
      </c>
      <c r="R278" s="491">
        <f t="shared" si="44"/>
        <v>0</v>
      </c>
      <c r="S278" s="800">
        <f t="shared" si="35"/>
        <v>0</v>
      </c>
    </row>
    <row r="279" spans="1:19">
      <c r="A279" s="966"/>
      <c r="B279" s="136"/>
      <c r="C279" s="53">
        <f t="shared" si="36"/>
        <v>1</v>
      </c>
      <c r="D279" s="964"/>
      <c r="E279" s="53">
        <f t="shared" si="37"/>
        <v>0</v>
      </c>
      <c r="F279" s="964"/>
      <c r="G279" s="53">
        <f t="shared" si="38"/>
        <v>1</v>
      </c>
      <c r="H279" s="964"/>
      <c r="I279" s="53">
        <f t="shared" si="39"/>
        <v>1</v>
      </c>
      <c r="J279" s="964"/>
      <c r="K279" s="53">
        <f t="shared" si="40"/>
        <v>1</v>
      </c>
      <c r="L279" s="964"/>
      <c r="M279" s="53">
        <f t="shared" si="41"/>
        <v>1</v>
      </c>
      <c r="N279" s="964"/>
      <c r="O279" s="53">
        <f t="shared" si="42"/>
        <v>1</v>
      </c>
      <c r="P279" s="964"/>
      <c r="Q279" s="53">
        <f t="shared" si="43"/>
        <v>1</v>
      </c>
      <c r="R279" s="491">
        <f t="shared" si="44"/>
        <v>0</v>
      </c>
      <c r="S279" s="800">
        <f t="shared" si="35"/>
        <v>0</v>
      </c>
    </row>
    <row r="280" spans="1:19">
      <c r="A280" s="966"/>
      <c r="B280" s="136"/>
      <c r="C280" s="53">
        <f t="shared" si="36"/>
        <v>1</v>
      </c>
      <c r="D280" s="964"/>
      <c r="E280" s="53">
        <f t="shared" si="37"/>
        <v>0</v>
      </c>
      <c r="F280" s="964"/>
      <c r="G280" s="53">
        <f t="shared" si="38"/>
        <v>1</v>
      </c>
      <c r="H280" s="964"/>
      <c r="I280" s="53">
        <f t="shared" si="39"/>
        <v>1</v>
      </c>
      <c r="J280" s="964"/>
      <c r="K280" s="53">
        <f t="shared" si="40"/>
        <v>1</v>
      </c>
      <c r="L280" s="964"/>
      <c r="M280" s="53">
        <f t="shared" si="41"/>
        <v>1</v>
      </c>
      <c r="N280" s="964"/>
      <c r="O280" s="53">
        <f t="shared" si="42"/>
        <v>1</v>
      </c>
      <c r="P280" s="964"/>
      <c r="Q280" s="53">
        <f t="shared" si="43"/>
        <v>1</v>
      </c>
      <c r="R280" s="491">
        <f t="shared" si="44"/>
        <v>0</v>
      </c>
      <c r="S280" s="800">
        <f t="shared" ref="S280:S343" si="45">ROUND(R280*B280/10000,0)</f>
        <v>0</v>
      </c>
    </row>
    <row r="281" spans="1:19">
      <c r="A281" s="966"/>
      <c r="B281" s="136"/>
      <c r="C281" s="53">
        <f t="shared" si="36"/>
        <v>1</v>
      </c>
      <c r="D281" s="964"/>
      <c r="E281" s="53">
        <f t="shared" si="37"/>
        <v>0</v>
      </c>
      <c r="F281" s="964"/>
      <c r="G281" s="53">
        <f t="shared" si="38"/>
        <v>1</v>
      </c>
      <c r="H281" s="964"/>
      <c r="I281" s="53">
        <f t="shared" si="39"/>
        <v>1</v>
      </c>
      <c r="J281" s="964"/>
      <c r="K281" s="53">
        <f t="shared" si="40"/>
        <v>1</v>
      </c>
      <c r="L281" s="964"/>
      <c r="M281" s="53">
        <f t="shared" si="41"/>
        <v>1</v>
      </c>
      <c r="N281" s="964"/>
      <c r="O281" s="53">
        <f t="shared" si="42"/>
        <v>1</v>
      </c>
      <c r="P281" s="964"/>
      <c r="Q281" s="53">
        <f t="shared" si="43"/>
        <v>1</v>
      </c>
      <c r="R281" s="491">
        <f t="shared" si="44"/>
        <v>0</v>
      </c>
      <c r="S281" s="800">
        <f t="shared" si="45"/>
        <v>0</v>
      </c>
    </row>
    <row r="282" spans="1:19">
      <c r="A282" s="966"/>
      <c r="B282" s="136"/>
      <c r="C282" s="53">
        <f t="shared" ref="C282:C345" si="46">IF(B282="",1,(LOOKUP(B282,$3:$3,$4:$4)-LOOKUP($B$24,$3:$3,$4:$4)+100)/100)</f>
        <v>1</v>
      </c>
      <c r="D282" s="964"/>
      <c r="E282" s="53">
        <f t="shared" ref="E282:E345" si="47">(SUMIF($5:$5,D282,$6:$6)-SUMIF($5:$5,$D$24,$6:$6)+100)/100</f>
        <v>0</v>
      </c>
      <c r="F282" s="964"/>
      <c r="G282" s="53">
        <f t="shared" ref="G282:G345" si="48">(SUMIF($7:$7,F282,$8:$8)-SUMIF($7:$7,$F$24,$8:$8)+100)/100</f>
        <v>1</v>
      </c>
      <c r="H282" s="964"/>
      <c r="I282" s="53">
        <f t="shared" ref="I282:I345" si="49">(SUMIF($9:$9,H282,$10:$10)-SUMIF($9:$9,$H$24,$10:$10)+100)/100</f>
        <v>1</v>
      </c>
      <c r="J282" s="964"/>
      <c r="K282" s="53">
        <f t="shared" ref="K282:K345" si="50">(SUMIF($11:$11,J282,$12:$12)-SUMIF($11:$11,$J$24,$12:$12)+100)/100</f>
        <v>1</v>
      </c>
      <c r="L282" s="964"/>
      <c r="M282" s="53">
        <f t="shared" ref="M282:M345" si="51">(SUMIF($13:$13,L282,$14:$14)-SUMIF($13:$13,$L$24,$14:$14)+100)/100</f>
        <v>1</v>
      </c>
      <c r="N282" s="964"/>
      <c r="O282" s="53">
        <f t="shared" ref="O282:O345" si="52">(SUMIF($15:$15,N282,$16:$16)-SUMIF($15:$15,$N$24,$16:$16)+100)/100</f>
        <v>1</v>
      </c>
      <c r="P282" s="964"/>
      <c r="Q282" s="53">
        <f t="shared" ref="Q282:Q345" si="53">(SUMIF($17:$17,P282,$18:$18)-SUMIF($17:$17,$P$24,$18:$18)+100)/100</f>
        <v>1</v>
      </c>
      <c r="R282" s="491">
        <f t="shared" ref="R282:R345" si="54">IF(B282="",0,ROUND($R$24*C282*E282*G282*I282*K282*M282*O282*Q282,0))</f>
        <v>0</v>
      </c>
      <c r="S282" s="800">
        <f t="shared" si="45"/>
        <v>0</v>
      </c>
    </row>
    <row r="283" spans="1:19">
      <c r="A283" s="966"/>
      <c r="B283" s="136"/>
      <c r="C283" s="53">
        <f t="shared" si="46"/>
        <v>1</v>
      </c>
      <c r="D283" s="964"/>
      <c r="E283" s="53">
        <f t="shared" si="47"/>
        <v>0</v>
      </c>
      <c r="F283" s="964"/>
      <c r="G283" s="53">
        <f t="shared" si="48"/>
        <v>1</v>
      </c>
      <c r="H283" s="964"/>
      <c r="I283" s="53">
        <f t="shared" si="49"/>
        <v>1</v>
      </c>
      <c r="J283" s="964"/>
      <c r="K283" s="53">
        <f t="shared" si="50"/>
        <v>1</v>
      </c>
      <c r="L283" s="964"/>
      <c r="M283" s="53">
        <f t="shared" si="51"/>
        <v>1</v>
      </c>
      <c r="N283" s="964"/>
      <c r="O283" s="53">
        <f t="shared" si="52"/>
        <v>1</v>
      </c>
      <c r="P283" s="964"/>
      <c r="Q283" s="53">
        <f t="shared" si="53"/>
        <v>1</v>
      </c>
      <c r="R283" s="491">
        <f t="shared" si="54"/>
        <v>0</v>
      </c>
      <c r="S283" s="800">
        <f t="shared" si="45"/>
        <v>0</v>
      </c>
    </row>
    <row r="284" spans="1:19">
      <c r="A284" s="966"/>
      <c r="B284" s="136"/>
      <c r="C284" s="53">
        <f t="shared" si="46"/>
        <v>1</v>
      </c>
      <c r="D284" s="964"/>
      <c r="E284" s="53">
        <f t="shared" si="47"/>
        <v>0</v>
      </c>
      <c r="F284" s="964"/>
      <c r="G284" s="53">
        <f t="shared" si="48"/>
        <v>1</v>
      </c>
      <c r="H284" s="964"/>
      <c r="I284" s="53">
        <f t="shared" si="49"/>
        <v>1</v>
      </c>
      <c r="J284" s="964"/>
      <c r="K284" s="53">
        <f t="shared" si="50"/>
        <v>1</v>
      </c>
      <c r="L284" s="964"/>
      <c r="M284" s="53">
        <f t="shared" si="51"/>
        <v>1</v>
      </c>
      <c r="N284" s="964"/>
      <c r="O284" s="53">
        <f t="shared" si="52"/>
        <v>1</v>
      </c>
      <c r="P284" s="964"/>
      <c r="Q284" s="53">
        <f t="shared" si="53"/>
        <v>1</v>
      </c>
      <c r="R284" s="491">
        <f t="shared" si="54"/>
        <v>0</v>
      </c>
      <c r="S284" s="800">
        <f t="shared" si="45"/>
        <v>0</v>
      </c>
    </row>
    <row r="285" spans="1:19">
      <c r="A285" s="966"/>
      <c r="B285" s="136"/>
      <c r="C285" s="53">
        <f t="shared" si="46"/>
        <v>1</v>
      </c>
      <c r="D285" s="964"/>
      <c r="E285" s="53">
        <f t="shared" si="47"/>
        <v>0</v>
      </c>
      <c r="F285" s="964"/>
      <c r="G285" s="53">
        <f t="shared" si="48"/>
        <v>1</v>
      </c>
      <c r="H285" s="964"/>
      <c r="I285" s="53">
        <f t="shared" si="49"/>
        <v>1</v>
      </c>
      <c r="J285" s="964"/>
      <c r="K285" s="53">
        <f t="shared" si="50"/>
        <v>1</v>
      </c>
      <c r="L285" s="964"/>
      <c r="M285" s="53">
        <f t="shared" si="51"/>
        <v>1</v>
      </c>
      <c r="N285" s="964"/>
      <c r="O285" s="53">
        <f t="shared" si="52"/>
        <v>1</v>
      </c>
      <c r="P285" s="964"/>
      <c r="Q285" s="53">
        <f t="shared" si="53"/>
        <v>1</v>
      </c>
      <c r="R285" s="491">
        <f t="shared" si="54"/>
        <v>0</v>
      </c>
      <c r="S285" s="800">
        <f t="shared" si="45"/>
        <v>0</v>
      </c>
    </row>
    <row r="286" spans="1:19">
      <c r="A286" s="966"/>
      <c r="B286" s="136"/>
      <c r="C286" s="53">
        <f t="shared" si="46"/>
        <v>1</v>
      </c>
      <c r="D286" s="964"/>
      <c r="E286" s="53">
        <f t="shared" si="47"/>
        <v>0</v>
      </c>
      <c r="F286" s="964"/>
      <c r="G286" s="53">
        <f t="shared" si="48"/>
        <v>1</v>
      </c>
      <c r="H286" s="964"/>
      <c r="I286" s="53">
        <f t="shared" si="49"/>
        <v>1</v>
      </c>
      <c r="J286" s="964"/>
      <c r="K286" s="53">
        <f t="shared" si="50"/>
        <v>1</v>
      </c>
      <c r="L286" s="964"/>
      <c r="M286" s="53">
        <f t="shared" si="51"/>
        <v>1</v>
      </c>
      <c r="N286" s="964"/>
      <c r="O286" s="53">
        <f t="shared" si="52"/>
        <v>1</v>
      </c>
      <c r="P286" s="964"/>
      <c r="Q286" s="53">
        <f t="shared" si="53"/>
        <v>1</v>
      </c>
      <c r="R286" s="491">
        <f t="shared" si="54"/>
        <v>0</v>
      </c>
      <c r="S286" s="800">
        <f t="shared" si="45"/>
        <v>0</v>
      </c>
    </row>
    <row r="287" spans="1:19">
      <c r="A287" s="966"/>
      <c r="B287" s="136"/>
      <c r="C287" s="53">
        <f t="shared" si="46"/>
        <v>1</v>
      </c>
      <c r="D287" s="964"/>
      <c r="E287" s="53">
        <f t="shared" si="47"/>
        <v>0</v>
      </c>
      <c r="F287" s="964"/>
      <c r="G287" s="53">
        <f t="shared" si="48"/>
        <v>1</v>
      </c>
      <c r="H287" s="964"/>
      <c r="I287" s="53">
        <f t="shared" si="49"/>
        <v>1</v>
      </c>
      <c r="J287" s="964"/>
      <c r="K287" s="53">
        <f t="shared" si="50"/>
        <v>1</v>
      </c>
      <c r="L287" s="964"/>
      <c r="M287" s="53">
        <f t="shared" si="51"/>
        <v>1</v>
      </c>
      <c r="N287" s="964"/>
      <c r="O287" s="53">
        <f t="shared" si="52"/>
        <v>1</v>
      </c>
      <c r="P287" s="964"/>
      <c r="Q287" s="53">
        <f t="shared" si="53"/>
        <v>1</v>
      </c>
      <c r="R287" s="491">
        <f t="shared" si="54"/>
        <v>0</v>
      </c>
      <c r="S287" s="800">
        <f t="shared" si="45"/>
        <v>0</v>
      </c>
    </row>
    <row r="288" spans="1:19">
      <c r="A288" s="966"/>
      <c r="B288" s="136"/>
      <c r="C288" s="53">
        <f t="shared" si="46"/>
        <v>1</v>
      </c>
      <c r="D288" s="964"/>
      <c r="E288" s="53">
        <f t="shared" si="47"/>
        <v>0</v>
      </c>
      <c r="F288" s="964"/>
      <c r="G288" s="53">
        <f t="shared" si="48"/>
        <v>1</v>
      </c>
      <c r="H288" s="964"/>
      <c r="I288" s="53">
        <f t="shared" si="49"/>
        <v>1</v>
      </c>
      <c r="J288" s="964"/>
      <c r="K288" s="53">
        <f t="shared" si="50"/>
        <v>1</v>
      </c>
      <c r="L288" s="964"/>
      <c r="M288" s="53">
        <f t="shared" si="51"/>
        <v>1</v>
      </c>
      <c r="N288" s="964"/>
      <c r="O288" s="53">
        <f t="shared" si="52"/>
        <v>1</v>
      </c>
      <c r="P288" s="964"/>
      <c r="Q288" s="53">
        <f t="shared" si="53"/>
        <v>1</v>
      </c>
      <c r="R288" s="491">
        <f t="shared" si="54"/>
        <v>0</v>
      </c>
      <c r="S288" s="800">
        <f t="shared" si="45"/>
        <v>0</v>
      </c>
    </row>
    <row r="289" spans="1:19">
      <c r="A289" s="966"/>
      <c r="B289" s="136"/>
      <c r="C289" s="53">
        <f t="shared" si="46"/>
        <v>1</v>
      </c>
      <c r="D289" s="964"/>
      <c r="E289" s="53">
        <f t="shared" si="47"/>
        <v>0</v>
      </c>
      <c r="F289" s="964"/>
      <c r="G289" s="53">
        <f t="shared" si="48"/>
        <v>1</v>
      </c>
      <c r="H289" s="964"/>
      <c r="I289" s="53">
        <f t="shared" si="49"/>
        <v>1</v>
      </c>
      <c r="J289" s="964"/>
      <c r="K289" s="53">
        <f t="shared" si="50"/>
        <v>1</v>
      </c>
      <c r="L289" s="964"/>
      <c r="M289" s="53">
        <f t="shared" si="51"/>
        <v>1</v>
      </c>
      <c r="N289" s="964"/>
      <c r="O289" s="53">
        <f t="shared" si="52"/>
        <v>1</v>
      </c>
      <c r="P289" s="964"/>
      <c r="Q289" s="53">
        <f t="shared" si="53"/>
        <v>1</v>
      </c>
      <c r="R289" s="491">
        <f t="shared" si="54"/>
        <v>0</v>
      </c>
      <c r="S289" s="800">
        <f t="shared" si="45"/>
        <v>0</v>
      </c>
    </row>
    <row r="290" spans="1:19">
      <c r="A290" s="966"/>
      <c r="B290" s="136"/>
      <c r="C290" s="53">
        <f t="shared" si="46"/>
        <v>1</v>
      </c>
      <c r="D290" s="964"/>
      <c r="E290" s="53">
        <f t="shared" si="47"/>
        <v>0</v>
      </c>
      <c r="F290" s="964"/>
      <c r="G290" s="53">
        <f t="shared" si="48"/>
        <v>1</v>
      </c>
      <c r="H290" s="964"/>
      <c r="I290" s="53">
        <f t="shared" si="49"/>
        <v>1</v>
      </c>
      <c r="J290" s="964"/>
      <c r="K290" s="53">
        <f t="shared" si="50"/>
        <v>1</v>
      </c>
      <c r="L290" s="964"/>
      <c r="M290" s="53">
        <f t="shared" si="51"/>
        <v>1</v>
      </c>
      <c r="N290" s="964"/>
      <c r="O290" s="53">
        <f t="shared" si="52"/>
        <v>1</v>
      </c>
      <c r="P290" s="964"/>
      <c r="Q290" s="53">
        <f t="shared" si="53"/>
        <v>1</v>
      </c>
      <c r="R290" s="491">
        <f t="shared" si="54"/>
        <v>0</v>
      </c>
      <c r="S290" s="800">
        <f t="shared" si="45"/>
        <v>0</v>
      </c>
    </row>
    <row r="291" spans="1:19">
      <c r="A291" s="966"/>
      <c r="B291" s="136"/>
      <c r="C291" s="53">
        <f t="shared" si="46"/>
        <v>1</v>
      </c>
      <c r="D291" s="964"/>
      <c r="E291" s="53">
        <f t="shared" si="47"/>
        <v>0</v>
      </c>
      <c r="F291" s="964"/>
      <c r="G291" s="53">
        <f t="shared" si="48"/>
        <v>1</v>
      </c>
      <c r="H291" s="964"/>
      <c r="I291" s="53">
        <f t="shared" si="49"/>
        <v>1</v>
      </c>
      <c r="J291" s="964"/>
      <c r="K291" s="53">
        <f t="shared" si="50"/>
        <v>1</v>
      </c>
      <c r="L291" s="964"/>
      <c r="M291" s="53">
        <f t="shared" si="51"/>
        <v>1</v>
      </c>
      <c r="N291" s="964"/>
      <c r="O291" s="53">
        <f t="shared" si="52"/>
        <v>1</v>
      </c>
      <c r="P291" s="964"/>
      <c r="Q291" s="53">
        <f t="shared" si="53"/>
        <v>1</v>
      </c>
      <c r="R291" s="491">
        <f t="shared" si="54"/>
        <v>0</v>
      </c>
      <c r="S291" s="800">
        <f t="shared" si="45"/>
        <v>0</v>
      </c>
    </row>
    <row r="292" spans="1:19">
      <c r="A292" s="966"/>
      <c r="B292" s="136"/>
      <c r="C292" s="53">
        <f t="shared" si="46"/>
        <v>1</v>
      </c>
      <c r="D292" s="964"/>
      <c r="E292" s="53">
        <f t="shared" si="47"/>
        <v>0</v>
      </c>
      <c r="F292" s="964"/>
      <c r="G292" s="53">
        <f t="shared" si="48"/>
        <v>1</v>
      </c>
      <c r="H292" s="964"/>
      <c r="I292" s="53">
        <f t="shared" si="49"/>
        <v>1</v>
      </c>
      <c r="J292" s="964"/>
      <c r="K292" s="53">
        <f t="shared" si="50"/>
        <v>1</v>
      </c>
      <c r="L292" s="964"/>
      <c r="M292" s="53">
        <f t="shared" si="51"/>
        <v>1</v>
      </c>
      <c r="N292" s="964"/>
      <c r="O292" s="53">
        <f t="shared" si="52"/>
        <v>1</v>
      </c>
      <c r="P292" s="964"/>
      <c r="Q292" s="53">
        <f t="shared" si="53"/>
        <v>1</v>
      </c>
      <c r="R292" s="491">
        <f t="shared" si="54"/>
        <v>0</v>
      </c>
      <c r="S292" s="800">
        <f t="shared" si="45"/>
        <v>0</v>
      </c>
    </row>
    <row r="293" spans="1:19">
      <c r="A293" s="966"/>
      <c r="B293" s="136"/>
      <c r="C293" s="53">
        <f t="shared" si="46"/>
        <v>1</v>
      </c>
      <c r="D293" s="964"/>
      <c r="E293" s="53">
        <f t="shared" si="47"/>
        <v>0</v>
      </c>
      <c r="F293" s="964"/>
      <c r="G293" s="53">
        <f t="shared" si="48"/>
        <v>1</v>
      </c>
      <c r="H293" s="964"/>
      <c r="I293" s="53">
        <f t="shared" si="49"/>
        <v>1</v>
      </c>
      <c r="J293" s="964"/>
      <c r="K293" s="53">
        <f t="shared" si="50"/>
        <v>1</v>
      </c>
      <c r="L293" s="964"/>
      <c r="M293" s="53">
        <f t="shared" si="51"/>
        <v>1</v>
      </c>
      <c r="N293" s="964"/>
      <c r="O293" s="53">
        <f t="shared" si="52"/>
        <v>1</v>
      </c>
      <c r="P293" s="964"/>
      <c r="Q293" s="53">
        <f t="shared" si="53"/>
        <v>1</v>
      </c>
      <c r="R293" s="491">
        <f t="shared" si="54"/>
        <v>0</v>
      </c>
      <c r="S293" s="800">
        <f t="shared" si="45"/>
        <v>0</v>
      </c>
    </row>
    <row r="294" spans="1:19">
      <c r="A294" s="966"/>
      <c r="B294" s="136"/>
      <c r="C294" s="53">
        <f t="shared" si="46"/>
        <v>1</v>
      </c>
      <c r="D294" s="964"/>
      <c r="E294" s="53">
        <f t="shared" si="47"/>
        <v>0</v>
      </c>
      <c r="F294" s="964"/>
      <c r="G294" s="53">
        <f t="shared" si="48"/>
        <v>1</v>
      </c>
      <c r="H294" s="964"/>
      <c r="I294" s="53">
        <f t="shared" si="49"/>
        <v>1</v>
      </c>
      <c r="J294" s="964"/>
      <c r="K294" s="53">
        <f t="shared" si="50"/>
        <v>1</v>
      </c>
      <c r="L294" s="964"/>
      <c r="M294" s="53">
        <f t="shared" si="51"/>
        <v>1</v>
      </c>
      <c r="N294" s="964"/>
      <c r="O294" s="53">
        <f t="shared" si="52"/>
        <v>1</v>
      </c>
      <c r="P294" s="964"/>
      <c r="Q294" s="53">
        <f t="shared" si="53"/>
        <v>1</v>
      </c>
      <c r="R294" s="491">
        <f t="shared" si="54"/>
        <v>0</v>
      </c>
      <c r="S294" s="800">
        <f t="shared" si="45"/>
        <v>0</v>
      </c>
    </row>
    <row r="295" spans="1:19">
      <c r="A295" s="966"/>
      <c r="B295" s="136"/>
      <c r="C295" s="53">
        <f t="shared" si="46"/>
        <v>1</v>
      </c>
      <c r="D295" s="964"/>
      <c r="E295" s="53">
        <f t="shared" si="47"/>
        <v>0</v>
      </c>
      <c r="F295" s="964"/>
      <c r="G295" s="53">
        <f t="shared" si="48"/>
        <v>1</v>
      </c>
      <c r="H295" s="964"/>
      <c r="I295" s="53">
        <f t="shared" si="49"/>
        <v>1</v>
      </c>
      <c r="J295" s="964"/>
      <c r="K295" s="53">
        <f t="shared" si="50"/>
        <v>1</v>
      </c>
      <c r="L295" s="964"/>
      <c r="M295" s="53">
        <f t="shared" si="51"/>
        <v>1</v>
      </c>
      <c r="N295" s="964"/>
      <c r="O295" s="53">
        <f t="shared" si="52"/>
        <v>1</v>
      </c>
      <c r="P295" s="964"/>
      <c r="Q295" s="53">
        <f t="shared" si="53"/>
        <v>1</v>
      </c>
      <c r="R295" s="491">
        <f t="shared" si="54"/>
        <v>0</v>
      </c>
      <c r="S295" s="800">
        <f t="shared" si="45"/>
        <v>0</v>
      </c>
    </row>
    <row r="296" spans="1:19">
      <c r="A296" s="966"/>
      <c r="B296" s="136"/>
      <c r="C296" s="53">
        <f t="shared" si="46"/>
        <v>1</v>
      </c>
      <c r="D296" s="964"/>
      <c r="E296" s="53">
        <f t="shared" si="47"/>
        <v>0</v>
      </c>
      <c r="F296" s="964"/>
      <c r="G296" s="53">
        <f t="shared" si="48"/>
        <v>1</v>
      </c>
      <c r="H296" s="964"/>
      <c r="I296" s="53">
        <f t="shared" si="49"/>
        <v>1</v>
      </c>
      <c r="J296" s="964"/>
      <c r="K296" s="53">
        <f t="shared" si="50"/>
        <v>1</v>
      </c>
      <c r="L296" s="964"/>
      <c r="M296" s="53">
        <f t="shared" si="51"/>
        <v>1</v>
      </c>
      <c r="N296" s="964"/>
      <c r="O296" s="53">
        <f t="shared" si="52"/>
        <v>1</v>
      </c>
      <c r="P296" s="964"/>
      <c r="Q296" s="53">
        <f t="shared" si="53"/>
        <v>1</v>
      </c>
      <c r="R296" s="491">
        <f t="shared" si="54"/>
        <v>0</v>
      </c>
      <c r="S296" s="800">
        <f t="shared" si="45"/>
        <v>0</v>
      </c>
    </row>
    <row r="297" spans="1:19">
      <c r="A297" s="966"/>
      <c r="B297" s="136"/>
      <c r="C297" s="53">
        <f t="shared" si="46"/>
        <v>1</v>
      </c>
      <c r="D297" s="964"/>
      <c r="E297" s="53">
        <f t="shared" si="47"/>
        <v>0</v>
      </c>
      <c r="F297" s="964"/>
      <c r="G297" s="53">
        <f t="shared" si="48"/>
        <v>1</v>
      </c>
      <c r="H297" s="964"/>
      <c r="I297" s="53">
        <f t="shared" si="49"/>
        <v>1</v>
      </c>
      <c r="J297" s="964"/>
      <c r="K297" s="53">
        <f t="shared" si="50"/>
        <v>1</v>
      </c>
      <c r="L297" s="964"/>
      <c r="M297" s="53">
        <f t="shared" si="51"/>
        <v>1</v>
      </c>
      <c r="N297" s="964"/>
      <c r="O297" s="53">
        <f t="shared" si="52"/>
        <v>1</v>
      </c>
      <c r="P297" s="964"/>
      <c r="Q297" s="53">
        <f t="shared" si="53"/>
        <v>1</v>
      </c>
      <c r="R297" s="491">
        <f t="shared" si="54"/>
        <v>0</v>
      </c>
      <c r="S297" s="800">
        <f t="shared" si="45"/>
        <v>0</v>
      </c>
    </row>
    <row r="298" spans="1:19">
      <c r="A298" s="966"/>
      <c r="B298" s="136"/>
      <c r="C298" s="53">
        <f t="shared" si="46"/>
        <v>1</v>
      </c>
      <c r="D298" s="964"/>
      <c r="E298" s="53">
        <f t="shared" si="47"/>
        <v>0</v>
      </c>
      <c r="F298" s="964"/>
      <c r="G298" s="53">
        <f t="shared" si="48"/>
        <v>1</v>
      </c>
      <c r="H298" s="964"/>
      <c r="I298" s="53">
        <f t="shared" si="49"/>
        <v>1</v>
      </c>
      <c r="J298" s="964"/>
      <c r="K298" s="53">
        <f t="shared" si="50"/>
        <v>1</v>
      </c>
      <c r="L298" s="964"/>
      <c r="M298" s="53">
        <f t="shared" si="51"/>
        <v>1</v>
      </c>
      <c r="N298" s="964"/>
      <c r="O298" s="53">
        <f t="shared" si="52"/>
        <v>1</v>
      </c>
      <c r="P298" s="964"/>
      <c r="Q298" s="53">
        <f t="shared" si="53"/>
        <v>1</v>
      </c>
      <c r="R298" s="491">
        <f t="shared" si="54"/>
        <v>0</v>
      </c>
      <c r="S298" s="800">
        <f t="shared" si="45"/>
        <v>0</v>
      </c>
    </row>
    <row r="299" spans="1:19">
      <c r="A299" s="966"/>
      <c r="B299" s="136"/>
      <c r="C299" s="53">
        <f t="shared" si="46"/>
        <v>1</v>
      </c>
      <c r="D299" s="964"/>
      <c r="E299" s="53">
        <f t="shared" si="47"/>
        <v>0</v>
      </c>
      <c r="F299" s="964"/>
      <c r="G299" s="53">
        <f t="shared" si="48"/>
        <v>1</v>
      </c>
      <c r="H299" s="964"/>
      <c r="I299" s="53">
        <f t="shared" si="49"/>
        <v>1</v>
      </c>
      <c r="J299" s="964"/>
      <c r="K299" s="53">
        <f t="shared" si="50"/>
        <v>1</v>
      </c>
      <c r="L299" s="964"/>
      <c r="M299" s="53">
        <f t="shared" si="51"/>
        <v>1</v>
      </c>
      <c r="N299" s="964"/>
      <c r="O299" s="53">
        <f t="shared" si="52"/>
        <v>1</v>
      </c>
      <c r="P299" s="964"/>
      <c r="Q299" s="53">
        <f t="shared" si="53"/>
        <v>1</v>
      </c>
      <c r="R299" s="491">
        <f t="shared" si="54"/>
        <v>0</v>
      </c>
      <c r="S299" s="800">
        <f t="shared" si="45"/>
        <v>0</v>
      </c>
    </row>
    <row r="300" spans="1:19">
      <c r="A300" s="966"/>
      <c r="B300" s="136"/>
      <c r="C300" s="53">
        <f t="shared" si="46"/>
        <v>1</v>
      </c>
      <c r="D300" s="964"/>
      <c r="E300" s="53">
        <f t="shared" si="47"/>
        <v>0</v>
      </c>
      <c r="F300" s="964"/>
      <c r="G300" s="53">
        <f t="shared" si="48"/>
        <v>1</v>
      </c>
      <c r="H300" s="964"/>
      <c r="I300" s="53">
        <f t="shared" si="49"/>
        <v>1</v>
      </c>
      <c r="J300" s="964"/>
      <c r="K300" s="53">
        <f t="shared" si="50"/>
        <v>1</v>
      </c>
      <c r="L300" s="964"/>
      <c r="M300" s="53">
        <f t="shared" si="51"/>
        <v>1</v>
      </c>
      <c r="N300" s="964"/>
      <c r="O300" s="53">
        <f t="shared" si="52"/>
        <v>1</v>
      </c>
      <c r="P300" s="964"/>
      <c r="Q300" s="53">
        <f t="shared" si="53"/>
        <v>1</v>
      </c>
      <c r="R300" s="491">
        <f t="shared" si="54"/>
        <v>0</v>
      </c>
      <c r="S300" s="800">
        <f t="shared" si="45"/>
        <v>0</v>
      </c>
    </row>
    <row r="301" spans="1:19">
      <c r="A301" s="966"/>
      <c r="B301" s="136"/>
      <c r="C301" s="53">
        <f t="shared" si="46"/>
        <v>1</v>
      </c>
      <c r="D301" s="964"/>
      <c r="E301" s="53">
        <f t="shared" si="47"/>
        <v>0</v>
      </c>
      <c r="F301" s="964"/>
      <c r="G301" s="53">
        <f t="shared" si="48"/>
        <v>1</v>
      </c>
      <c r="H301" s="964"/>
      <c r="I301" s="53">
        <f t="shared" si="49"/>
        <v>1</v>
      </c>
      <c r="J301" s="964"/>
      <c r="K301" s="53">
        <f t="shared" si="50"/>
        <v>1</v>
      </c>
      <c r="L301" s="964"/>
      <c r="M301" s="53">
        <f t="shared" si="51"/>
        <v>1</v>
      </c>
      <c r="N301" s="964"/>
      <c r="O301" s="53">
        <f t="shared" si="52"/>
        <v>1</v>
      </c>
      <c r="P301" s="964"/>
      <c r="Q301" s="53">
        <f t="shared" si="53"/>
        <v>1</v>
      </c>
      <c r="R301" s="491">
        <f t="shared" si="54"/>
        <v>0</v>
      </c>
      <c r="S301" s="800">
        <f t="shared" si="45"/>
        <v>0</v>
      </c>
    </row>
    <row r="302" spans="1:19">
      <c r="A302" s="966"/>
      <c r="B302" s="136"/>
      <c r="C302" s="53">
        <f t="shared" si="46"/>
        <v>1</v>
      </c>
      <c r="D302" s="964"/>
      <c r="E302" s="53">
        <f t="shared" si="47"/>
        <v>0</v>
      </c>
      <c r="F302" s="964"/>
      <c r="G302" s="53">
        <f t="shared" si="48"/>
        <v>1</v>
      </c>
      <c r="H302" s="964"/>
      <c r="I302" s="53">
        <f t="shared" si="49"/>
        <v>1</v>
      </c>
      <c r="J302" s="964"/>
      <c r="K302" s="53">
        <f t="shared" si="50"/>
        <v>1</v>
      </c>
      <c r="L302" s="964"/>
      <c r="M302" s="53">
        <f t="shared" si="51"/>
        <v>1</v>
      </c>
      <c r="N302" s="964"/>
      <c r="O302" s="53">
        <f t="shared" si="52"/>
        <v>1</v>
      </c>
      <c r="P302" s="964"/>
      <c r="Q302" s="53">
        <f t="shared" si="53"/>
        <v>1</v>
      </c>
      <c r="R302" s="491">
        <f t="shared" si="54"/>
        <v>0</v>
      </c>
      <c r="S302" s="800">
        <f t="shared" si="45"/>
        <v>0</v>
      </c>
    </row>
    <row r="303" spans="1:19">
      <c r="A303" s="966"/>
      <c r="B303" s="136"/>
      <c r="C303" s="53">
        <f t="shared" si="46"/>
        <v>1</v>
      </c>
      <c r="D303" s="964"/>
      <c r="E303" s="53">
        <f t="shared" si="47"/>
        <v>0</v>
      </c>
      <c r="F303" s="964"/>
      <c r="G303" s="53">
        <f t="shared" si="48"/>
        <v>1</v>
      </c>
      <c r="H303" s="964"/>
      <c r="I303" s="53">
        <f t="shared" si="49"/>
        <v>1</v>
      </c>
      <c r="J303" s="964"/>
      <c r="K303" s="53">
        <f t="shared" si="50"/>
        <v>1</v>
      </c>
      <c r="L303" s="964"/>
      <c r="M303" s="53">
        <f t="shared" si="51"/>
        <v>1</v>
      </c>
      <c r="N303" s="964"/>
      <c r="O303" s="53">
        <f t="shared" si="52"/>
        <v>1</v>
      </c>
      <c r="P303" s="964"/>
      <c r="Q303" s="53">
        <f t="shared" si="53"/>
        <v>1</v>
      </c>
      <c r="R303" s="491">
        <f t="shared" si="54"/>
        <v>0</v>
      </c>
      <c r="S303" s="800">
        <f t="shared" si="45"/>
        <v>0</v>
      </c>
    </row>
    <row r="304" spans="1:19">
      <c r="A304" s="966"/>
      <c r="B304" s="136"/>
      <c r="C304" s="53">
        <f t="shared" si="46"/>
        <v>1</v>
      </c>
      <c r="D304" s="964"/>
      <c r="E304" s="53">
        <f t="shared" si="47"/>
        <v>0</v>
      </c>
      <c r="F304" s="964"/>
      <c r="G304" s="53">
        <f t="shared" si="48"/>
        <v>1</v>
      </c>
      <c r="H304" s="964"/>
      <c r="I304" s="53">
        <f t="shared" si="49"/>
        <v>1</v>
      </c>
      <c r="J304" s="964"/>
      <c r="K304" s="53">
        <f t="shared" si="50"/>
        <v>1</v>
      </c>
      <c r="L304" s="964"/>
      <c r="M304" s="53">
        <f t="shared" si="51"/>
        <v>1</v>
      </c>
      <c r="N304" s="964"/>
      <c r="O304" s="53">
        <f t="shared" si="52"/>
        <v>1</v>
      </c>
      <c r="P304" s="964"/>
      <c r="Q304" s="53">
        <f t="shared" si="53"/>
        <v>1</v>
      </c>
      <c r="R304" s="491">
        <f t="shared" si="54"/>
        <v>0</v>
      </c>
      <c r="S304" s="800">
        <f t="shared" si="45"/>
        <v>0</v>
      </c>
    </row>
    <row r="305" spans="1:19">
      <c r="A305" s="966"/>
      <c r="B305" s="136"/>
      <c r="C305" s="53">
        <f t="shared" si="46"/>
        <v>1</v>
      </c>
      <c r="D305" s="964"/>
      <c r="E305" s="53">
        <f t="shared" si="47"/>
        <v>0</v>
      </c>
      <c r="F305" s="964"/>
      <c r="G305" s="53">
        <f t="shared" si="48"/>
        <v>1</v>
      </c>
      <c r="H305" s="964"/>
      <c r="I305" s="53">
        <f t="shared" si="49"/>
        <v>1</v>
      </c>
      <c r="J305" s="964"/>
      <c r="K305" s="53">
        <f t="shared" si="50"/>
        <v>1</v>
      </c>
      <c r="L305" s="964"/>
      <c r="M305" s="53">
        <f t="shared" si="51"/>
        <v>1</v>
      </c>
      <c r="N305" s="964"/>
      <c r="O305" s="53">
        <f t="shared" si="52"/>
        <v>1</v>
      </c>
      <c r="P305" s="964"/>
      <c r="Q305" s="53">
        <f t="shared" si="53"/>
        <v>1</v>
      </c>
      <c r="R305" s="491">
        <f t="shared" si="54"/>
        <v>0</v>
      </c>
      <c r="S305" s="800">
        <f t="shared" si="45"/>
        <v>0</v>
      </c>
    </row>
    <row r="306" spans="1:19">
      <c r="A306" s="966"/>
      <c r="B306" s="136"/>
      <c r="C306" s="53">
        <f t="shared" si="46"/>
        <v>1</v>
      </c>
      <c r="D306" s="964"/>
      <c r="E306" s="53">
        <f t="shared" si="47"/>
        <v>0</v>
      </c>
      <c r="F306" s="964"/>
      <c r="G306" s="53">
        <f t="shared" si="48"/>
        <v>1</v>
      </c>
      <c r="H306" s="964"/>
      <c r="I306" s="53">
        <f t="shared" si="49"/>
        <v>1</v>
      </c>
      <c r="J306" s="964"/>
      <c r="K306" s="53">
        <f t="shared" si="50"/>
        <v>1</v>
      </c>
      <c r="L306" s="964"/>
      <c r="M306" s="53">
        <f t="shared" si="51"/>
        <v>1</v>
      </c>
      <c r="N306" s="964"/>
      <c r="O306" s="53">
        <f t="shared" si="52"/>
        <v>1</v>
      </c>
      <c r="P306" s="964"/>
      <c r="Q306" s="53">
        <f t="shared" si="53"/>
        <v>1</v>
      </c>
      <c r="R306" s="491">
        <f t="shared" si="54"/>
        <v>0</v>
      </c>
      <c r="S306" s="800">
        <f t="shared" si="45"/>
        <v>0</v>
      </c>
    </row>
    <row r="307" spans="1:19">
      <c r="A307" s="966"/>
      <c r="B307" s="136"/>
      <c r="C307" s="53">
        <f t="shared" si="46"/>
        <v>1</v>
      </c>
      <c r="D307" s="964"/>
      <c r="E307" s="53">
        <f t="shared" si="47"/>
        <v>0</v>
      </c>
      <c r="F307" s="964"/>
      <c r="G307" s="53">
        <f t="shared" si="48"/>
        <v>1</v>
      </c>
      <c r="H307" s="964"/>
      <c r="I307" s="53">
        <f t="shared" si="49"/>
        <v>1</v>
      </c>
      <c r="J307" s="964"/>
      <c r="K307" s="53">
        <f t="shared" si="50"/>
        <v>1</v>
      </c>
      <c r="L307" s="964"/>
      <c r="M307" s="53">
        <f t="shared" si="51"/>
        <v>1</v>
      </c>
      <c r="N307" s="964"/>
      <c r="O307" s="53">
        <f t="shared" si="52"/>
        <v>1</v>
      </c>
      <c r="P307" s="964"/>
      <c r="Q307" s="53">
        <f t="shared" si="53"/>
        <v>1</v>
      </c>
      <c r="R307" s="491">
        <f t="shared" si="54"/>
        <v>0</v>
      </c>
      <c r="S307" s="800">
        <f t="shared" si="45"/>
        <v>0</v>
      </c>
    </row>
    <row r="308" spans="1:19">
      <c r="A308" s="966"/>
      <c r="B308" s="136"/>
      <c r="C308" s="53">
        <f t="shared" si="46"/>
        <v>1</v>
      </c>
      <c r="D308" s="964"/>
      <c r="E308" s="53">
        <f t="shared" si="47"/>
        <v>0</v>
      </c>
      <c r="F308" s="964"/>
      <c r="G308" s="53">
        <f t="shared" si="48"/>
        <v>1</v>
      </c>
      <c r="H308" s="964"/>
      <c r="I308" s="53">
        <f t="shared" si="49"/>
        <v>1</v>
      </c>
      <c r="J308" s="964"/>
      <c r="K308" s="53">
        <f t="shared" si="50"/>
        <v>1</v>
      </c>
      <c r="L308" s="964"/>
      <c r="M308" s="53">
        <f t="shared" si="51"/>
        <v>1</v>
      </c>
      <c r="N308" s="964"/>
      <c r="O308" s="53">
        <f t="shared" si="52"/>
        <v>1</v>
      </c>
      <c r="P308" s="964"/>
      <c r="Q308" s="53">
        <f t="shared" si="53"/>
        <v>1</v>
      </c>
      <c r="R308" s="491">
        <f t="shared" si="54"/>
        <v>0</v>
      </c>
      <c r="S308" s="800">
        <f t="shared" si="45"/>
        <v>0</v>
      </c>
    </row>
    <row r="309" spans="1:19">
      <c r="A309" s="966"/>
      <c r="B309" s="136"/>
      <c r="C309" s="53">
        <f t="shared" si="46"/>
        <v>1</v>
      </c>
      <c r="D309" s="964"/>
      <c r="E309" s="53">
        <f t="shared" si="47"/>
        <v>0</v>
      </c>
      <c r="F309" s="964"/>
      <c r="G309" s="53">
        <f t="shared" si="48"/>
        <v>1</v>
      </c>
      <c r="H309" s="964"/>
      <c r="I309" s="53">
        <f t="shared" si="49"/>
        <v>1</v>
      </c>
      <c r="J309" s="964"/>
      <c r="K309" s="53">
        <f t="shared" si="50"/>
        <v>1</v>
      </c>
      <c r="L309" s="964"/>
      <c r="M309" s="53">
        <f t="shared" si="51"/>
        <v>1</v>
      </c>
      <c r="N309" s="964"/>
      <c r="O309" s="53">
        <f t="shared" si="52"/>
        <v>1</v>
      </c>
      <c r="P309" s="964"/>
      <c r="Q309" s="53">
        <f t="shared" si="53"/>
        <v>1</v>
      </c>
      <c r="R309" s="491">
        <f t="shared" si="54"/>
        <v>0</v>
      </c>
      <c r="S309" s="800">
        <f t="shared" si="45"/>
        <v>0</v>
      </c>
    </row>
    <row r="310" spans="1:19">
      <c r="A310" s="966"/>
      <c r="B310" s="136"/>
      <c r="C310" s="53">
        <f t="shared" si="46"/>
        <v>1</v>
      </c>
      <c r="D310" s="964"/>
      <c r="E310" s="53">
        <f t="shared" si="47"/>
        <v>0</v>
      </c>
      <c r="F310" s="964"/>
      <c r="G310" s="53">
        <f t="shared" si="48"/>
        <v>1</v>
      </c>
      <c r="H310" s="964"/>
      <c r="I310" s="53">
        <f t="shared" si="49"/>
        <v>1</v>
      </c>
      <c r="J310" s="964"/>
      <c r="K310" s="53">
        <f t="shared" si="50"/>
        <v>1</v>
      </c>
      <c r="L310" s="964"/>
      <c r="M310" s="53">
        <f t="shared" si="51"/>
        <v>1</v>
      </c>
      <c r="N310" s="964"/>
      <c r="O310" s="53">
        <f t="shared" si="52"/>
        <v>1</v>
      </c>
      <c r="P310" s="964"/>
      <c r="Q310" s="53">
        <f t="shared" si="53"/>
        <v>1</v>
      </c>
      <c r="R310" s="491">
        <f t="shared" si="54"/>
        <v>0</v>
      </c>
      <c r="S310" s="800">
        <f t="shared" si="45"/>
        <v>0</v>
      </c>
    </row>
    <row r="311" spans="1:19">
      <c r="A311" s="966"/>
      <c r="B311" s="136"/>
      <c r="C311" s="53">
        <f t="shared" si="46"/>
        <v>1</v>
      </c>
      <c r="D311" s="964"/>
      <c r="E311" s="53">
        <f t="shared" si="47"/>
        <v>0</v>
      </c>
      <c r="F311" s="964"/>
      <c r="G311" s="53">
        <f t="shared" si="48"/>
        <v>1</v>
      </c>
      <c r="H311" s="964"/>
      <c r="I311" s="53">
        <f t="shared" si="49"/>
        <v>1</v>
      </c>
      <c r="J311" s="964"/>
      <c r="K311" s="53">
        <f t="shared" si="50"/>
        <v>1</v>
      </c>
      <c r="L311" s="964"/>
      <c r="M311" s="53">
        <f t="shared" si="51"/>
        <v>1</v>
      </c>
      <c r="N311" s="964"/>
      <c r="O311" s="53">
        <f t="shared" si="52"/>
        <v>1</v>
      </c>
      <c r="P311" s="964"/>
      <c r="Q311" s="53">
        <f t="shared" si="53"/>
        <v>1</v>
      </c>
      <c r="R311" s="491">
        <f t="shared" si="54"/>
        <v>0</v>
      </c>
      <c r="S311" s="800">
        <f t="shared" si="45"/>
        <v>0</v>
      </c>
    </row>
    <row r="312" spans="1:19">
      <c r="A312" s="966"/>
      <c r="B312" s="136"/>
      <c r="C312" s="53">
        <f t="shared" si="46"/>
        <v>1</v>
      </c>
      <c r="D312" s="964"/>
      <c r="E312" s="53">
        <f t="shared" si="47"/>
        <v>0</v>
      </c>
      <c r="F312" s="964"/>
      <c r="G312" s="53">
        <f t="shared" si="48"/>
        <v>1</v>
      </c>
      <c r="H312" s="964"/>
      <c r="I312" s="53">
        <f t="shared" si="49"/>
        <v>1</v>
      </c>
      <c r="J312" s="964"/>
      <c r="K312" s="53">
        <f t="shared" si="50"/>
        <v>1</v>
      </c>
      <c r="L312" s="964"/>
      <c r="M312" s="53">
        <f t="shared" si="51"/>
        <v>1</v>
      </c>
      <c r="N312" s="964"/>
      <c r="O312" s="53">
        <f t="shared" si="52"/>
        <v>1</v>
      </c>
      <c r="P312" s="964"/>
      <c r="Q312" s="53">
        <f t="shared" si="53"/>
        <v>1</v>
      </c>
      <c r="R312" s="491">
        <f t="shared" si="54"/>
        <v>0</v>
      </c>
      <c r="S312" s="800">
        <f t="shared" si="45"/>
        <v>0</v>
      </c>
    </row>
    <row r="313" spans="1:19">
      <c r="A313" s="966"/>
      <c r="B313" s="136"/>
      <c r="C313" s="53">
        <f t="shared" si="46"/>
        <v>1</v>
      </c>
      <c r="D313" s="964"/>
      <c r="E313" s="53">
        <f t="shared" si="47"/>
        <v>0</v>
      </c>
      <c r="F313" s="964"/>
      <c r="G313" s="53">
        <f t="shared" si="48"/>
        <v>1</v>
      </c>
      <c r="H313" s="964"/>
      <c r="I313" s="53">
        <f t="shared" si="49"/>
        <v>1</v>
      </c>
      <c r="J313" s="964"/>
      <c r="K313" s="53">
        <f t="shared" si="50"/>
        <v>1</v>
      </c>
      <c r="L313" s="964"/>
      <c r="M313" s="53">
        <f t="shared" si="51"/>
        <v>1</v>
      </c>
      <c r="N313" s="964"/>
      <c r="O313" s="53">
        <f t="shared" si="52"/>
        <v>1</v>
      </c>
      <c r="P313" s="964"/>
      <c r="Q313" s="53">
        <f t="shared" si="53"/>
        <v>1</v>
      </c>
      <c r="R313" s="491">
        <f t="shared" si="54"/>
        <v>0</v>
      </c>
      <c r="S313" s="800">
        <f t="shared" si="45"/>
        <v>0</v>
      </c>
    </row>
    <row r="314" spans="1:19">
      <c r="A314" s="966"/>
      <c r="B314" s="136"/>
      <c r="C314" s="53">
        <f t="shared" si="46"/>
        <v>1</v>
      </c>
      <c r="D314" s="964"/>
      <c r="E314" s="53">
        <f t="shared" si="47"/>
        <v>0</v>
      </c>
      <c r="F314" s="964"/>
      <c r="G314" s="53">
        <f t="shared" si="48"/>
        <v>1</v>
      </c>
      <c r="H314" s="964"/>
      <c r="I314" s="53">
        <f t="shared" si="49"/>
        <v>1</v>
      </c>
      <c r="J314" s="964"/>
      <c r="K314" s="53">
        <f t="shared" si="50"/>
        <v>1</v>
      </c>
      <c r="L314" s="964"/>
      <c r="M314" s="53">
        <f t="shared" si="51"/>
        <v>1</v>
      </c>
      <c r="N314" s="964"/>
      <c r="O314" s="53">
        <f t="shared" si="52"/>
        <v>1</v>
      </c>
      <c r="P314" s="964"/>
      <c r="Q314" s="53">
        <f t="shared" si="53"/>
        <v>1</v>
      </c>
      <c r="R314" s="491">
        <f t="shared" si="54"/>
        <v>0</v>
      </c>
      <c r="S314" s="800">
        <f t="shared" si="45"/>
        <v>0</v>
      </c>
    </row>
    <row r="315" spans="1:19">
      <c r="A315" s="966"/>
      <c r="B315" s="136"/>
      <c r="C315" s="53">
        <f t="shared" si="46"/>
        <v>1</v>
      </c>
      <c r="D315" s="964"/>
      <c r="E315" s="53">
        <f t="shared" si="47"/>
        <v>0</v>
      </c>
      <c r="F315" s="964"/>
      <c r="G315" s="53">
        <f t="shared" si="48"/>
        <v>1</v>
      </c>
      <c r="H315" s="964"/>
      <c r="I315" s="53">
        <f t="shared" si="49"/>
        <v>1</v>
      </c>
      <c r="J315" s="964"/>
      <c r="K315" s="53">
        <f t="shared" si="50"/>
        <v>1</v>
      </c>
      <c r="L315" s="964"/>
      <c r="M315" s="53">
        <f t="shared" si="51"/>
        <v>1</v>
      </c>
      <c r="N315" s="964"/>
      <c r="O315" s="53">
        <f t="shared" si="52"/>
        <v>1</v>
      </c>
      <c r="P315" s="964"/>
      <c r="Q315" s="53">
        <f t="shared" si="53"/>
        <v>1</v>
      </c>
      <c r="R315" s="491">
        <f t="shared" si="54"/>
        <v>0</v>
      </c>
      <c r="S315" s="800">
        <f t="shared" si="45"/>
        <v>0</v>
      </c>
    </row>
    <row r="316" spans="1:19">
      <c r="A316" s="966"/>
      <c r="B316" s="136"/>
      <c r="C316" s="53">
        <f t="shared" si="46"/>
        <v>1</v>
      </c>
      <c r="D316" s="964"/>
      <c r="E316" s="53">
        <f t="shared" si="47"/>
        <v>0</v>
      </c>
      <c r="F316" s="964"/>
      <c r="G316" s="53">
        <f t="shared" si="48"/>
        <v>1</v>
      </c>
      <c r="H316" s="964"/>
      <c r="I316" s="53">
        <f t="shared" si="49"/>
        <v>1</v>
      </c>
      <c r="J316" s="964"/>
      <c r="K316" s="53">
        <f t="shared" si="50"/>
        <v>1</v>
      </c>
      <c r="L316" s="964"/>
      <c r="M316" s="53">
        <f t="shared" si="51"/>
        <v>1</v>
      </c>
      <c r="N316" s="964"/>
      <c r="O316" s="53">
        <f t="shared" si="52"/>
        <v>1</v>
      </c>
      <c r="P316" s="964"/>
      <c r="Q316" s="53">
        <f t="shared" si="53"/>
        <v>1</v>
      </c>
      <c r="R316" s="491">
        <f t="shared" si="54"/>
        <v>0</v>
      </c>
      <c r="S316" s="800">
        <f t="shared" si="45"/>
        <v>0</v>
      </c>
    </row>
    <row r="317" spans="1:19">
      <c r="A317" s="966"/>
      <c r="B317" s="136"/>
      <c r="C317" s="53">
        <f t="shared" si="46"/>
        <v>1</v>
      </c>
      <c r="D317" s="964"/>
      <c r="E317" s="53">
        <f t="shared" si="47"/>
        <v>0</v>
      </c>
      <c r="F317" s="964"/>
      <c r="G317" s="53">
        <f t="shared" si="48"/>
        <v>1</v>
      </c>
      <c r="H317" s="964"/>
      <c r="I317" s="53">
        <f t="shared" si="49"/>
        <v>1</v>
      </c>
      <c r="J317" s="964"/>
      <c r="K317" s="53">
        <f t="shared" si="50"/>
        <v>1</v>
      </c>
      <c r="L317" s="964"/>
      <c r="M317" s="53">
        <f t="shared" si="51"/>
        <v>1</v>
      </c>
      <c r="N317" s="964"/>
      <c r="O317" s="53">
        <f t="shared" si="52"/>
        <v>1</v>
      </c>
      <c r="P317" s="964"/>
      <c r="Q317" s="53">
        <f t="shared" si="53"/>
        <v>1</v>
      </c>
      <c r="R317" s="491">
        <f t="shared" si="54"/>
        <v>0</v>
      </c>
      <c r="S317" s="800">
        <f t="shared" si="45"/>
        <v>0</v>
      </c>
    </row>
    <row r="318" spans="1:19">
      <c r="A318" s="966"/>
      <c r="B318" s="136"/>
      <c r="C318" s="53">
        <f t="shared" si="46"/>
        <v>1</v>
      </c>
      <c r="D318" s="964"/>
      <c r="E318" s="53">
        <f t="shared" si="47"/>
        <v>0</v>
      </c>
      <c r="F318" s="964"/>
      <c r="G318" s="53">
        <f t="shared" si="48"/>
        <v>1</v>
      </c>
      <c r="H318" s="964"/>
      <c r="I318" s="53">
        <f t="shared" si="49"/>
        <v>1</v>
      </c>
      <c r="J318" s="964"/>
      <c r="K318" s="53">
        <f t="shared" si="50"/>
        <v>1</v>
      </c>
      <c r="L318" s="964"/>
      <c r="M318" s="53">
        <f t="shared" si="51"/>
        <v>1</v>
      </c>
      <c r="N318" s="964"/>
      <c r="O318" s="53">
        <f t="shared" si="52"/>
        <v>1</v>
      </c>
      <c r="P318" s="964"/>
      <c r="Q318" s="53">
        <f t="shared" si="53"/>
        <v>1</v>
      </c>
      <c r="R318" s="491">
        <f t="shared" si="54"/>
        <v>0</v>
      </c>
      <c r="S318" s="800">
        <f t="shared" si="45"/>
        <v>0</v>
      </c>
    </row>
    <row r="319" spans="1:19">
      <c r="A319" s="966"/>
      <c r="B319" s="136"/>
      <c r="C319" s="53">
        <f t="shared" si="46"/>
        <v>1</v>
      </c>
      <c r="D319" s="964"/>
      <c r="E319" s="53">
        <f t="shared" si="47"/>
        <v>0</v>
      </c>
      <c r="F319" s="964"/>
      <c r="G319" s="53">
        <f t="shared" si="48"/>
        <v>1</v>
      </c>
      <c r="H319" s="964"/>
      <c r="I319" s="53">
        <f t="shared" si="49"/>
        <v>1</v>
      </c>
      <c r="J319" s="964"/>
      <c r="K319" s="53">
        <f t="shared" si="50"/>
        <v>1</v>
      </c>
      <c r="L319" s="964"/>
      <c r="M319" s="53">
        <f t="shared" si="51"/>
        <v>1</v>
      </c>
      <c r="N319" s="964"/>
      <c r="O319" s="53">
        <f t="shared" si="52"/>
        <v>1</v>
      </c>
      <c r="P319" s="964"/>
      <c r="Q319" s="53">
        <f t="shared" si="53"/>
        <v>1</v>
      </c>
      <c r="R319" s="491">
        <f t="shared" si="54"/>
        <v>0</v>
      </c>
      <c r="S319" s="800">
        <f t="shared" si="45"/>
        <v>0</v>
      </c>
    </row>
    <row r="320" spans="1:19">
      <c r="A320" s="966"/>
      <c r="B320" s="136"/>
      <c r="C320" s="53">
        <f t="shared" si="46"/>
        <v>1</v>
      </c>
      <c r="D320" s="964"/>
      <c r="E320" s="53">
        <f t="shared" si="47"/>
        <v>0</v>
      </c>
      <c r="F320" s="964"/>
      <c r="G320" s="53">
        <f t="shared" si="48"/>
        <v>1</v>
      </c>
      <c r="H320" s="964"/>
      <c r="I320" s="53">
        <f t="shared" si="49"/>
        <v>1</v>
      </c>
      <c r="J320" s="964"/>
      <c r="K320" s="53">
        <f t="shared" si="50"/>
        <v>1</v>
      </c>
      <c r="L320" s="964"/>
      <c r="M320" s="53">
        <f t="shared" si="51"/>
        <v>1</v>
      </c>
      <c r="N320" s="964"/>
      <c r="O320" s="53">
        <f t="shared" si="52"/>
        <v>1</v>
      </c>
      <c r="P320" s="964"/>
      <c r="Q320" s="53">
        <f t="shared" si="53"/>
        <v>1</v>
      </c>
      <c r="R320" s="491">
        <f t="shared" si="54"/>
        <v>0</v>
      </c>
      <c r="S320" s="800">
        <f t="shared" si="45"/>
        <v>0</v>
      </c>
    </row>
    <row r="321" spans="1:19">
      <c r="A321" s="966"/>
      <c r="B321" s="136"/>
      <c r="C321" s="53">
        <f t="shared" si="46"/>
        <v>1</v>
      </c>
      <c r="D321" s="964"/>
      <c r="E321" s="53">
        <f t="shared" si="47"/>
        <v>0</v>
      </c>
      <c r="F321" s="964"/>
      <c r="G321" s="53">
        <f t="shared" si="48"/>
        <v>1</v>
      </c>
      <c r="H321" s="964"/>
      <c r="I321" s="53">
        <f t="shared" si="49"/>
        <v>1</v>
      </c>
      <c r="J321" s="964"/>
      <c r="K321" s="53">
        <f t="shared" si="50"/>
        <v>1</v>
      </c>
      <c r="L321" s="964"/>
      <c r="M321" s="53">
        <f t="shared" si="51"/>
        <v>1</v>
      </c>
      <c r="N321" s="964"/>
      <c r="O321" s="53">
        <f t="shared" si="52"/>
        <v>1</v>
      </c>
      <c r="P321" s="964"/>
      <c r="Q321" s="53">
        <f t="shared" si="53"/>
        <v>1</v>
      </c>
      <c r="R321" s="491">
        <f t="shared" si="54"/>
        <v>0</v>
      </c>
      <c r="S321" s="800">
        <f t="shared" si="45"/>
        <v>0</v>
      </c>
    </row>
    <row r="322" spans="1:19">
      <c r="A322" s="966"/>
      <c r="B322" s="136"/>
      <c r="C322" s="53">
        <f t="shared" si="46"/>
        <v>1</v>
      </c>
      <c r="D322" s="964"/>
      <c r="E322" s="53">
        <f t="shared" si="47"/>
        <v>0</v>
      </c>
      <c r="F322" s="964"/>
      <c r="G322" s="53">
        <f t="shared" si="48"/>
        <v>1</v>
      </c>
      <c r="H322" s="964"/>
      <c r="I322" s="53">
        <f t="shared" si="49"/>
        <v>1</v>
      </c>
      <c r="J322" s="964"/>
      <c r="K322" s="53">
        <f t="shared" si="50"/>
        <v>1</v>
      </c>
      <c r="L322" s="964"/>
      <c r="M322" s="53">
        <f t="shared" si="51"/>
        <v>1</v>
      </c>
      <c r="N322" s="964"/>
      <c r="O322" s="53">
        <f t="shared" si="52"/>
        <v>1</v>
      </c>
      <c r="P322" s="964"/>
      <c r="Q322" s="53">
        <f t="shared" si="53"/>
        <v>1</v>
      </c>
      <c r="R322" s="491">
        <f t="shared" si="54"/>
        <v>0</v>
      </c>
      <c r="S322" s="800">
        <f t="shared" si="45"/>
        <v>0</v>
      </c>
    </row>
    <row r="323" spans="1:19">
      <c r="A323" s="966"/>
      <c r="B323" s="136"/>
      <c r="C323" s="53">
        <f t="shared" si="46"/>
        <v>1</v>
      </c>
      <c r="D323" s="964"/>
      <c r="E323" s="53">
        <f t="shared" si="47"/>
        <v>0</v>
      </c>
      <c r="F323" s="964"/>
      <c r="G323" s="53">
        <f t="shared" si="48"/>
        <v>1</v>
      </c>
      <c r="H323" s="964"/>
      <c r="I323" s="53">
        <f t="shared" si="49"/>
        <v>1</v>
      </c>
      <c r="J323" s="964"/>
      <c r="K323" s="53">
        <f t="shared" si="50"/>
        <v>1</v>
      </c>
      <c r="L323" s="964"/>
      <c r="M323" s="53">
        <f t="shared" si="51"/>
        <v>1</v>
      </c>
      <c r="N323" s="964"/>
      <c r="O323" s="53">
        <f t="shared" si="52"/>
        <v>1</v>
      </c>
      <c r="P323" s="964"/>
      <c r="Q323" s="53">
        <f t="shared" si="53"/>
        <v>1</v>
      </c>
      <c r="R323" s="491">
        <f t="shared" si="54"/>
        <v>0</v>
      </c>
      <c r="S323" s="800">
        <f t="shared" si="45"/>
        <v>0</v>
      </c>
    </row>
    <row r="324" spans="1:19">
      <c r="A324" s="966"/>
      <c r="B324" s="136"/>
      <c r="C324" s="53">
        <f t="shared" si="46"/>
        <v>1</v>
      </c>
      <c r="D324" s="964"/>
      <c r="E324" s="53">
        <f t="shared" si="47"/>
        <v>0</v>
      </c>
      <c r="F324" s="964"/>
      <c r="G324" s="53">
        <f t="shared" si="48"/>
        <v>1</v>
      </c>
      <c r="H324" s="964"/>
      <c r="I324" s="53">
        <f t="shared" si="49"/>
        <v>1</v>
      </c>
      <c r="J324" s="964"/>
      <c r="K324" s="53">
        <f t="shared" si="50"/>
        <v>1</v>
      </c>
      <c r="L324" s="964"/>
      <c r="M324" s="53">
        <f t="shared" si="51"/>
        <v>1</v>
      </c>
      <c r="N324" s="964"/>
      <c r="O324" s="53">
        <f t="shared" si="52"/>
        <v>1</v>
      </c>
      <c r="P324" s="964"/>
      <c r="Q324" s="53">
        <f t="shared" si="53"/>
        <v>1</v>
      </c>
      <c r="R324" s="491">
        <f t="shared" si="54"/>
        <v>0</v>
      </c>
      <c r="S324" s="800">
        <f t="shared" si="45"/>
        <v>0</v>
      </c>
    </row>
    <row r="325" spans="1:19">
      <c r="A325" s="966"/>
      <c r="B325" s="136"/>
      <c r="C325" s="53">
        <f t="shared" si="46"/>
        <v>1</v>
      </c>
      <c r="D325" s="964"/>
      <c r="E325" s="53">
        <f t="shared" si="47"/>
        <v>0</v>
      </c>
      <c r="F325" s="964"/>
      <c r="G325" s="53">
        <f t="shared" si="48"/>
        <v>1</v>
      </c>
      <c r="H325" s="964"/>
      <c r="I325" s="53">
        <f t="shared" si="49"/>
        <v>1</v>
      </c>
      <c r="J325" s="964"/>
      <c r="K325" s="53">
        <f t="shared" si="50"/>
        <v>1</v>
      </c>
      <c r="L325" s="964"/>
      <c r="M325" s="53">
        <f t="shared" si="51"/>
        <v>1</v>
      </c>
      <c r="N325" s="964"/>
      <c r="O325" s="53">
        <f t="shared" si="52"/>
        <v>1</v>
      </c>
      <c r="P325" s="964"/>
      <c r="Q325" s="53">
        <f t="shared" si="53"/>
        <v>1</v>
      </c>
      <c r="R325" s="491">
        <f t="shared" si="54"/>
        <v>0</v>
      </c>
      <c r="S325" s="800">
        <f t="shared" si="45"/>
        <v>0</v>
      </c>
    </row>
    <row r="326" spans="1:19">
      <c r="A326" s="966"/>
      <c r="B326" s="136"/>
      <c r="C326" s="53">
        <f t="shared" si="46"/>
        <v>1</v>
      </c>
      <c r="D326" s="964"/>
      <c r="E326" s="53">
        <f t="shared" si="47"/>
        <v>0</v>
      </c>
      <c r="F326" s="964"/>
      <c r="G326" s="53">
        <f t="shared" si="48"/>
        <v>1</v>
      </c>
      <c r="H326" s="964"/>
      <c r="I326" s="53">
        <f t="shared" si="49"/>
        <v>1</v>
      </c>
      <c r="J326" s="964"/>
      <c r="K326" s="53">
        <f t="shared" si="50"/>
        <v>1</v>
      </c>
      <c r="L326" s="964"/>
      <c r="M326" s="53">
        <f t="shared" si="51"/>
        <v>1</v>
      </c>
      <c r="N326" s="964"/>
      <c r="O326" s="53">
        <f t="shared" si="52"/>
        <v>1</v>
      </c>
      <c r="P326" s="964"/>
      <c r="Q326" s="53">
        <f t="shared" si="53"/>
        <v>1</v>
      </c>
      <c r="R326" s="491">
        <f t="shared" si="54"/>
        <v>0</v>
      </c>
      <c r="S326" s="800">
        <f t="shared" si="45"/>
        <v>0</v>
      </c>
    </row>
    <row r="327" spans="1:19">
      <c r="A327" s="966"/>
      <c r="B327" s="136"/>
      <c r="C327" s="53">
        <f t="shared" si="46"/>
        <v>1</v>
      </c>
      <c r="D327" s="964"/>
      <c r="E327" s="53">
        <f t="shared" si="47"/>
        <v>0</v>
      </c>
      <c r="F327" s="964"/>
      <c r="G327" s="53">
        <f t="shared" si="48"/>
        <v>1</v>
      </c>
      <c r="H327" s="964"/>
      <c r="I327" s="53">
        <f t="shared" si="49"/>
        <v>1</v>
      </c>
      <c r="J327" s="964"/>
      <c r="K327" s="53">
        <f t="shared" si="50"/>
        <v>1</v>
      </c>
      <c r="L327" s="964"/>
      <c r="M327" s="53">
        <f t="shared" si="51"/>
        <v>1</v>
      </c>
      <c r="N327" s="964"/>
      <c r="O327" s="53">
        <f t="shared" si="52"/>
        <v>1</v>
      </c>
      <c r="P327" s="964"/>
      <c r="Q327" s="53">
        <f t="shared" si="53"/>
        <v>1</v>
      </c>
      <c r="R327" s="491">
        <f t="shared" si="54"/>
        <v>0</v>
      </c>
      <c r="S327" s="800">
        <f t="shared" si="45"/>
        <v>0</v>
      </c>
    </row>
    <row r="328" spans="1:19">
      <c r="A328" s="966"/>
      <c r="B328" s="136"/>
      <c r="C328" s="53">
        <f t="shared" si="46"/>
        <v>1</v>
      </c>
      <c r="D328" s="964"/>
      <c r="E328" s="53">
        <f t="shared" si="47"/>
        <v>0</v>
      </c>
      <c r="F328" s="964"/>
      <c r="G328" s="53">
        <f t="shared" si="48"/>
        <v>1</v>
      </c>
      <c r="H328" s="964"/>
      <c r="I328" s="53">
        <f t="shared" si="49"/>
        <v>1</v>
      </c>
      <c r="J328" s="964"/>
      <c r="K328" s="53">
        <f t="shared" si="50"/>
        <v>1</v>
      </c>
      <c r="L328" s="964"/>
      <c r="M328" s="53">
        <f t="shared" si="51"/>
        <v>1</v>
      </c>
      <c r="N328" s="964"/>
      <c r="O328" s="53">
        <f t="shared" si="52"/>
        <v>1</v>
      </c>
      <c r="P328" s="964"/>
      <c r="Q328" s="53">
        <f t="shared" si="53"/>
        <v>1</v>
      </c>
      <c r="R328" s="491">
        <f t="shared" si="54"/>
        <v>0</v>
      </c>
      <c r="S328" s="800">
        <f t="shared" si="45"/>
        <v>0</v>
      </c>
    </row>
    <row r="329" spans="1:19">
      <c r="A329" s="966"/>
      <c r="B329" s="136"/>
      <c r="C329" s="53">
        <f t="shared" si="46"/>
        <v>1</v>
      </c>
      <c r="D329" s="964"/>
      <c r="E329" s="53">
        <f t="shared" si="47"/>
        <v>0</v>
      </c>
      <c r="F329" s="964"/>
      <c r="G329" s="53">
        <f t="shared" si="48"/>
        <v>1</v>
      </c>
      <c r="H329" s="964"/>
      <c r="I329" s="53">
        <f t="shared" si="49"/>
        <v>1</v>
      </c>
      <c r="J329" s="964"/>
      <c r="K329" s="53">
        <f t="shared" si="50"/>
        <v>1</v>
      </c>
      <c r="L329" s="964"/>
      <c r="M329" s="53">
        <f t="shared" si="51"/>
        <v>1</v>
      </c>
      <c r="N329" s="964"/>
      <c r="O329" s="53">
        <f t="shared" si="52"/>
        <v>1</v>
      </c>
      <c r="P329" s="964"/>
      <c r="Q329" s="53">
        <f t="shared" si="53"/>
        <v>1</v>
      </c>
      <c r="R329" s="491">
        <f t="shared" si="54"/>
        <v>0</v>
      </c>
      <c r="S329" s="800">
        <f t="shared" si="45"/>
        <v>0</v>
      </c>
    </row>
    <row r="330" spans="1:19">
      <c r="A330" s="966"/>
      <c r="B330" s="136"/>
      <c r="C330" s="53">
        <f t="shared" si="46"/>
        <v>1</v>
      </c>
      <c r="D330" s="964"/>
      <c r="E330" s="53">
        <f t="shared" si="47"/>
        <v>0</v>
      </c>
      <c r="F330" s="964"/>
      <c r="G330" s="53">
        <f t="shared" si="48"/>
        <v>1</v>
      </c>
      <c r="H330" s="964"/>
      <c r="I330" s="53">
        <f t="shared" si="49"/>
        <v>1</v>
      </c>
      <c r="J330" s="964"/>
      <c r="K330" s="53">
        <f t="shared" si="50"/>
        <v>1</v>
      </c>
      <c r="L330" s="964"/>
      <c r="M330" s="53">
        <f t="shared" si="51"/>
        <v>1</v>
      </c>
      <c r="N330" s="964"/>
      <c r="O330" s="53">
        <f t="shared" si="52"/>
        <v>1</v>
      </c>
      <c r="P330" s="964"/>
      <c r="Q330" s="53">
        <f t="shared" si="53"/>
        <v>1</v>
      </c>
      <c r="R330" s="491">
        <f t="shared" si="54"/>
        <v>0</v>
      </c>
      <c r="S330" s="800">
        <f t="shared" si="45"/>
        <v>0</v>
      </c>
    </row>
    <row r="331" spans="1:19">
      <c r="A331" s="966"/>
      <c r="B331" s="136"/>
      <c r="C331" s="53">
        <f t="shared" si="46"/>
        <v>1</v>
      </c>
      <c r="D331" s="964"/>
      <c r="E331" s="53">
        <f t="shared" si="47"/>
        <v>0</v>
      </c>
      <c r="F331" s="964"/>
      <c r="G331" s="53">
        <f t="shared" si="48"/>
        <v>1</v>
      </c>
      <c r="H331" s="964"/>
      <c r="I331" s="53">
        <f t="shared" si="49"/>
        <v>1</v>
      </c>
      <c r="J331" s="964"/>
      <c r="K331" s="53">
        <f t="shared" si="50"/>
        <v>1</v>
      </c>
      <c r="L331" s="964"/>
      <c r="M331" s="53">
        <f t="shared" si="51"/>
        <v>1</v>
      </c>
      <c r="N331" s="964"/>
      <c r="O331" s="53">
        <f t="shared" si="52"/>
        <v>1</v>
      </c>
      <c r="P331" s="964"/>
      <c r="Q331" s="53">
        <f t="shared" si="53"/>
        <v>1</v>
      </c>
      <c r="R331" s="491">
        <f t="shared" si="54"/>
        <v>0</v>
      </c>
      <c r="S331" s="800">
        <f t="shared" si="45"/>
        <v>0</v>
      </c>
    </row>
    <row r="332" spans="1:19">
      <c r="A332" s="966"/>
      <c r="B332" s="136"/>
      <c r="C332" s="53">
        <f t="shared" si="46"/>
        <v>1</v>
      </c>
      <c r="D332" s="964"/>
      <c r="E332" s="53">
        <f t="shared" si="47"/>
        <v>0</v>
      </c>
      <c r="F332" s="964"/>
      <c r="G332" s="53">
        <f t="shared" si="48"/>
        <v>1</v>
      </c>
      <c r="H332" s="964"/>
      <c r="I332" s="53">
        <f t="shared" si="49"/>
        <v>1</v>
      </c>
      <c r="J332" s="964"/>
      <c r="K332" s="53">
        <f t="shared" si="50"/>
        <v>1</v>
      </c>
      <c r="L332" s="964"/>
      <c r="M332" s="53">
        <f t="shared" si="51"/>
        <v>1</v>
      </c>
      <c r="N332" s="964"/>
      <c r="O332" s="53">
        <f t="shared" si="52"/>
        <v>1</v>
      </c>
      <c r="P332" s="964"/>
      <c r="Q332" s="53">
        <f t="shared" si="53"/>
        <v>1</v>
      </c>
      <c r="R332" s="491">
        <f t="shared" si="54"/>
        <v>0</v>
      </c>
      <c r="S332" s="800">
        <f t="shared" si="45"/>
        <v>0</v>
      </c>
    </row>
    <row r="333" spans="1:19">
      <c r="A333" s="966"/>
      <c r="B333" s="136"/>
      <c r="C333" s="53">
        <f t="shared" si="46"/>
        <v>1</v>
      </c>
      <c r="D333" s="964"/>
      <c r="E333" s="53">
        <f t="shared" si="47"/>
        <v>0</v>
      </c>
      <c r="F333" s="964"/>
      <c r="G333" s="53">
        <f t="shared" si="48"/>
        <v>1</v>
      </c>
      <c r="H333" s="964"/>
      <c r="I333" s="53">
        <f t="shared" si="49"/>
        <v>1</v>
      </c>
      <c r="J333" s="964"/>
      <c r="K333" s="53">
        <f t="shared" si="50"/>
        <v>1</v>
      </c>
      <c r="L333" s="964"/>
      <c r="M333" s="53">
        <f t="shared" si="51"/>
        <v>1</v>
      </c>
      <c r="N333" s="964"/>
      <c r="O333" s="53">
        <f t="shared" si="52"/>
        <v>1</v>
      </c>
      <c r="P333" s="964"/>
      <c r="Q333" s="53">
        <f t="shared" si="53"/>
        <v>1</v>
      </c>
      <c r="R333" s="491">
        <f t="shared" si="54"/>
        <v>0</v>
      </c>
      <c r="S333" s="800">
        <f t="shared" si="45"/>
        <v>0</v>
      </c>
    </row>
    <row r="334" spans="1:19">
      <c r="A334" s="966"/>
      <c r="B334" s="136"/>
      <c r="C334" s="53">
        <f t="shared" si="46"/>
        <v>1</v>
      </c>
      <c r="D334" s="964"/>
      <c r="E334" s="53">
        <f t="shared" si="47"/>
        <v>0</v>
      </c>
      <c r="F334" s="964"/>
      <c r="G334" s="53">
        <f t="shared" si="48"/>
        <v>1</v>
      </c>
      <c r="H334" s="964"/>
      <c r="I334" s="53">
        <f t="shared" si="49"/>
        <v>1</v>
      </c>
      <c r="J334" s="964"/>
      <c r="K334" s="53">
        <f t="shared" si="50"/>
        <v>1</v>
      </c>
      <c r="L334" s="964"/>
      <c r="M334" s="53">
        <f t="shared" si="51"/>
        <v>1</v>
      </c>
      <c r="N334" s="964"/>
      <c r="O334" s="53">
        <f t="shared" si="52"/>
        <v>1</v>
      </c>
      <c r="P334" s="964"/>
      <c r="Q334" s="53">
        <f t="shared" si="53"/>
        <v>1</v>
      </c>
      <c r="R334" s="491">
        <f t="shared" si="54"/>
        <v>0</v>
      </c>
      <c r="S334" s="800">
        <f t="shared" si="45"/>
        <v>0</v>
      </c>
    </row>
    <row r="335" spans="1:19">
      <c r="A335" s="966"/>
      <c r="B335" s="136"/>
      <c r="C335" s="53">
        <f t="shared" si="46"/>
        <v>1</v>
      </c>
      <c r="D335" s="964"/>
      <c r="E335" s="53">
        <f t="shared" si="47"/>
        <v>0</v>
      </c>
      <c r="F335" s="964"/>
      <c r="G335" s="53">
        <f t="shared" si="48"/>
        <v>1</v>
      </c>
      <c r="H335" s="964"/>
      <c r="I335" s="53">
        <f t="shared" si="49"/>
        <v>1</v>
      </c>
      <c r="J335" s="964"/>
      <c r="K335" s="53">
        <f t="shared" si="50"/>
        <v>1</v>
      </c>
      <c r="L335" s="964"/>
      <c r="M335" s="53">
        <f t="shared" si="51"/>
        <v>1</v>
      </c>
      <c r="N335" s="964"/>
      <c r="O335" s="53">
        <f t="shared" si="52"/>
        <v>1</v>
      </c>
      <c r="P335" s="964"/>
      <c r="Q335" s="53">
        <f t="shared" si="53"/>
        <v>1</v>
      </c>
      <c r="R335" s="491">
        <f t="shared" si="54"/>
        <v>0</v>
      </c>
      <c r="S335" s="800">
        <f t="shared" si="45"/>
        <v>0</v>
      </c>
    </row>
    <row r="336" spans="1:19">
      <c r="A336" s="966"/>
      <c r="B336" s="136"/>
      <c r="C336" s="53">
        <f t="shared" si="46"/>
        <v>1</v>
      </c>
      <c r="D336" s="964"/>
      <c r="E336" s="53">
        <f t="shared" si="47"/>
        <v>0</v>
      </c>
      <c r="F336" s="964"/>
      <c r="G336" s="53">
        <f t="shared" si="48"/>
        <v>1</v>
      </c>
      <c r="H336" s="964"/>
      <c r="I336" s="53">
        <f t="shared" si="49"/>
        <v>1</v>
      </c>
      <c r="J336" s="964"/>
      <c r="K336" s="53">
        <f t="shared" si="50"/>
        <v>1</v>
      </c>
      <c r="L336" s="964"/>
      <c r="M336" s="53">
        <f t="shared" si="51"/>
        <v>1</v>
      </c>
      <c r="N336" s="964"/>
      <c r="O336" s="53">
        <f t="shared" si="52"/>
        <v>1</v>
      </c>
      <c r="P336" s="964"/>
      <c r="Q336" s="53">
        <f t="shared" si="53"/>
        <v>1</v>
      </c>
      <c r="R336" s="491">
        <f t="shared" si="54"/>
        <v>0</v>
      </c>
      <c r="S336" s="800">
        <f t="shared" si="45"/>
        <v>0</v>
      </c>
    </row>
    <row r="337" spans="1:19">
      <c r="A337" s="966"/>
      <c r="B337" s="136"/>
      <c r="C337" s="53">
        <f t="shared" si="46"/>
        <v>1</v>
      </c>
      <c r="D337" s="964"/>
      <c r="E337" s="53">
        <f t="shared" si="47"/>
        <v>0</v>
      </c>
      <c r="F337" s="964"/>
      <c r="G337" s="53">
        <f t="shared" si="48"/>
        <v>1</v>
      </c>
      <c r="H337" s="964"/>
      <c r="I337" s="53">
        <f t="shared" si="49"/>
        <v>1</v>
      </c>
      <c r="J337" s="964"/>
      <c r="K337" s="53">
        <f t="shared" si="50"/>
        <v>1</v>
      </c>
      <c r="L337" s="964"/>
      <c r="M337" s="53">
        <f t="shared" si="51"/>
        <v>1</v>
      </c>
      <c r="N337" s="964"/>
      <c r="O337" s="53">
        <f t="shared" si="52"/>
        <v>1</v>
      </c>
      <c r="P337" s="964"/>
      <c r="Q337" s="53">
        <f t="shared" si="53"/>
        <v>1</v>
      </c>
      <c r="R337" s="491">
        <f t="shared" si="54"/>
        <v>0</v>
      </c>
      <c r="S337" s="800">
        <f t="shared" si="45"/>
        <v>0</v>
      </c>
    </row>
    <row r="338" spans="1:19">
      <c r="A338" s="966"/>
      <c r="B338" s="136"/>
      <c r="C338" s="53">
        <f t="shared" si="46"/>
        <v>1</v>
      </c>
      <c r="D338" s="964"/>
      <c r="E338" s="53">
        <f t="shared" si="47"/>
        <v>0</v>
      </c>
      <c r="F338" s="964"/>
      <c r="G338" s="53">
        <f t="shared" si="48"/>
        <v>1</v>
      </c>
      <c r="H338" s="964"/>
      <c r="I338" s="53">
        <f t="shared" si="49"/>
        <v>1</v>
      </c>
      <c r="J338" s="964"/>
      <c r="K338" s="53">
        <f t="shared" si="50"/>
        <v>1</v>
      </c>
      <c r="L338" s="964"/>
      <c r="M338" s="53">
        <f t="shared" si="51"/>
        <v>1</v>
      </c>
      <c r="N338" s="964"/>
      <c r="O338" s="53">
        <f t="shared" si="52"/>
        <v>1</v>
      </c>
      <c r="P338" s="964"/>
      <c r="Q338" s="53">
        <f t="shared" si="53"/>
        <v>1</v>
      </c>
      <c r="R338" s="491">
        <f t="shared" si="54"/>
        <v>0</v>
      </c>
      <c r="S338" s="800">
        <f t="shared" si="45"/>
        <v>0</v>
      </c>
    </row>
    <row r="339" spans="1:19">
      <c r="A339" s="966"/>
      <c r="B339" s="136"/>
      <c r="C339" s="53">
        <f t="shared" si="46"/>
        <v>1</v>
      </c>
      <c r="D339" s="964"/>
      <c r="E339" s="53">
        <f t="shared" si="47"/>
        <v>0</v>
      </c>
      <c r="F339" s="964"/>
      <c r="G339" s="53">
        <f t="shared" si="48"/>
        <v>1</v>
      </c>
      <c r="H339" s="964"/>
      <c r="I339" s="53">
        <f t="shared" si="49"/>
        <v>1</v>
      </c>
      <c r="J339" s="964"/>
      <c r="K339" s="53">
        <f t="shared" si="50"/>
        <v>1</v>
      </c>
      <c r="L339" s="964"/>
      <c r="M339" s="53">
        <f t="shared" si="51"/>
        <v>1</v>
      </c>
      <c r="N339" s="964"/>
      <c r="O339" s="53">
        <f t="shared" si="52"/>
        <v>1</v>
      </c>
      <c r="P339" s="964"/>
      <c r="Q339" s="53">
        <f t="shared" si="53"/>
        <v>1</v>
      </c>
      <c r="R339" s="491">
        <f t="shared" si="54"/>
        <v>0</v>
      </c>
      <c r="S339" s="800">
        <f t="shared" si="45"/>
        <v>0</v>
      </c>
    </row>
    <row r="340" spans="1:19">
      <c r="A340" s="966"/>
      <c r="B340" s="136"/>
      <c r="C340" s="53">
        <f t="shared" si="46"/>
        <v>1</v>
      </c>
      <c r="D340" s="964"/>
      <c r="E340" s="53">
        <f t="shared" si="47"/>
        <v>0</v>
      </c>
      <c r="F340" s="964"/>
      <c r="G340" s="53">
        <f t="shared" si="48"/>
        <v>1</v>
      </c>
      <c r="H340" s="964"/>
      <c r="I340" s="53">
        <f t="shared" si="49"/>
        <v>1</v>
      </c>
      <c r="J340" s="964"/>
      <c r="K340" s="53">
        <f t="shared" si="50"/>
        <v>1</v>
      </c>
      <c r="L340" s="964"/>
      <c r="M340" s="53">
        <f t="shared" si="51"/>
        <v>1</v>
      </c>
      <c r="N340" s="964"/>
      <c r="O340" s="53">
        <f t="shared" si="52"/>
        <v>1</v>
      </c>
      <c r="P340" s="964"/>
      <c r="Q340" s="53">
        <f t="shared" si="53"/>
        <v>1</v>
      </c>
      <c r="R340" s="491">
        <f t="shared" si="54"/>
        <v>0</v>
      </c>
      <c r="S340" s="800">
        <f t="shared" si="45"/>
        <v>0</v>
      </c>
    </row>
    <row r="341" spans="1:19">
      <c r="A341" s="966"/>
      <c r="B341" s="136"/>
      <c r="C341" s="53">
        <f t="shared" si="46"/>
        <v>1</v>
      </c>
      <c r="D341" s="964"/>
      <c r="E341" s="53">
        <f t="shared" si="47"/>
        <v>0</v>
      </c>
      <c r="F341" s="964"/>
      <c r="G341" s="53">
        <f t="shared" si="48"/>
        <v>1</v>
      </c>
      <c r="H341" s="964"/>
      <c r="I341" s="53">
        <f t="shared" si="49"/>
        <v>1</v>
      </c>
      <c r="J341" s="964"/>
      <c r="K341" s="53">
        <f t="shared" si="50"/>
        <v>1</v>
      </c>
      <c r="L341" s="964"/>
      <c r="M341" s="53">
        <f t="shared" si="51"/>
        <v>1</v>
      </c>
      <c r="N341" s="964"/>
      <c r="O341" s="53">
        <f t="shared" si="52"/>
        <v>1</v>
      </c>
      <c r="P341" s="964"/>
      <c r="Q341" s="53">
        <f t="shared" si="53"/>
        <v>1</v>
      </c>
      <c r="R341" s="491">
        <f t="shared" si="54"/>
        <v>0</v>
      </c>
      <c r="S341" s="800">
        <f t="shared" si="45"/>
        <v>0</v>
      </c>
    </row>
    <row r="342" spans="1:19">
      <c r="A342" s="966"/>
      <c r="B342" s="136"/>
      <c r="C342" s="53">
        <f t="shared" si="46"/>
        <v>1</v>
      </c>
      <c r="D342" s="964"/>
      <c r="E342" s="53">
        <f t="shared" si="47"/>
        <v>0</v>
      </c>
      <c r="F342" s="964"/>
      <c r="G342" s="53">
        <f t="shared" si="48"/>
        <v>1</v>
      </c>
      <c r="H342" s="964"/>
      <c r="I342" s="53">
        <f t="shared" si="49"/>
        <v>1</v>
      </c>
      <c r="J342" s="964"/>
      <c r="K342" s="53">
        <f t="shared" si="50"/>
        <v>1</v>
      </c>
      <c r="L342" s="964"/>
      <c r="M342" s="53">
        <f t="shared" si="51"/>
        <v>1</v>
      </c>
      <c r="N342" s="964"/>
      <c r="O342" s="53">
        <f t="shared" si="52"/>
        <v>1</v>
      </c>
      <c r="P342" s="964"/>
      <c r="Q342" s="53">
        <f t="shared" si="53"/>
        <v>1</v>
      </c>
      <c r="R342" s="491">
        <f t="shared" si="54"/>
        <v>0</v>
      </c>
      <c r="S342" s="800">
        <f t="shared" si="45"/>
        <v>0</v>
      </c>
    </row>
    <row r="343" spans="1:19">
      <c r="A343" s="966"/>
      <c r="B343" s="136"/>
      <c r="C343" s="53">
        <f t="shared" si="46"/>
        <v>1</v>
      </c>
      <c r="D343" s="964"/>
      <c r="E343" s="53">
        <f t="shared" si="47"/>
        <v>0</v>
      </c>
      <c r="F343" s="964"/>
      <c r="G343" s="53">
        <f t="shared" si="48"/>
        <v>1</v>
      </c>
      <c r="H343" s="964"/>
      <c r="I343" s="53">
        <f t="shared" si="49"/>
        <v>1</v>
      </c>
      <c r="J343" s="964"/>
      <c r="K343" s="53">
        <f t="shared" si="50"/>
        <v>1</v>
      </c>
      <c r="L343" s="964"/>
      <c r="M343" s="53">
        <f t="shared" si="51"/>
        <v>1</v>
      </c>
      <c r="N343" s="964"/>
      <c r="O343" s="53">
        <f t="shared" si="52"/>
        <v>1</v>
      </c>
      <c r="P343" s="964"/>
      <c r="Q343" s="53">
        <f t="shared" si="53"/>
        <v>1</v>
      </c>
      <c r="R343" s="491">
        <f t="shared" si="54"/>
        <v>0</v>
      </c>
      <c r="S343" s="800">
        <f t="shared" si="45"/>
        <v>0</v>
      </c>
    </row>
    <row r="344" spans="1:19">
      <c r="A344" s="966"/>
      <c r="B344" s="136"/>
      <c r="C344" s="53">
        <f t="shared" si="46"/>
        <v>1</v>
      </c>
      <c r="D344" s="964"/>
      <c r="E344" s="53">
        <f t="shared" si="47"/>
        <v>0</v>
      </c>
      <c r="F344" s="964"/>
      <c r="G344" s="53">
        <f t="shared" si="48"/>
        <v>1</v>
      </c>
      <c r="H344" s="964"/>
      <c r="I344" s="53">
        <f t="shared" si="49"/>
        <v>1</v>
      </c>
      <c r="J344" s="964"/>
      <c r="K344" s="53">
        <f t="shared" si="50"/>
        <v>1</v>
      </c>
      <c r="L344" s="964"/>
      <c r="M344" s="53">
        <f t="shared" si="51"/>
        <v>1</v>
      </c>
      <c r="N344" s="964"/>
      <c r="O344" s="53">
        <f t="shared" si="52"/>
        <v>1</v>
      </c>
      <c r="P344" s="964"/>
      <c r="Q344" s="53">
        <f t="shared" si="53"/>
        <v>1</v>
      </c>
      <c r="R344" s="491">
        <f t="shared" si="54"/>
        <v>0</v>
      </c>
      <c r="S344" s="800">
        <f t="shared" ref="S344:S407" si="55">ROUND(R344*B344/10000,0)</f>
        <v>0</v>
      </c>
    </row>
    <row r="345" spans="1:19">
      <c r="A345" s="966"/>
      <c r="B345" s="136"/>
      <c r="C345" s="53">
        <f t="shared" si="46"/>
        <v>1</v>
      </c>
      <c r="D345" s="964"/>
      <c r="E345" s="53">
        <f t="shared" si="47"/>
        <v>0</v>
      </c>
      <c r="F345" s="964"/>
      <c r="G345" s="53">
        <f t="shared" si="48"/>
        <v>1</v>
      </c>
      <c r="H345" s="964"/>
      <c r="I345" s="53">
        <f t="shared" si="49"/>
        <v>1</v>
      </c>
      <c r="J345" s="964"/>
      <c r="K345" s="53">
        <f t="shared" si="50"/>
        <v>1</v>
      </c>
      <c r="L345" s="964"/>
      <c r="M345" s="53">
        <f t="shared" si="51"/>
        <v>1</v>
      </c>
      <c r="N345" s="964"/>
      <c r="O345" s="53">
        <f t="shared" si="52"/>
        <v>1</v>
      </c>
      <c r="P345" s="964"/>
      <c r="Q345" s="53">
        <f t="shared" si="53"/>
        <v>1</v>
      </c>
      <c r="R345" s="491">
        <f t="shared" si="54"/>
        <v>0</v>
      </c>
      <c r="S345" s="800">
        <f t="shared" si="55"/>
        <v>0</v>
      </c>
    </row>
    <row r="346" spans="1:19">
      <c r="A346" s="966"/>
      <c r="B346" s="136"/>
      <c r="C346" s="53">
        <f t="shared" ref="C346:C409" si="56">IF(B346="",1,(LOOKUP(B346,$3:$3,$4:$4)-LOOKUP($B$24,$3:$3,$4:$4)+100)/100)</f>
        <v>1</v>
      </c>
      <c r="D346" s="964"/>
      <c r="E346" s="53">
        <f t="shared" ref="E346:E409" si="57">(SUMIF($5:$5,D346,$6:$6)-SUMIF($5:$5,$D$24,$6:$6)+100)/100</f>
        <v>0</v>
      </c>
      <c r="F346" s="964"/>
      <c r="G346" s="53">
        <f t="shared" ref="G346:G409" si="58">(SUMIF($7:$7,F346,$8:$8)-SUMIF($7:$7,$F$24,$8:$8)+100)/100</f>
        <v>1</v>
      </c>
      <c r="H346" s="964"/>
      <c r="I346" s="53">
        <f t="shared" ref="I346:I409" si="59">(SUMIF($9:$9,H346,$10:$10)-SUMIF($9:$9,$H$24,$10:$10)+100)/100</f>
        <v>1</v>
      </c>
      <c r="J346" s="964"/>
      <c r="K346" s="53">
        <f t="shared" ref="K346:K409" si="60">(SUMIF($11:$11,J346,$12:$12)-SUMIF($11:$11,$J$24,$12:$12)+100)/100</f>
        <v>1</v>
      </c>
      <c r="L346" s="964"/>
      <c r="M346" s="53">
        <f t="shared" ref="M346:M409" si="61">(SUMIF($13:$13,L346,$14:$14)-SUMIF($13:$13,$L$24,$14:$14)+100)/100</f>
        <v>1</v>
      </c>
      <c r="N346" s="964"/>
      <c r="O346" s="53">
        <f t="shared" ref="O346:O409" si="62">(SUMIF($15:$15,N346,$16:$16)-SUMIF($15:$15,$N$24,$16:$16)+100)/100</f>
        <v>1</v>
      </c>
      <c r="P346" s="964"/>
      <c r="Q346" s="53">
        <f t="shared" ref="Q346:Q409" si="63">(SUMIF($17:$17,P346,$18:$18)-SUMIF($17:$17,$P$24,$18:$18)+100)/100</f>
        <v>1</v>
      </c>
      <c r="R346" s="491">
        <f t="shared" ref="R346:R409" si="64">IF(B346="",0,ROUND($R$24*C346*E346*G346*I346*K346*M346*O346*Q346,0))</f>
        <v>0</v>
      </c>
      <c r="S346" s="800">
        <f t="shared" si="55"/>
        <v>0</v>
      </c>
    </row>
    <row r="347" spans="1:19">
      <c r="A347" s="966"/>
      <c r="B347" s="136"/>
      <c r="C347" s="53">
        <f t="shared" si="56"/>
        <v>1</v>
      </c>
      <c r="D347" s="964"/>
      <c r="E347" s="53">
        <f t="shared" si="57"/>
        <v>0</v>
      </c>
      <c r="F347" s="964"/>
      <c r="G347" s="53">
        <f t="shared" si="58"/>
        <v>1</v>
      </c>
      <c r="H347" s="964"/>
      <c r="I347" s="53">
        <f t="shared" si="59"/>
        <v>1</v>
      </c>
      <c r="J347" s="964"/>
      <c r="K347" s="53">
        <f t="shared" si="60"/>
        <v>1</v>
      </c>
      <c r="L347" s="964"/>
      <c r="M347" s="53">
        <f t="shared" si="61"/>
        <v>1</v>
      </c>
      <c r="N347" s="964"/>
      <c r="O347" s="53">
        <f t="shared" si="62"/>
        <v>1</v>
      </c>
      <c r="P347" s="964"/>
      <c r="Q347" s="53">
        <f t="shared" si="63"/>
        <v>1</v>
      </c>
      <c r="R347" s="491">
        <f t="shared" si="64"/>
        <v>0</v>
      </c>
      <c r="S347" s="800">
        <f t="shared" si="55"/>
        <v>0</v>
      </c>
    </row>
    <row r="348" spans="1:19">
      <c r="A348" s="966"/>
      <c r="B348" s="136"/>
      <c r="C348" s="53">
        <f t="shared" si="56"/>
        <v>1</v>
      </c>
      <c r="D348" s="964"/>
      <c r="E348" s="53">
        <f t="shared" si="57"/>
        <v>0</v>
      </c>
      <c r="F348" s="964"/>
      <c r="G348" s="53">
        <f t="shared" si="58"/>
        <v>1</v>
      </c>
      <c r="H348" s="964"/>
      <c r="I348" s="53">
        <f t="shared" si="59"/>
        <v>1</v>
      </c>
      <c r="J348" s="964"/>
      <c r="K348" s="53">
        <f t="shared" si="60"/>
        <v>1</v>
      </c>
      <c r="L348" s="964"/>
      <c r="M348" s="53">
        <f t="shared" si="61"/>
        <v>1</v>
      </c>
      <c r="N348" s="964"/>
      <c r="O348" s="53">
        <f t="shared" si="62"/>
        <v>1</v>
      </c>
      <c r="P348" s="964"/>
      <c r="Q348" s="53">
        <f t="shared" si="63"/>
        <v>1</v>
      </c>
      <c r="R348" s="491">
        <f t="shared" si="64"/>
        <v>0</v>
      </c>
      <c r="S348" s="800">
        <f t="shared" si="55"/>
        <v>0</v>
      </c>
    </row>
    <row r="349" spans="1:19">
      <c r="A349" s="966"/>
      <c r="B349" s="136"/>
      <c r="C349" s="53">
        <f t="shared" si="56"/>
        <v>1</v>
      </c>
      <c r="D349" s="964"/>
      <c r="E349" s="53">
        <f t="shared" si="57"/>
        <v>0</v>
      </c>
      <c r="F349" s="964"/>
      <c r="G349" s="53">
        <f t="shared" si="58"/>
        <v>1</v>
      </c>
      <c r="H349" s="964"/>
      <c r="I349" s="53">
        <f t="shared" si="59"/>
        <v>1</v>
      </c>
      <c r="J349" s="964"/>
      <c r="K349" s="53">
        <f t="shared" si="60"/>
        <v>1</v>
      </c>
      <c r="L349" s="964"/>
      <c r="M349" s="53">
        <f t="shared" si="61"/>
        <v>1</v>
      </c>
      <c r="N349" s="964"/>
      <c r="O349" s="53">
        <f t="shared" si="62"/>
        <v>1</v>
      </c>
      <c r="P349" s="964"/>
      <c r="Q349" s="53">
        <f t="shared" si="63"/>
        <v>1</v>
      </c>
      <c r="R349" s="491">
        <f t="shared" si="64"/>
        <v>0</v>
      </c>
      <c r="S349" s="800">
        <f t="shared" si="55"/>
        <v>0</v>
      </c>
    </row>
    <row r="350" spans="1:19">
      <c r="A350" s="966"/>
      <c r="B350" s="136"/>
      <c r="C350" s="53">
        <f t="shared" si="56"/>
        <v>1</v>
      </c>
      <c r="D350" s="964"/>
      <c r="E350" s="53">
        <f t="shared" si="57"/>
        <v>0</v>
      </c>
      <c r="F350" s="964"/>
      <c r="G350" s="53">
        <f t="shared" si="58"/>
        <v>1</v>
      </c>
      <c r="H350" s="964"/>
      <c r="I350" s="53">
        <f t="shared" si="59"/>
        <v>1</v>
      </c>
      <c r="J350" s="964"/>
      <c r="K350" s="53">
        <f t="shared" si="60"/>
        <v>1</v>
      </c>
      <c r="L350" s="964"/>
      <c r="M350" s="53">
        <f t="shared" si="61"/>
        <v>1</v>
      </c>
      <c r="N350" s="964"/>
      <c r="O350" s="53">
        <f t="shared" si="62"/>
        <v>1</v>
      </c>
      <c r="P350" s="964"/>
      <c r="Q350" s="53">
        <f t="shared" si="63"/>
        <v>1</v>
      </c>
      <c r="R350" s="491">
        <f t="shared" si="64"/>
        <v>0</v>
      </c>
      <c r="S350" s="800">
        <f t="shared" si="55"/>
        <v>0</v>
      </c>
    </row>
    <row r="351" spans="1:19">
      <c r="A351" s="966"/>
      <c r="B351" s="136"/>
      <c r="C351" s="53">
        <f t="shared" si="56"/>
        <v>1</v>
      </c>
      <c r="D351" s="964"/>
      <c r="E351" s="53">
        <f t="shared" si="57"/>
        <v>0</v>
      </c>
      <c r="F351" s="964"/>
      <c r="G351" s="53">
        <f t="shared" si="58"/>
        <v>1</v>
      </c>
      <c r="H351" s="964"/>
      <c r="I351" s="53">
        <f t="shared" si="59"/>
        <v>1</v>
      </c>
      <c r="J351" s="964"/>
      <c r="K351" s="53">
        <f t="shared" si="60"/>
        <v>1</v>
      </c>
      <c r="L351" s="964"/>
      <c r="M351" s="53">
        <f t="shared" si="61"/>
        <v>1</v>
      </c>
      <c r="N351" s="964"/>
      <c r="O351" s="53">
        <f t="shared" si="62"/>
        <v>1</v>
      </c>
      <c r="P351" s="964"/>
      <c r="Q351" s="53">
        <f t="shared" si="63"/>
        <v>1</v>
      </c>
      <c r="R351" s="491">
        <f t="shared" si="64"/>
        <v>0</v>
      </c>
      <c r="S351" s="800">
        <f t="shared" si="55"/>
        <v>0</v>
      </c>
    </row>
    <row r="352" spans="1:19">
      <c r="A352" s="966"/>
      <c r="B352" s="136"/>
      <c r="C352" s="53">
        <f t="shared" si="56"/>
        <v>1</v>
      </c>
      <c r="D352" s="964"/>
      <c r="E352" s="53">
        <f t="shared" si="57"/>
        <v>0</v>
      </c>
      <c r="F352" s="964"/>
      <c r="G352" s="53">
        <f t="shared" si="58"/>
        <v>1</v>
      </c>
      <c r="H352" s="964"/>
      <c r="I352" s="53">
        <f t="shared" si="59"/>
        <v>1</v>
      </c>
      <c r="J352" s="964"/>
      <c r="K352" s="53">
        <f t="shared" si="60"/>
        <v>1</v>
      </c>
      <c r="L352" s="964"/>
      <c r="M352" s="53">
        <f t="shared" si="61"/>
        <v>1</v>
      </c>
      <c r="N352" s="964"/>
      <c r="O352" s="53">
        <f t="shared" si="62"/>
        <v>1</v>
      </c>
      <c r="P352" s="964"/>
      <c r="Q352" s="53">
        <f t="shared" si="63"/>
        <v>1</v>
      </c>
      <c r="R352" s="491">
        <f t="shared" si="64"/>
        <v>0</v>
      </c>
      <c r="S352" s="800">
        <f t="shared" si="55"/>
        <v>0</v>
      </c>
    </row>
    <row r="353" spans="1:19">
      <c r="A353" s="966"/>
      <c r="B353" s="136"/>
      <c r="C353" s="53">
        <f t="shared" si="56"/>
        <v>1</v>
      </c>
      <c r="D353" s="964"/>
      <c r="E353" s="53">
        <f t="shared" si="57"/>
        <v>0</v>
      </c>
      <c r="F353" s="964"/>
      <c r="G353" s="53">
        <f t="shared" si="58"/>
        <v>1</v>
      </c>
      <c r="H353" s="964"/>
      <c r="I353" s="53">
        <f t="shared" si="59"/>
        <v>1</v>
      </c>
      <c r="J353" s="964"/>
      <c r="K353" s="53">
        <f t="shared" si="60"/>
        <v>1</v>
      </c>
      <c r="L353" s="964"/>
      <c r="M353" s="53">
        <f t="shared" si="61"/>
        <v>1</v>
      </c>
      <c r="N353" s="964"/>
      <c r="O353" s="53">
        <f t="shared" si="62"/>
        <v>1</v>
      </c>
      <c r="P353" s="964"/>
      <c r="Q353" s="53">
        <f t="shared" si="63"/>
        <v>1</v>
      </c>
      <c r="R353" s="491">
        <f t="shared" si="64"/>
        <v>0</v>
      </c>
      <c r="S353" s="800">
        <f t="shared" si="55"/>
        <v>0</v>
      </c>
    </row>
    <row r="354" spans="1:19">
      <c r="A354" s="966"/>
      <c r="B354" s="136"/>
      <c r="C354" s="53">
        <f t="shared" si="56"/>
        <v>1</v>
      </c>
      <c r="D354" s="964"/>
      <c r="E354" s="53">
        <f t="shared" si="57"/>
        <v>0</v>
      </c>
      <c r="F354" s="964"/>
      <c r="G354" s="53">
        <f t="shared" si="58"/>
        <v>1</v>
      </c>
      <c r="H354" s="964"/>
      <c r="I354" s="53">
        <f t="shared" si="59"/>
        <v>1</v>
      </c>
      <c r="J354" s="964"/>
      <c r="K354" s="53">
        <f t="shared" si="60"/>
        <v>1</v>
      </c>
      <c r="L354" s="964"/>
      <c r="M354" s="53">
        <f t="shared" si="61"/>
        <v>1</v>
      </c>
      <c r="N354" s="964"/>
      <c r="O354" s="53">
        <f t="shared" si="62"/>
        <v>1</v>
      </c>
      <c r="P354" s="964"/>
      <c r="Q354" s="53">
        <f t="shared" si="63"/>
        <v>1</v>
      </c>
      <c r="R354" s="491">
        <f t="shared" si="64"/>
        <v>0</v>
      </c>
      <c r="S354" s="800">
        <f t="shared" si="55"/>
        <v>0</v>
      </c>
    </row>
    <row r="355" spans="1:19">
      <c r="A355" s="966"/>
      <c r="B355" s="136"/>
      <c r="C355" s="53">
        <f t="shared" si="56"/>
        <v>1</v>
      </c>
      <c r="D355" s="964"/>
      <c r="E355" s="53">
        <f t="shared" si="57"/>
        <v>0</v>
      </c>
      <c r="F355" s="964"/>
      <c r="G355" s="53">
        <f t="shared" si="58"/>
        <v>1</v>
      </c>
      <c r="H355" s="964"/>
      <c r="I355" s="53">
        <f t="shared" si="59"/>
        <v>1</v>
      </c>
      <c r="J355" s="964"/>
      <c r="K355" s="53">
        <f t="shared" si="60"/>
        <v>1</v>
      </c>
      <c r="L355" s="964"/>
      <c r="M355" s="53">
        <f t="shared" si="61"/>
        <v>1</v>
      </c>
      <c r="N355" s="964"/>
      <c r="O355" s="53">
        <f t="shared" si="62"/>
        <v>1</v>
      </c>
      <c r="P355" s="964"/>
      <c r="Q355" s="53">
        <f t="shared" si="63"/>
        <v>1</v>
      </c>
      <c r="R355" s="491">
        <f t="shared" si="64"/>
        <v>0</v>
      </c>
      <c r="S355" s="800">
        <f t="shared" si="55"/>
        <v>0</v>
      </c>
    </row>
    <row r="356" spans="1:19">
      <c r="A356" s="966"/>
      <c r="B356" s="136"/>
      <c r="C356" s="53">
        <f t="shared" si="56"/>
        <v>1</v>
      </c>
      <c r="D356" s="964"/>
      <c r="E356" s="53">
        <f t="shared" si="57"/>
        <v>0</v>
      </c>
      <c r="F356" s="964"/>
      <c r="G356" s="53">
        <f t="shared" si="58"/>
        <v>1</v>
      </c>
      <c r="H356" s="964"/>
      <c r="I356" s="53">
        <f t="shared" si="59"/>
        <v>1</v>
      </c>
      <c r="J356" s="964"/>
      <c r="K356" s="53">
        <f t="shared" si="60"/>
        <v>1</v>
      </c>
      <c r="L356" s="964"/>
      <c r="M356" s="53">
        <f t="shared" si="61"/>
        <v>1</v>
      </c>
      <c r="N356" s="964"/>
      <c r="O356" s="53">
        <f t="shared" si="62"/>
        <v>1</v>
      </c>
      <c r="P356" s="964"/>
      <c r="Q356" s="53">
        <f t="shared" si="63"/>
        <v>1</v>
      </c>
      <c r="R356" s="491">
        <f t="shared" si="64"/>
        <v>0</v>
      </c>
      <c r="S356" s="800">
        <f t="shared" si="55"/>
        <v>0</v>
      </c>
    </row>
    <row r="357" spans="1:19">
      <c r="A357" s="966"/>
      <c r="B357" s="136"/>
      <c r="C357" s="53">
        <f t="shared" si="56"/>
        <v>1</v>
      </c>
      <c r="D357" s="964"/>
      <c r="E357" s="53">
        <f t="shared" si="57"/>
        <v>0</v>
      </c>
      <c r="F357" s="964"/>
      <c r="G357" s="53">
        <f t="shared" si="58"/>
        <v>1</v>
      </c>
      <c r="H357" s="964"/>
      <c r="I357" s="53">
        <f t="shared" si="59"/>
        <v>1</v>
      </c>
      <c r="J357" s="964"/>
      <c r="K357" s="53">
        <f t="shared" si="60"/>
        <v>1</v>
      </c>
      <c r="L357" s="964"/>
      <c r="M357" s="53">
        <f t="shared" si="61"/>
        <v>1</v>
      </c>
      <c r="N357" s="964"/>
      <c r="O357" s="53">
        <f t="shared" si="62"/>
        <v>1</v>
      </c>
      <c r="P357" s="964"/>
      <c r="Q357" s="53">
        <f t="shared" si="63"/>
        <v>1</v>
      </c>
      <c r="R357" s="491">
        <f t="shared" si="64"/>
        <v>0</v>
      </c>
      <c r="S357" s="800">
        <f t="shared" si="55"/>
        <v>0</v>
      </c>
    </row>
    <row r="358" spans="1:19">
      <c r="A358" s="966"/>
      <c r="B358" s="136"/>
      <c r="C358" s="53">
        <f t="shared" si="56"/>
        <v>1</v>
      </c>
      <c r="D358" s="964"/>
      <c r="E358" s="53">
        <f t="shared" si="57"/>
        <v>0</v>
      </c>
      <c r="F358" s="964"/>
      <c r="G358" s="53">
        <f t="shared" si="58"/>
        <v>1</v>
      </c>
      <c r="H358" s="964"/>
      <c r="I358" s="53">
        <f t="shared" si="59"/>
        <v>1</v>
      </c>
      <c r="J358" s="964"/>
      <c r="K358" s="53">
        <f t="shared" si="60"/>
        <v>1</v>
      </c>
      <c r="L358" s="964"/>
      <c r="M358" s="53">
        <f t="shared" si="61"/>
        <v>1</v>
      </c>
      <c r="N358" s="964"/>
      <c r="O358" s="53">
        <f t="shared" si="62"/>
        <v>1</v>
      </c>
      <c r="P358" s="964"/>
      <c r="Q358" s="53">
        <f t="shared" si="63"/>
        <v>1</v>
      </c>
      <c r="R358" s="491">
        <f t="shared" si="64"/>
        <v>0</v>
      </c>
      <c r="S358" s="800">
        <f t="shared" si="55"/>
        <v>0</v>
      </c>
    </row>
    <row r="359" spans="1:19">
      <c r="A359" s="966"/>
      <c r="B359" s="136"/>
      <c r="C359" s="53">
        <f t="shared" si="56"/>
        <v>1</v>
      </c>
      <c r="D359" s="964"/>
      <c r="E359" s="53">
        <f t="shared" si="57"/>
        <v>0</v>
      </c>
      <c r="F359" s="964"/>
      <c r="G359" s="53">
        <f t="shared" si="58"/>
        <v>1</v>
      </c>
      <c r="H359" s="964"/>
      <c r="I359" s="53">
        <f t="shared" si="59"/>
        <v>1</v>
      </c>
      <c r="J359" s="964"/>
      <c r="K359" s="53">
        <f t="shared" si="60"/>
        <v>1</v>
      </c>
      <c r="L359" s="964"/>
      <c r="M359" s="53">
        <f t="shared" si="61"/>
        <v>1</v>
      </c>
      <c r="N359" s="964"/>
      <c r="O359" s="53">
        <f t="shared" si="62"/>
        <v>1</v>
      </c>
      <c r="P359" s="964"/>
      <c r="Q359" s="53">
        <f t="shared" si="63"/>
        <v>1</v>
      </c>
      <c r="R359" s="491">
        <f t="shared" si="64"/>
        <v>0</v>
      </c>
      <c r="S359" s="800">
        <f t="shared" si="55"/>
        <v>0</v>
      </c>
    </row>
    <row r="360" spans="1:19">
      <c r="A360" s="966"/>
      <c r="B360" s="136"/>
      <c r="C360" s="53">
        <f t="shared" si="56"/>
        <v>1</v>
      </c>
      <c r="D360" s="964"/>
      <c r="E360" s="53">
        <f t="shared" si="57"/>
        <v>0</v>
      </c>
      <c r="F360" s="964"/>
      <c r="G360" s="53">
        <f t="shared" si="58"/>
        <v>1</v>
      </c>
      <c r="H360" s="964"/>
      <c r="I360" s="53">
        <f t="shared" si="59"/>
        <v>1</v>
      </c>
      <c r="J360" s="964"/>
      <c r="K360" s="53">
        <f t="shared" si="60"/>
        <v>1</v>
      </c>
      <c r="L360" s="964"/>
      <c r="M360" s="53">
        <f t="shared" si="61"/>
        <v>1</v>
      </c>
      <c r="N360" s="964"/>
      <c r="O360" s="53">
        <f t="shared" si="62"/>
        <v>1</v>
      </c>
      <c r="P360" s="964"/>
      <c r="Q360" s="53">
        <f t="shared" si="63"/>
        <v>1</v>
      </c>
      <c r="R360" s="491">
        <f t="shared" si="64"/>
        <v>0</v>
      </c>
      <c r="S360" s="800">
        <f t="shared" si="55"/>
        <v>0</v>
      </c>
    </row>
    <row r="361" spans="1:19">
      <c r="A361" s="966"/>
      <c r="B361" s="136"/>
      <c r="C361" s="53">
        <f t="shared" si="56"/>
        <v>1</v>
      </c>
      <c r="D361" s="964"/>
      <c r="E361" s="53">
        <f t="shared" si="57"/>
        <v>0</v>
      </c>
      <c r="F361" s="964"/>
      <c r="G361" s="53">
        <f t="shared" si="58"/>
        <v>1</v>
      </c>
      <c r="H361" s="964"/>
      <c r="I361" s="53">
        <f t="shared" si="59"/>
        <v>1</v>
      </c>
      <c r="J361" s="964"/>
      <c r="K361" s="53">
        <f t="shared" si="60"/>
        <v>1</v>
      </c>
      <c r="L361" s="964"/>
      <c r="M361" s="53">
        <f t="shared" si="61"/>
        <v>1</v>
      </c>
      <c r="N361" s="964"/>
      <c r="O361" s="53">
        <f t="shared" si="62"/>
        <v>1</v>
      </c>
      <c r="P361" s="964"/>
      <c r="Q361" s="53">
        <f t="shared" si="63"/>
        <v>1</v>
      </c>
      <c r="R361" s="491">
        <f t="shared" si="64"/>
        <v>0</v>
      </c>
      <c r="S361" s="800">
        <f t="shared" si="55"/>
        <v>0</v>
      </c>
    </row>
    <row r="362" spans="1:19">
      <c r="A362" s="966"/>
      <c r="B362" s="136"/>
      <c r="C362" s="53">
        <f t="shared" si="56"/>
        <v>1</v>
      </c>
      <c r="D362" s="964"/>
      <c r="E362" s="53">
        <f t="shared" si="57"/>
        <v>0</v>
      </c>
      <c r="F362" s="964"/>
      <c r="G362" s="53">
        <f t="shared" si="58"/>
        <v>1</v>
      </c>
      <c r="H362" s="964"/>
      <c r="I362" s="53">
        <f t="shared" si="59"/>
        <v>1</v>
      </c>
      <c r="J362" s="964"/>
      <c r="K362" s="53">
        <f t="shared" si="60"/>
        <v>1</v>
      </c>
      <c r="L362" s="964"/>
      <c r="M362" s="53">
        <f t="shared" si="61"/>
        <v>1</v>
      </c>
      <c r="N362" s="964"/>
      <c r="O362" s="53">
        <f t="shared" si="62"/>
        <v>1</v>
      </c>
      <c r="P362" s="964"/>
      <c r="Q362" s="53">
        <f t="shared" si="63"/>
        <v>1</v>
      </c>
      <c r="R362" s="491">
        <f t="shared" si="64"/>
        <v>0</v>
      </c>
      <c r="S362" s="800">
        <f t="shared" si="55"/>
        <v>0</v>
      </c>
    </row>
    <row r="363" spans="1:19">
      <c r="A363" s="966"/>
      <c r="B363" s="136"/>
      <c r="C363" s="53">
        <f t="shared" si="56"/>
        <v>1</v>
      </c>
      <c r="D363" s="964"/>
      <c r="E363" s="53">
        <f t="shared" si="57"/>
        <v>0</v>
      </c>
      <c r="F363" s="964"/>
      <c r="G363" s="53">
        <f t="shared" si="58"/>
        <v>1</v>
      </c>
      <c r="H363" s="964"/>
      <c r="I363" s="53">
        <f t="shared" si="59"/>
        <v>1</v>
      </c>
      <c r="J363" s="964"/>
      <c r="K363" s="53">
        <f t="shared" si="60"/>
        <v>1</v>
      </c>
      <c r="L363" s="964"/>
      <c r="M363" s="53">
        <f t="shared" si="61"/>
        <v>1</v>
      </c>
      <c r="N363" s="964"/>
      <c r="O363" s="53">
        <f t="shared" si="62"/>
        <v>1</v>
      </c>
      <c r="P363" s="964"/>
      <c r="Q363" s="53">
        <f t="shared" si="63"/>
        <v>1</v>
      </c>
      <c r="R363" s="491">
        <f t="shared" si="64"/>
        <v>0</v>
      </c>
      <c r="S363" s="800">
        <f t="shared" si="55"/>
        <v>0</v>
      </c>
    </row>
    <row r="364" spans="1:19">
      <c r="A364" s="966"/>
      <c r="B364" s="136"/>
      <c r="C364" s="53">
        <f t="shared" si="56"/>
        <v>1</v>
      </c>
      <c r="D364" s="964"/>
      <c r="E364" s="53">
        <f t="shared" si="57"/>
        <v>0</v>
      </c>
      <c r="F364" s="964"/>
      <c r="G364" s="53">
        <f t="shared" si="58"/>
        <v>1</v>
      </c>
      <c r="H364" s="964"/>
      <c r="I364" s="53">
        <f t="shared" si="59"/>
        <v>1</v>
      </c>
      <c r="J364" s="964"/>
      <c r="K364" s="53">
        <f t="shared" si="60"/>
        <v>1</v>
      </c>
      <c r="L364" s="964"/>
      <c r="M364" s="53">
        <f t="shared" si="61"/>
        <v>1</v>
      </c>
      <c r="N364" s="964"/>
      <c r="O364" s="53">
        <f t="shared" si="62"/>
        <v>1</v>
      </c>
      <c r="P364" s="964"/>
      <c r="Q364" s="53">
        <f t="shared" si="63"/>
        <v>1</v>
      </c>
      <c r="R364" s="491">
        <f t="shared" si="64"/>
        <v>0</v>
      </c>
      <c r="S364" s="800">
        <f t="shared" si="55"/>
        <v>0</v>
      </c>
    </row>
    <row r="365" spans="1:19">
      <c r="A365" s="966"/>
      <c r="B365" s="136"/>
      <c r="C365" s="53">
        <f t="shared" si="56"/>
        <v>1</v>
      </c>
      <c r="D365" s="964"/>
      <c r="E365" s="53">
        <f t="shared" si="57"/>
        <v>0</v>
      </c>
      <c r="F365" s="964"/>
      <c r="G365" s="53">
        <f t="shared" si="58"/>
        <v>1</v>
      </c>
      <c r="H365" s="964"/>
      <c r="I365" s="53">
        <f t="shared" si="59"/>
        <v>1</v>
      </c>
      <c r="J365" s="964"/>
      <c r="K365" s="53">
        <f t="shared" si="60"/>
        <v>1</v>
      </c>
      <c r="L365" s="964"/>
      <c r="M365" s="53">
        <f t="shared" si="61"/>
        <v>1</v>
      </c>
      <c r="N365" s="964"/>
      <c r="O365" s="53">
        <f t="shared" si="62"/>
        <v>1</v>
      </c>
      <c r="P365" s="964"/>
      <c r="Q365" s="53">
        <f t="shared" si="63"/>
        <v>1</v>
      </c>
      <c r="R365" s="491">
        <f t="shared" si="64"/>
        <v>0</v>
      </c>
      <c r="S365" s="800">
        <f t="shared" si="55"/>
        <v>0</v>
      </c>
    </row>
    <row r="366" spans="1:19">
      <c r="A366" s="966"/>
      <c r="B366" s="136"/>
      <c r="C366" s="53">
        <f t="shared" si="56"/>
        <v>1</v>
      </c>
      <c r="D366" s="964"/>
      <c r="E366" s="53">
        <f t="shared" si="57"/>
        <v>0</v>
      </c>
      <c r="F366" s="964"/>
      <c r="G366" s="53">
        <f t="shared" si="58"/>
        <v>1</v>
      </c>
      <c r="H366" s="964"/>
      <c r="I366" s="53">
        <f t="shared" si="59"/>
        <v>1</v>
      </c>
      <c r="J366" s="964"/>
      <c r="K366" s="53">
        <f t="shared" si="60"/>
        <v>1</v>
      </c>
      <c r="L366" s="964"/>
      <c r="M366" s="53">
        <f t="shared" si="61"/>
        <v>1</v>
      </c>
      <c r="N366" s="964"/>
      <c r="O366" s="53">
        <f t="shared" si="62"/>
        <v>1</v>
      </c>
      <c r="P366" s="964"/>
      <c r="Q366" s="53">
        <f t="shared" si="63"/>
        <v>1</v>
      </c>
      <c r="R366" s="491">
        <f t="shared" si="64"/>
        <v>0</v>
      </c>
      <c r="S366" s="800">
        <f t="shared" si="55"/>
        <v>0</v>
      </c>
    </row>
    <row r="367" spans="1:19">
      <c r="A367" s="966"/>
      <c r="B367" s="136"/>
      <c r="C367" s="53">
        <f t="shared" si="56"/>
        <v>1</v>
      </c>
      <c r="D367" s="964"/>
      <c r="E367" s="53">
        <f t="shared" si="57"/>
        <v>0</v>
      </c>
      <c r="F367" s="964"/>
      <c r="G367" s="53">
        <f t="shared" si="58"/>
        <v>1</v>
      </c>
      <c r="H367" s="964"/>
      <c r="I367" s="53">
        <f t="shared" si="59"/>
        <v>1</v>
      </c>
      <c r="J367" s="964"/>
      <c r="K367" s="53">
        <f t="shared" si="60"/>
        <v>1</v>
      </c>
      <c r="L367" s="964"/>
      <c r="M367" s="53">
        <f t="shared" si="61"/>
        <v>1</v>
      </c>
      <c r="N367" s="964"/>
      <c r="O367" s="53">
        <f t="shared" si="62"/>
        <v>1</v>
      </c>
      <c r="P367" s="964"/>
      <c r="Q367" s="53">
        <f t="shared" si="63"/>
        <v>1</v>
      </c>
      <c r="R367" s="491">
        <f t="shared" si="64"/>
        <v>0</v>
      </c>
      <c r="S367" s="800">
        <f t="shared" si="55"/>
        <v>0</v>
      </c>
    </row>
    <row r="368" spans="1:19">
      <c r="A368" s="966"/>
      <c r="B368" s="136"/>
      <c r="C368" s="53">
        <f t="shared" si="56"/>
        <v>1</v>
      </c>
      <c r="D368" s="964"/>
      <c r="E368" s="53">
        <f t="shared" si="57"/>
        <v>0</v>
      </c>
      <c r="F368" s="964"/>
      <c r="G368" s="53">
        <f t="shared" si="58"/>
        <v>1</v>
      </c>
      <c r="H368" s="964"/>
      <c r="I368" s="53">
        <f t="shared" si="59"/>
        <v>1</v>
      </c>
      <c r="J368" s="964"/>
      <c r="K368" s="53">
        <f t="shared" si="60"/>
        <v>1</v>
      </c>
      <c r="L368" s="964"/>
      <c r="M368" s="53">
        <f t="shared" si="61"/>
        <v>1</v>
      </c>
      <c r="N368" s="964"/>
      <c r="O368" s="53">
        <f t="shared" si="62"/>
        <v>1</v>
      </c>
      <c r="P368" s="964"/>
      <c r="Q368" s="53">
        <f t="shared" si="63"/>
        <v>1</v>
      </c>
      <c r="R368" s="491">
        <f t="shared" si="64"/>
        <v>0</v>
      </c>
      <c r="S368" s="800">
        <f t="shared" si="55"/>
        <v>0</v>
      </c>
    </row>
    <row r="369" spans="1:19">
      <c r="A369" s="966"/>
      <c r="B369" s="136"/>
      <c r="C369" s="53">
        <f t="shared" si="56"/>
        <v>1</v>
      </c>
      <c r="D369" s="964"/>
      <c r="E369" s="53">
        <f t="shared" si="57"/>
        <v>0</v>
      </c>
      <c r="F369" s="964"/>
      <c r="G369" s="53">
        <f t="shared" si="58"/>
        <v>1</v>
      </c>
      <c r="H369" s="964"/>
      <c r="I369" s="53">
        <f t="shared" si="59"/>
        <v>1</v>
      </c>
      <c r="J369" s="964"/>
      <c r="K369" s="53">
        <f t="shared" si="60"/>
        <v>1</v>
      </c>
      <c r="L369" s="964"/>
      <c r="M369" s="53">
        <f t="shared" si="61"/>
        <v>1</v>
      </c>
      <c r="N369" s="964"/>
      <c r="O369" s="53">
        <f t="shared" si="62"/>
        <v>1</v>
      </c>
      <c r="P369" s="964"/>
      <c r="Q369" s="53">
        <f t="shared" si="63"/>
        <v>1</v>
      </c>
      <c r="R369" s="491">
        <f t="shared" si="64"/>
        <v>0</v>
      </c>
      <c r="S369" s="800">
        <f t="shared" si="55"/>
        <v>0</v>
      </c>
    </row>
    <row r="370" spans="1:19">
      <c r="A370" s="966"/>
      <c r="B370" s="136"/>
      <c r="C370" s="53">
        <f t="shared" si="56"/>
        <v>1</v>
      </c>
      <c r="D370" s="964"/>
      <c r="E370" s="53">
        <f t="shared" si="57"/>
        <v>0</v>
      </c>
      <c r="F370" s="964"/>
      <c r="G370" s="53">
        <f t="shared" si="58"/>
        <v>1</v>
      </c>
      <c r="H370" s="964"/>
      <c r="I370" s="53">
        <f t="shared" si="59"/>
        <v>1</v>
      </c>
      <c r="J370" s="964"/>
      <c r="K370" s="53">
        <f t="shared" si="60"/>
        <v>1</v>
      </c>
      <c r="L370" s="964"/>
      <c r="M370" s="53">
        <f t="shared" si="61"/>
        <v>1</v>
      </c>
      <c r="N370" s="964"/>
      <c r="O370" s="53">
        <f t="shared" si="62"/>
        <v>1</v>
      </c>
      <c r="P370" s="964"/>
      <c r="Q370" s="53">
        <f t="shared" si="63"/>
        <v>1</v>
      </c>
      <c r="R370" s="491">
        <f t="shared" si="64"/>
        <v>0</v>
      </c>
      <c r="S370" s="800">
        <f t="shared" si="55"/>
        <v>0</v>
      </c>
    </row>
    <row r="371" spans="1:19">
      <c r="A371" s="966"/>
      <c r="B371" s="136"/>
      <c r="C371" s="53">
        <f t="shared" si="56"/>
        <v>1</v>
      </c>
      <c r="D371" s="964"/>
      <c r="E371" s="53">
        <f t="shared" si="57"/>
        <v>0</v>
      </c>
      <c r="F371" s="964"/>
      <c r="G371" s="53">
        <f t="shared" si="58"/>
        <v>1</v>
      </c>
      <c r="H371" s="964"/>
      <c r="I371" s="53">
        <f t="shared" si="59"/>
        <v>1</v>
      </c>
      <c r="J371" s="964"/>
      <c r="K371" s="53">
        <f t="shared" si="60"/>
        <v>1</v>
      </c>
      <c r="L371" s="964"/>
      <c r="M371" s="53">
        <f t="shared" si="61"/>
        <v>1</v>
      </c>
      <c r="N371" s="964"/>
      <c r="O371" s="53">
        <f t="shared" si="62"/>
        <v>1</v>
      </c>
      <c r="P371" s="964"/>
      <c r="Q371" s="53">
        <f t="shared" si="63"/>
        <v>1</v>
      </c>
      <c r="R371" s="491">
        <f t="shared" si="64"/>
        <v>0</v>
      </c>
      <c r="S371" s="800">
        <f t="shared" si="55"/>
        <v>0</v>
      </c>
    </row>
    <row r="372" spans="1:19">
      <c r="A372" s="966"/>
      <c r="B372" s="136"/>
      <c r="C372" s="53">
        <f t="shared" si="56"/>
        <v>1</v>
      </c>
      <c r="D372" s="964"/>
      <c r="E372" s="53">
        <f t="shared" si="57"/>
        <v>0</v>
      </c>
      <c r="F372" s="964"/>
      <c r="G372" s="53">
        <f t="shared" si="58"/>
        <v>1</v>
      </c>
      <c r="H372" s="964"/>
      <c r="I372" s="53">
        <f t="shared" si="59"/>
        <v>1</v>
      </c>
      <c r="J372" s="964"/>
      <c r="K372" s="53">
        <f t="shared" si="60"/>
        <v>1</v>
      </c>
      <c r="L372" s="964"/>
      <c r="M372" s="53">
        <f t="shared" si="61"/>
        <v>1</v>
      </c>
      <c r="N372" s="964"/>
      <c r="O372" s="53">
        <f t="shared" si="62"/>
        <v>1</v>
      </c>
      <c r="P372" s="964"/>
      <c r="Q372" s="53">
        <f t="shared" si="63"/>
        <v>1</v>
      </c>
      <c r="R372" s="491">
        <f t="shared" si="64"/>
        <v>0</v>
      </c>
      <c r="S372" s="800">
        <f t="shared" si="55"/>
        <v>0</v>
      </c>
    </row>
    <row r="373" spans="1:19">
      <c r="A373" s="966"/>
      <c r="B373" s="136"/>
      <c r="C373" s="53">
        <f t="shared" si="56"/>
        <v>1</v>
      </c>
      <c r="D373" s="964"/>
      <c r="E373" s="53">
        <f t="shared" si="57"/>
        <v>0</v>
      </c>
      <c r="F373" s="964"/>
      <c r="G373" s="53">
        <f t="shared" si="58"/>
        <v>1</v>
      </c>
      <c r="H373" s="964"/>
      <c r="I373" s="53">
        <f t="shared" si="59"/>
        <v>1</v>
      </c>
      <c r="J373" s="964"/>
      <c r="K373" s="53">
        <f t="shared" si="60"/>
        <v>1</v>
      </c>
      <c r="L373" s="964"/>
      <c r="M373" s="53">
        <f t="shared" si="61"/>
        <v>1</v>
      </c>
      <c r="N373" s="964"/>
      <c r="O373" s="53">
        <f t="shared" si="62"/>
        <v>1</v>
      </c>
      <c r="P373" s="964"/>
      <c r="Q373" s="53">
        <f t="shared" si="63"/>
        <v>1</v>
      </c>
      <c r="R373" s="491">
        <f t="shared" si="64"/>
        <v>0</v>
      </c>
      <c r="S373" s="800">
        <f t="shared" si="55"/>
        <v>0</v>
      </c>
    </row>
    <row r="374" spans="1:19">
      <c r="A374" s="966"/>
      <c r="B374" s="136"/>
      <c r="C374" s="53">
        <f t="shared" si="56"/>
        <v>1</v>
      </c>
      <c r="D374" s="964"/>
      <c r="E374" s="53">
        <f t="shared" si="57"/>
        <v>0</v>
      </c>
      <c r="F374" s="964"/>
      <c r="G374" s="53">
        <f t="shared" si="58"/>
        <v>1</v>
      </c>
      <c r="H374" s="964"/>
      <c r="I374" s="53">
        <f t="shared" si="59"/>
        <v>1</v>
      </c>
      <c r="J374" s="964"/>
      <c r="K374" s="53">
        <f t="shared" si="60"/>
        <v>1</v>
      </c>
      <c r="L374" s="964"/>
      <c r="M374" s="53">
        <f t="shared" si="61"/>
        <v>1</v>
      </c>
      <c r="N374" s="964"/>
      <c r="O374" s="53">
        <f t="shared" si="62"/>
        <v>1</v>
      </c>
      <c r="P374" s="964"/>
      <c r="Q374" s="53">
        <f t="shared" si="63"/>
        <v>1</v>
      </c>
      <c r="R374" s="491">
        <f t="shared" si="64"/>
        <v>0</v>
      </c>
      <c r="S374" s="800">
        <f t="shared" si="55"/>
        <v>0</v>
      </c>
    </row>
    <row r="375" spans="1:19">
      <c r="A375" s="966"/>
      <c r="B375" s="136"/>
      <c r="C375" s="53">
        <f t="shared" si="56"/>
        <v>1</v>
      </c>
      <c r="D375" s="964"/>
      <c r="E375" s="53">
        <f t="shared" si="57"/>
        <v>0</v>
      </c>
      <c r="F375" s="964"/>
      <c r="G375" s="53">
        <f t="shared" si="58"/>
        <v>1</v>
      </c>
      <c r="H375" s="964"/>
      <c r="I375" s="53">
        <f t="shared" si="59"/>
        <v>1</v>
      </c>
      <c r="J375" s="964"/>
      <c r="K375" s="53">
        <f t="shared" si="60"/>
        <v>1</v>
      </c>
      <c r="L375" s="964"/>
      <c r="M375" s="53">
        <f t="shared" si="61"/>
        <v>1</v>
      </c>
      <c r="N375" s="964"/>
      <c r="O375" s="53">
        <f t="shared" si="62"/>
        <v>1</v>
      </c>
      <c r="P375" s="964"/>
      <c r="Q375" s="53">
        <f t="shared" si="63"/>
        <v>1</v>
      </c>
      <c r="R375" s="491">
        <f t="shared" si="64"/>
        <v>0</v>
      </c>
      <c r="S375" s="800">
        <f t="shared" si="55"/>
        <v>0</v>
      </c>
    </row>
    <row r="376" spans="1:19">
      <c r="A376" s="966"/>
      <c r="B376" s="136"/>
      <c r="C376" s="53">
        <f t="shared" si="56"/>
        <v>1</v>
      </c>
      <c r="D376" s="964"/>
      <c r="E376" s="53">
        <f t="shared" si="57"/>
        <v>0</v>
      </c>
      <c r="F376" s="964"/>
      <c r="G376" s="53">
        <f t="shared" si="58"/>
        <v>1</v>
      </c>
      <c r="H376" s="964"/>
      <c r="I376" s="53">
        <f t="shared" si="59"/>
        <v>1</v>
      </c>
      <c r="J376" s="964"/>
      <c r="K376" s="53">
        <f t="shared" si="60"/>
        <v>1</v>
      </c>
      <c r="L376" s="964"/>
      <c r="M376" s="53">
        <f t="shared" si="61"/>
        <v>1</v>
      </c>
      <c r="N376" s="964"/>
      <c r="O376" s="53">
        <f t="shared" si="62"/>
        <v>1</v>
      </c>
      <c r="P376" s="964"/>
      <c r="Q376" s="53">
        <f t="shared" si="63"/>
        <v>1</v>
      </c>
      <c r="R376" s="491">
        <f t="shared" si="64"/>
        <v>0</v>
      </c>
      <c r="S376" s="800">
        <f t="shared" si="55"/>
        <v>0</v>
      </c>
    </row>
    <row r="377" spans="1:19">
      <c r="A377" s="966"/>
      <c r="B377" s="136"/>
      <c r="C377" s="53">
        <f t="shared" si="56"/>
        <v>1</v>
      </c>
      <c r="D377" s="964"/>
      <c r="E377" s="53">
        <f t="shared" si="57"/>
        <v>0</v>
      </c>
      <c r="F377" s="964"/>
      <c r="G377" s="53">
        <f t="shared" si="58"/>
        <v>1</v>
      </c>
      <c r="H377" s="964"/>
      <c r="I377" s="53">
        <f t="shared" si="59"/>
        <v>1</v>
      </c>
      <c r="J377" s="964"/>
      <c r="K377" s="53">
        <f t="shared" si="60"/>
        <v>1</v>
      </c>
      <c r="L377" s="964"/>
      <c r="M377" s="53">
        <f t="shared" si="61"/>
        <v>1</v>
      </c>
      <c r="N377" s="964"/>
      <c r="O377" s="53">
        <f t="shared" si="62"/>
        <v>1</v>
      </c>
      <c r="P377" s="964"/>
      <c r="Q377" s="53">
        <f t="shared" si="63"/>
        <v>1</v>
      </c>
      <c r="R377" s="491">
        <f t="shared" si="64"/>
        <v>0</v>
      </c>
      <c r="S377" s="800">
        <f t="shared" si="55"/>
        <v>0</v>
      </c>
    </row>
    <row r="378" spans="1:19">
      <c r="A378" s="966"/>
      <c r="B378" s="136"/>
      <c r="C378" s="53">
        <f t="shared" si="56"/>
        <v>1</v>
      </c>
      <c r="D378" s="964"/>
      <c r="E378" s="53">
        <f t="shared" si="57"/>
        <v>0</v>
      </c>
      <c r="F378" s="964"/>
      <c r="G378" s="53">
        <f t="shared" si="58"/>
        <v>1</v>
      </c>
      <c r="H378" s="964"/>
      <c r="I378" s="53">
        <f t="shared" si="59"/>
        <v>1</v>
      </c>
      <c r="J378" s="964"/>
      <c r="K378" s="53">
        <f t="shared" si="60"/>
        <v>1</v>
      </c>
      <c r="L378" s="964"/>
      <c r="M378" s="53">
        <f t="shared" si="61"/>
        <v>1</v>
      </c>
      <c r="N378" s="964"/>
      <c r="O378" s="53">
        <f t="shared" si="62"/>
        <v>1</v>
      </c>
      <c r="P378" s="964"/>
      <c r="Q378" s="53">
        <f t="shared" si="63"/>
        <v>1</v>
      </c>
      <c r="R378" s="491">
        <f t="shared" si="64"/>
        <v>0</v>
      </c>
      <c r="S378" s="800">
        <f t="shared" si="55"/>
        <v>0</v>
      </c>
    </row>
    <row r="379" spans="1:19">
      <c r="A379" s="966"/>
      <c r="B379" s="136"/>
      <c r="C379" s="53">
        <f t="shared" si="56"/>
        <v>1</v>
      </c>
      <c r="D379" s="964"/>
      <c r="E379" s="53">
        <f t="shared" si="57"/>
        <v>0</v>
      </c>
      <c r="F379" s="964"/>
      <c r="G379" s="53">
        <f t="shared" si="58"/>
        <v>1</v>
      </c>
      <c r="H379" s="964"/>
      <c r="I379" s="53">
        <f t="shared" si="59"/>
        <v>1</v>
      </c>
      <c r="J379" s="964"/>
      <c r="K379" s="53">
        <f t="shared" si="60"/>
        <v>1</v>
      </c>
      <c r="L379" s="964"/>
      <c r="M379" s="53">
        <f t="shared" si="61"/>
        <v>1</v>
      </c>
      <c r="N379" s="964"/>
      <c r="O379" s="53">
        <f t="shared" si="62"/>
        <v>1</v>
      </c>
      <c r="P379" s="964"/>
      <c r="Q379" s="53">
        <f t="shared" si="63"/>
        <v>1</v>
      </c>
      <c r="R379" s="491">
        <f t="shared" si="64"/>
        <v>0</v>
      </c>
      <c r="S379" s="800">
        <f t="shared" si="55"/>
        <v>0</v>
      </c>
    </row>
    <row r="380" spans="1:19">
      <c r="A380" s="966"/>
      <c r="B380" s="136"/>
      <c r="C380" s="53">
        <f t="shared" si="56"/>
        <v>1</v>
      </c>
      <c r="D380" s="964"/>
      <c r="E380" s="53">
        <f t="shared" si="57"/>
        <v>0</v>
      </c>
      <c r="F380" s="964"/>
      <c r="G380" s="53">
        <f t="shared" si="58"/>
        <v>1</v>
      </c>
      <c r="H380" s="964"/>
      <c r="I380" s="53">
        <f t="shared" si="59"/>
        <v>1</v>
      </c>
      <c r="J380" s="964"/>
      <c r="K380" s="53">
        <f t="shared" si="60"/>
        <v>1</v>
      </c>
      <c r="L380" s="964"/>
      <c r="M380" s="53">
        <f t="shared" si="61"/>
        <v>1</v>
      </c>
      <c r="N380" s="964"/>
      <c r="O380" s="53">
        <f t="shared" si="62"/>
        <v>1</v>
      </c>
      <c r="P380" s="964"/>
      <c r="Q380" s="53">
        <f t="shared" si="63"/>
        <v>1</v>
      </c>
      <c r="R380" s="491">
        <f t="shared" si="64"/>
        <v>0</v>
      </c>
      <c r="S380" s="800">
        <f t="shared" si="55"/>
        <v>0</v>
      </c>
    </row>
    <row r="381" spans="1:19">
      <c r="A381" s="966"/>
      <c r="B381" s="136"/>
      <c r="C381" s="53">
        <f t="shared" si="56"/>
        <v>1</v>
      </c>
      <c r="D381" s="964"/>
      <c r="E381" s="53">
        <f t="shared" si="57"/>
        <v>0</v>
      </c>
      <c r="F381" s="964"/>
      <c r="G381" s="53">
        <f t="shared" si="58"/>
        <v>1</v>
      </c>
      <c r="H381" s="964"/>
      <c r="I381" s="53">
        <f t="shared" si="59"/>
        <v>1</v>
      </c>
      <c r="J381" s="964"/>
      <c r="K381" s="53">
        <f t="shared" si="60"/>
        <v>1</v>
      </c>
      <c r="L381" s="964"/>
      <c r="M381" s="53">
        <f t="shared" si="61"/>
        <v>1</v>
      </c>
      <c r="N381" s="964"/>
      <c r="O381" s="53">
        <f t="shared" si="62"/>
        <v>1</v>
      </c>
      <c r="P381" s="964"/>
      <c r="Q381" s="53">
        <f t="shared" si="63"/>
        <v>1</v>
      </c>
      <c r="R381" s="491">
        <f t="shared" si="64"/>
        <v>0</v>
      </c>
      <c r="S381" s="800">
        <f t="shared" si="55"/>
        <v>0</v>
      </c>
    </row>
    <row r="382" spans="1:19">
      <c r="A382" s="966"/>
      <c r="B382" s="136"/>
      <c r="C382" s="53">
        <f t="shared" si="56"/>
        <v>1</v>
      </c>
      <c r="D382" s="964"/>
      <c r="E382" s="53">
        <f t="shared" si="57"/>
        <v>0</v>
      </c>
      <c r="F382" s="964"/>
      <c r="G382" s="53">
        <f t="shared" si="58"/>
        <v>1</v>
      </c>
      <c r="H382" s="964"/>
      <c r="I382" s="53">
        <f t="shared" si="59"/>
        <v>1</v>
      </c>
      <c r="J382" s="964"/>
      <c r="K382" s="53">
        <f t="shared" si="60"/>
        <v>1</v>
      </c>
      <c r="L382" s="964"/>
      <c r="M382" s="53">
        <f t="shared" si="61"/>
        <v>1</v>
      </c>
      <c r="N382" s="964"/>
      <c r="O382" s="53">
        <f t="shared" si="62"/>
        <v>1</v>
      </c>
      <c r="P382" s="964"/>
      <c r="Q382" s="53">
        <f t="shared" si="63"/>
        <v>1</v>
      </c>
      <c r="R382" s="491">
        <f t="shared" si="64"/>
        <v>0</v>
      </c>
      <c r="S382" s="800">
        <f t="shared" si="55"/>
        <v>0</v>
      </c>
    </row>
    <row r="383" spans="1:19">
      <c r="A383" s="966"/>
      <c r="B383" s="136"/>
      <c r="C383" s="53">
        <f t="shared" si="56"/>
        <v>1</v>
      </c>
      <c r="D383" s="964"/>
      <c r="E383" s="53">
        <f t="shared" si="57"/>
        <v>0</v>
      </c>
      <c r="F383" s="964"/>
      <c r="G383" s="53">
        <f t="shared" si="58"/>
        <v>1</v>
      </c>
      <c r="H383" s="964"/>
      <c r="I383" s="53">
        <f t="shared" si="59"/>
        <v>1</v>
      </c>
      <c r="J383" s="964"/>
      <c r="K383" s="53">
        <f t="shared" si="60"/>
        <v>1</v>
      </c>
      <c r="L383" s="964"/>
      <c r="M383" s="53">
        <f t="shared" si="61"/>
        <v>1</v>
      </c>
      <c r="N383" s="964"/>
      <c r="O383" s="53">
        <f t="shared" si="62"/>
        <v>1</v>
      </c>
      <c r="P383" s="964"/>
      <c r="Q383" s="53">
        <f t="shared" si="63"/>
        <v>1</v>
      </c>
      <c r="R383" s="491">
        <f t="shared" si="64"/>
        <v>0</v>
      </c>
      <c r="S383" s="800">
        <f t="shared" si="55"/>
        <v>0</v>
      </c>
    </row>
    <row r="384" spans="1:19">
      <c r="A384" s="966"/>
      <c r="B384" s="136"/>
      <c r="C384" s="53">
        <f t="shared" si="56"/>
        <v>1</v>
      </c>
      <c r="D384" s="964"/>
      <c r="E384" s="53">
        <f t="shared" si="57"/>
        <v>0</v>
      </c>
      <c r="F384" s="964"/>
      <c r="G384" s="53">
        <f t="shared" si="58"/>
        <v>1</v>
      </c>
      <c r="H384" s="964"/>
      <c r="I384" s="53">
        <f t="shared" si="59"/>
        <v>1</v>
      </c>
      <c r="J384" s="964"/>
      <c r="K384" s="53">
        <f t="shared" si="60"/>
        <v>1</v>
      </c>
      <c r="L384" s="964"/>
      <c r="M384" s="53">
        <f t="shared" si="61"/>
        <v>1</v>
      </c>
      <c r="N384" s="964"/>
      <c r="O384" s="53">
        <f t="shared" si="62"/>
        <v>1</v>
      </c>
      <c r="P384" s="964"/>
      <c r="Q384" s="53">
        <f t="shared" si="63"/>
        <v>1</v>
      </c>
      <c r="R384" s="491">
        <f t="shared" si="64"/>
        <v>0</v>
      </c>
      <c r="S384" s="800">
        <f t="shared" si="55"/>
        <v>0</v>
      </c>
    </row>
    <row r="385" spans="1:19">
      <c r="A385" s="966"/>
      <c r="B385" s="136"/>
      <c r="C385" s="53">
        <f t="shared" si="56"/>
        <v>1</v>
      </c>
      <c r="D385" s="964"/>
      <c r="E385" s="53">
        <f t="shared" si="57"/>
        <v>0</v>
      </c>
      <c r="F385" s="964"/>
      <c r="G385" s="53">
        <f t="shared" si="58"/>
        <v>1</v>
      </c>
      <c r="H385" s="964"/>
      <c r="I385" s="53">
        <f t="shared" si="59"/>
        <v>1</v>
      </c>
      <c r="J385" s="964"/>
      <c r="K385" s="53">
        <f t="shared" si="60"/>
        <v>1</v>
      </c>
      <c r="L385" s="964"/>
      <c r="M385" s="53">
        <f t="shared" si="61"/>
        <v>1</v>
      </c>
      <c r="N385" s="964"/>
      <c r="O385" s="53">
        <f t="shared" si="62"/>
        <v>1</v>
      </c>
      <c r="P385" s="964"/>
      <c r="Q385" s="53">
        <f t="shared" si="63"/>
        <v>1</v>
      </c>
      <c r="R385" s="491">
        <f t="shared" si="64"/>
        <v>0</v>
      </c>
      <c r="S385" s="800">
        <f t="shared" si="55"/>
        <v>0</v>
      </c>
    </row>
    <row r="386" spans="1:19">
      <c r="A386" s="966"/>
      <c r="B386" s="136"/>
      <c r="C386" s="53">
        <f t="shared" si="56"/>
        <v>1</v>
      </c>
      <c r="D386" s="964"/>
      <c r="E386" s="53">
        <f t="shared" si="57"/>
        <v>0</v>
      </c>
      <c r="F386" s="964"/>
      <c r="G386" s="53">
        <f t="shared" si="58"/>
        <v>1</v>
      </c>
      <c r="H386" s="964"/>
      <c r="I386" s="53">
        <f t="shared" si="59"/>
        <v>1</v>
      </c>
      <c r="J386" s="964"/>
      <c r="K386" s="53">
        <f t="shared" si="60"/>
        <v>1</v>
      </c>
      <c r="L386" s="964"/>
      <c r="M386" s="53">
        <f t="shared" si="61"/>
        <v>1</v>
      </c>
      <c r="N386" s="964"/>
      <c r="O386" s="53">
        <f t="shared" si="62"/>
        <v>1</v>
      </c>
      <c r="P386" s="964"/>
      <c r="Q386" s="53">
        <f t="shared" si="63"/>
        <v>1</v>
      </c>
      <c r="R386" s="491">
        <f t="shared" si="64"/>
        <v>0</v>
      </c>
      <c r="S386" s="800">
        <f t="shared" si="55"/>
        <v>0</v>
      </c>
    </row>
    <row r="387" spans="1:19">
      <c r="A387" s="966"/>
      <c r="B387" s="136"/>
      <c r="C387" s="53">
        <f t="shared" si="56"/>
        <v>1</v>
      </c>
      <c r="D387" s="964"/>
      <c r="E387" s="53">
        <f t="shared" si="57"/>
        <v>0</v>
      </c>
      <c r="F387" s="964"/>
      <c r="G387" s="53">
        <f t="shared" si="58"/>
        <v>1</v>
      </c>
      <c r="H387" s="964"/>
      <c r="I387" s="53">
        <f t="shared" si="59"/>
        <v>1</v>
      </c>
      <c r="J387" s="964"/>
      <c r="K387" s="53">
        <f t="shared" si="60"/>
        <v>1</v>
      </c>
      <c r="L387" s="964"/>
      <c r="M387" s="53">
        <f t="shared" si="61"/>
        <v>1</v>
      </c>
      <c r="N387" s="964"/>
      <c r="O387" s="53">
        <f t="shared" si="62"/>
        <v>1</v>
      </c>
      <c r="P387" s="964"/>
      <c r="Q387" s="53">
        <f t="shared" si="63"/>
        <v>1</v>
      </c>
      <c r="R387" s="491">
        <f t="shared" si="64"/>
        <v>0</v>
      </c>
      <c r="S387" s="800">
        <f t="shared" si="55"/>
        <v>0</v>
      </c>
    </row>
    <row r="388" spans="1:19">
      <c r="A388" s="966"/>
      <c r="B388" s="136"/>
      <c r="C388" s="53">
        <f t="shared" si="56"/>
        <v>1</v>
      </c>
      <c r="D388" s="964"/>
      <c r="E388" s="53">
        <f t="shared" si="57"/>
        <v>0</v>
      </c>
      <c r="F388" s="964"/>
      <c r="G388" s="53">
        <f t="shared" si="58"/>
        <v>1</v>
      </c>
      <c r="H388" s="964"/>
      <c r="I388" s="53">
        <f t="shared" si="59"/>
        <v>1</v>
      </c>
      <c r="J388" s="964"/>
      <c r="K388" s="53">
        <f t="shared" si="60"/>
        <v>1</v>
      </c>
      <c r="L388" s="964"/>
      <c r="M388" s="53">
        <f t="shared" si="61"/>
        <v>1</v>
      </c>
      <c r="N388" s="964"/>
      <c r="O388" s="53">
        <f t="shared" si="62"/>
        <v>1</v>
      </c>
      <c r="P388" s="964"/>
      <c r="Q388" s="53">
        <f t="shared" si="63"/>
        <v>1</v>
      </c>
      <c r="R388" s="491">
        <f t="shared" si="64"/>
        <v>0</v>
      </c>
      <c r="S388" s="800">
        <f t="shared" si="55"/>
        <v>0</v>
      </c>
    </row>
    <row r="389" spans="1:19">
      <c r="A389" s="966"/>
      <c r="B389" s="136"/>
      <c r="C389" s="53">
        <f t="shared" si="56"/>
        <v>1</v>
      </c>
      <c r="D389" s="964"/>
      <c r="E389" s="53">
        <f t="shared" si="57"/>
        <v>0</v>
      </c>
      <c r="F389" s="964"/>
      <c r="G389" s="53">
        <f t="shared" si="58"/>
        <v>1</v>
      </c>
      <c r="H389" s="964"/>
      <c r="I389" s="53">
        <f t="shared" si="59"/>
        <v>1</v>
      </c>
      <c r="J389" s="964"/>
      <c r="K389" s="53">
        <f t="shared" si="60"/>
        <v>1</v>
      </c>
      <c r="L389" s="964"/>
      <c r="M389" s="53">
        <f t="shared" si="61"/>
        <v>1</v>
      </c>
      <c r="N389" s="964"/>
      <c r="O389" s="53">
        <f t="shared" si="62"/>
        <v>1</v>
      </c>
      <c r="P389" s="964"/>
      <c r="Q389" s="53">
        <f t="shared" si="63"/>
        <v>1</v>
      </c>
      <c r="R389" s="491">
        <f t="shared" si="64"/>
        <v>0</v>
      </c>
      <c r="S389" s="800">
        <f t="shared" si="55"/>
        <v>0</v>
      </c>
    </row>
    <row r="390" spans="1:19">
      <c r="A390" s="966"/>
      <c r="B390" s="136"/>
      <c r="C390" s="53">
        <f t="shared" si="56"/>
        <v>1</v>
      </c>
      <c r="D390" s="964"/>
      <c r="E390" s="53">
        <f t="shared" si="57"/>
        <v>0</v>
      </c>
      <c r="F390" s="964"/>
      <c r="G390" s="53">
        <f t="shared" si="58"/>
        <v>1</v>
      </c>
      <c r="H390" s="964"/>
      <c r="I390" s="53">
        <f t="shared" si="59"/>
        <v>1</v>
      </c>
      <c r="J390" s="964"/>
      <c r="K390" s="53">
        <f t="shared" si="60"/>
        <v>1</v>
      </c>
      <c r="L390" s="964"/>
      <c r="M390" s="53">
        <f t="shared" si="61"/>
        <v>1</v>
      </c>
      <c r="N390" s="964"/>
      <c r="O390" s="53">
        <f t="shared" si="62"/>
        <v>1</v>
      </c>
      <c r="P390" s="964"/>
      <c r="Q390" s="53">
        <f t="shared" si="63"/>
        <v>1</v>
      </c>
      <c r="R390" s="491">
        <f t="shared" si="64"/>
        <v>0</v>
      </c>
      <c r="S390" s="800">
        <f t="shared" si="55"/>
        <v>0</v>
      </c>
    </row>
    <row r="391" spans="1:19">
      <c r="A391" s="966"/>
      <c r="B391" s="136"/>
      <c r="C391" s="53">
        <f t="shared" si="56"/>
        <v>1</v>
      </c>
      <c r="D391" s="964"/>
      <c r="E391" s="53">
        <f t="shared" si="57"/>
        <v>0</v>
      </c>
      <c r="F391" s="964"/>
      <c r="G391" s="53">
        <f t="shared" si="58"/>
        <v>1</v>
      </c>
      <c r="H391" s="964"/>
      <c r="I391" s="53">
        <f t="shared" si="59"/>
        <v>1</v>
      </c>
      <c r="J391" s="964"/>
      <c r="K391" s="53">
        <f t="shared" si="60"/>
        <v>1</v>
      </c>
      <c r="L391" s="964"/>
      <c r="M391" s="53">
        <f t="shared" si="61"/>
        <v>1</v>
      </c>
      <c r="N391" s="964"/>
      <c r="O391" s="53">
        <f t="shared" si="62"/>
        <v>1</v>
      </c>
      <c r="P391" s="964"/>
      <c r="Q391" s="53">
        <f t="shared" si="63"/>
        <v>1</v>
      </c>
      <c r="R391" s="491">
        <f t="shared" si="64"/>
        <v>0</v>
      </c>
      <c r="S391" s="800">
        <f t="shared" si="55"/>
        <v>0</v>
      </c>
    </row>
    <row r="392" spans="1:19">
      <c r="A392" s="966"/>
      <c r="B392" s="136"/>
      <c r="C392" s="53">
        <f t="shared" si="56"/>
        <v>1</v>
      </c>
      <c r="D392" s="964"/>
      <c r="E392" s="53">
        <f t="shared" si="57"/>
        <v>0</v>
      </c>
      <c r="F392" s="964"/>
      <c r="G392" s="53">
        <f t="shared" si="58"/>
        <v>1</v>
      </c>
      <c r="H392" s="964"/>
      <c r="I392" s="53">
        <f t="shared" si="59"/>
        <v>1</v>
      </c>
      <c r="J392" s="964"/>
      <c r="K392" s="53">
        <f t="shared" si="60"/>
        <v>1</v>
      </c>
      <c r="L392" s="964"/>
      <c r="M392" s="53">
        <f t="shared" si="61"/>
        <v>1</v>
      </c>
      <c r="N392" s="964"/>
      <c r="O392" s="53">
        <f t="shared" si="62"/>
        <v>1</v>
      </c>
      <c r="P392" s="964"/>
      <c r="Q392" s="53">
        <f t="shared" si="63"/>
        <v>1</v>
      </c>
      <c r="R392" s="491">
        <f t="shared" si="64"/>
        <v>0</v>
      </c>
      <c r="S392" s="800">
        <f t="shared" si="55"/>
        <v>0</v>
      </c>
    </row>
    <row r="393" spans="1:19">
      <c r="A393" s="966"/>
      <c r="B393" s="136"/>
      <c r="C393" s="53">
        <f t="shared" si="56"/>
        <v>1</v>
      </c>
      <c r="D393" s="964"/>
      <c r="E393" s="53">
        <f t="shared" si="57"/>
        <v>0</v>
      </c>
      <c r="F393" s="964"/>
      <c r="G393" s="53">
        <f t="shared" si="58"/>
        <v>1</v>
      </c>
      <c r="H393" s="964"/>
      <c r="I393" s="53">
        <f t="shared" si="59"/>
        <v>1</v>
      </c>
      <c r="J393" s="964"/>
      <c r="K393" s="53">
        <f t="shared" si="60"/>
        <v>1</v>
      </c>
      <c r="L393" s="964"/>
      <c r="M393" s="53">
        <f t="shared" si="61"/>
        <v>1</v>
      </c>
      <c r="N393" s="964"/>
      <c r="O393" s="53">
        <f t="shared" si="62"/>
        <v>1</v>
      </c>
      <c r="P393" s="964"/>
      <c r="Q393" s="53">
        <f t="shared" si="63"/>
        <v>1</v>
      </c>
      <c r="R393" s="491">
        <f t="shared" si="64"/>
        <v>0</v>
      </c>
      <c r="S393" s="800">
        <f t="shared" si="55"/>
        <v>0</v>
      </c>
    </row>
    <row r="394" spans="1:19">
      <c r="A394" s="966"/>
      <c r="B394" s="136"/>
      <c r="C394" s="53">
        <f t="shared" si="56"/>
        <v>1</v>
      </c>
      <c r="D394" s="964"/>
      <c r="E394" s="53">
        <f t="shared" si="57"/>
        <v>0</v>
      </c>
      <c r="F394" s="964"/>
      <c r="G394" s="53">
        <f t="shared" si="58"/>
        <v>1</v>
      </c>
      <c r="H394" s="964"/>
      <c r="I394" s="53">
        <f t="shared" si="59"/>
        <v>1</v>
      </c>
      <c r="J394" s="964"/>
      <c r="K394" s="53">
        <f t="shared" si="60"/>
        <v>1</v>
      </c>
      <c r="L394" s="964"/>
      <c r="M394" s="53">
        <f t="shared" si="61"/>
        <v>1</v>
      </c>
      <c r="N394" s="964"/>
      <c r="O394" s="53">
        <f t="shared" si="62"/>
        <v>1</v>
      </c>
      <c r="P394" s="964"/>
      <c r="Q394" s="53">
        <f t="shared" si="63"/>
        <v>1</v>
      </c>
      <c r="R394" s="491">
        <f t="shared" si="64"/>
        <v>0</v>
      </c>
      <c r="S394" s="800">
        <f t="shared" si="55"/>
        <v>0</v>
      </c>
    </row>
    <row r="395" spans="1:19">
      <c r="A395" s="966"/>
      <c r="B395" s="136"/>
      <c r="C395" s="53">
        <f t="shared" si="56"/>
        <v>1</v>
      </c>
      <c r="D395" s="964"/>
      <c r="E395" s="53">
        <f t="shared" si="57"/>
        <v>0</v>
      </c>
      <c r="F395" s="964"/>
      <c r="G395" s="53">
        <f t="shared" si="58"/>
        <v>1</v>
      </c>
      <c r="H395" s="964"/>
      <c r="I395" s="53">
        <f t="shared" si="59"/>
        <v>1</v>
      </c>
      <c r="J395" s="964"/>
      <c r="K395" s="53">
        <f t="shared" si="60"/>
        <v>1</v>
      </c>
      <c r="L395" s="964"/>
      <c r="M395" s="53">
        <f t="shared" si="61"/>
        <v>1</v>
      </c>
      <c r="N395" s="964"/>
      <c r="O395" s="53">
        <f t="shared" si="62"/>
        <v>1</v>
      </c>
      <c r="P395" s="964"/>
      <c r="Q395" s="53">
        <f t="shared" si="63"/>
        <v>1</v>
      </c>
      <c r="R395" s="491">
        <f t="shared" si="64"/>
        <v>0</v>
      </c>
      <c r="S395" s="800">
        <f t="shared" si="55"/>
        <v>0</v>
      </c>
    </row>
    <row r="396" spans="1:19">
      <c r="A396" s="966"/>
      <c r="B396" s="136"/>
      <c r="C396" s="53">
        <f t="shared" si="56"/>
        <v>1</v>
      </c>
      <c r="D396" s="964"/>
      <c r="E396" s="53">
        <f t="shared" si="57"/>
        <v>0</v>
      </c>
      <c r="F396" s="964"/>
      <c r="G396" s="53">
        <f t="shared" si="58"/>
        <v>1</v>
      </c>
      <c r="H396" s="964"/>
      <c r="I396" s="53">
        <f t="shared" si="59"/>
        <v>1</v>
      </c>
      <c r="J396" s="964"/>
      <c r="K396" s="53">
        <f t="shared" si="60"/>
        <v>1</v>
      </c>
      <c r="L396" s="964"/>
      <c r="M396" s="53">
        <f t="shared" si="61"/>
        <v>1</v>
      </c>
      <c r="N396" s="964"/>
      <c r="O396" s="53">
        <f t="shared" si="62"/>
        <v>1</v>
      </c>
      <c r="P396" s="964"/>
      <c r="Q396" s="53">
        <f t="shared" si="63"/>
        <v>1</v>
      </c>
      <c r="R396" s="491">
        <f t="shared" si="64"/>
        <v>0</v>
      </c>
      <c r="S396" s="800">
        <f t="shared" si="55"/>
        <v>0</v>
      </c>
    </row>
    <row r="397" spans="1:19">
      <c r="A397" s="966"/>
      <c r="B397" s="136"/>
      <c r="C397" s="53">
        <f t="shared" si="56"/>
        <v>1</v>
      </c>
      <c r="D397" s="964"/>
      <c r="E397" s="53">
        <f t="shared" si="57"/>
        <v>0</v>
      </c>
      <c r="F397" s="964"/>
      <c r="G397" s="53">
        <f t="shared" si="58"/>
        <v>1</v>
      </c>
      <c r="H397" s="964"/>
      <c r="I397" s="53">
        <f t="shared" si="59"/>
        <v>1</v>
      </c>
      <c r="J397" s="964"/>
      <c r="K397" s="53">
        <f t="shared" si="60"/>
        <v>1</v>
      </c>
      <c r="L397" s="964"/>
      <c r="M397" s="53">
        <f t="shared" si="61"/>
        <v>1</v>
      </c>
      <c r="N397" s="964"/>
      <c r="O397" s="53">
        <f t="shared" si="62"/>
        <v>1</v>
      </c>
      <c r="P397" s="964"/>
      <c r="Q397" s="53">
        <f t="shared" si="63"/>
        <v>1</v>
      </c>
      <c r="R397" s="491">
        <f t="shared" si="64"/>
        <v>0</v>
      </c>
      <c r="S397" s="800">
        <f t="shared" si="55"/>
        <v>0</v>
      </c>
    </row>
    <row r="398" spans="1:19">
      <c r="A398" s="966"/>
      <c r="B398" s="136"/>
      <c r="C398" s="53">
        <f t="shared" si="56"/>
        <v>1</v>
      </c>
      <c r="D398" s="964"/>
      <c r="E398" s="53">
        <f t="shared" si="57"/>
        <v>0</v>
      </c>
      <c r="F398" s="964"/>
      <c r="G398" s="53">
        <f t="shared" si="58"/>
        <v>1</v>
      </c>
      <c r="H398" s="964"/>
      <c r="I398" s="53">
        <f t="shared" si="59"/>
        <v>1</v>
      </c>
      <c r="J398" s="964"/>
      <c r="K398" s="53">
        <f t="shared" si="60"/>
        <v>1</v>
      </c>
      <c r="L398" s="964"/>
      <c r="M398" s="53">
        <f t="shared" si="61"/>
        <v>1</v>
      </c>
      <c r="N398" s="964"/>
      <c r="O398" s="53">
        <f t="shared" si="62"/>
        <v>1</v>
      </c>
      <c r="P398" s="964"/>
      <c r="Q398" s="53">
        <f t="shared" si="63"/>
        <v>1</v>
      </c>
      <c r="R398" s="491">
        <f t="shared" si="64"/>
        <v>0</v>
      </c>
      <c r="S398" s="800">
        <f t="shared" si="55"/>
        <v>0</v>
      </c>
    </row>
    <row r="399" spans="1:19">
      <c r="A399" s="966"/>
      <c r="B399" s="136"/>
      <c r="C399" s="53">
        <f t="shared" si="56"/>
        <v>1</v>
      </c>
      <c r="D399" s="964"/>
      <c r="E399" s="53">
        <f t="shared" si="57"/>
        <v>0</v>
      </c>
      <c r="F399" s="964"/>
      <c r="G399" s="53">
        <f t="shared" si="58"/>
        <v>1</v>
      </c>
      <c r="H399" s="964"/>
      <c r="I399" s="53">
        <f t="shared" si="59"/>
        <v>1</v>
      </c>
      <c r="J399" s="964"/>
      <c r="K399" s="53">
        <f t="shared" si="60"/>
        <v>1</v>
      </c>
      <c r="L399" s="964"/>
      <c r="M399" s="53">
        <f t="shared" si="61"/>
        <v>1</v>
      </c>
      <c r="N399" s="964"/>
      <c r="O399" s="53">
        <f t="shared" si="62"/>
        <v>1</v>
      </c>
      <c r="P399" s="964"/>
      <c r="Q399" s="53">
        <f t="shared" si="63"/>
        <v>1</v>
      </c>
      <c r="R399" s="491">
        <f t="shared" si="64"/>
        <v>0</v>
      </c>
      <c r="S399" s="800">
        <f t="shared" si="55"/>
        <v>0</v>
      </c>
    </row>
    <row r="400" spans="1:19">
      <c r="A400" s="966"/>
      <c r="B400" s="136"/>
      <c r="C400" s="53">
        <f t="shared" si="56"/>
        <v>1</v>
      </c>
      <c r="D400" s="964"/>
      <c r="E400" s="53">
        <f t="shared" si="57"/>
        <v>0</v>
      </c>
      <c r="F400" s="964"/>
      <c r="G400" s="53">
        <f t="shared" si="58"/>
        <v>1</v>
      </c>
      <c r="H400" s="964"/>
      <c r="I400" s="53">
        <f t="shared" si="59"/>
        <v>1</v>
      </c>
      <c r="J400" s="964"/>
      <c r="K400" s="53">
        <f t="shared" si="60"/>
        <v>1</v>
      </c>
      <c r="L400" s="964"/>
      <c r="M400" s="53">
        <f t="shared" si="61"/>
        <v>1</v>
      </c>
      <c r="N400" s="964"/>
      <c r="O400" s="53">
        <f t="shared" si="62"/>
        <v>1</v>
      </c>
      <c r="P400" s="964"/>
      <c r="Q400" s="53">
        <f t="shared" si="63"/>
        <v>1</v>
      </c>
      <c r="R400" s="491">
        <f t="shared" si="64"/>
        <v>0</v>
      </c>
      <c r="S400" s="800">
        <f t="shared" si="55"/>
        <v>0</v>
      </c>
    </row>
    <row r="401" spans="1:19">
      <c r="A401" s="966"/>
      <c r="B401" s="136"/>
      <c r="C401" s="53">
        <f t="shared" si="56"/>
        <v>1</v>
      </c>
      <c r="D401" s="964"/>
      <c r="E401" s="53">
        <f t="shared" si="57"/>
        <v>0</v>
      </c>
      <c r="F401" s="964"/>
      <c r="G401" s="53">
        <f t="shared" si="58"/>
        <v>1</v>
      </c>
      <c r="H401" s="964"/>
      <c r="I401" s="53">
        <f t="shared" si="59"/>
        <v>1</v>
      </c>
      <c r="J401" s="964"/>
      <c r="K401" s="53">
        <f t="shared" si="60"/>
        <v>1</v>
      </c>
      <c r="L401" s="964"/>
      <c r="M401" s="53">
        <f t="shared" si="61"/>
        <v>1</v>
      </c>
      <c r="N401" s="964"/>
      <c r="O401" s="53">
        <f t="shared" si="62"/>
        <v>1</v>
      </c>
      <c r="P401" s="964"/>
      <c r="Q401" s="53">
        <f t="shared" si="63"/>
        <v>1</v>
      </c>
      <c r="R401" s="491">
        <f t="shared" si="64"/>
        <v>0</v>
      </c>
      <c r="S401" s="800">
        <f t="shared" si="55"/>
        <v>0</v>
      </c>
    </row>
    <row r="402" spans="1:19">
      <c r="A402" s="966"/>
      <c r="B402" s="136"/>
      <c r="C402" s="53">
        <f t="shared" si="56"/>
        <v>1</v>
      </c>
      <c r="D402" s="964"/>
      <c r="E402" s="53">
        <f t="shared" si="57"/>
        <v>0</v>
      </c>
      <c r="F402" s="964"/>
      <c r="G402" s="53">
        <f t="shared" si="58"/>
        <v>1</v>
      </c>
      <c r="H402" s="964"/>
      <c r="I402" s="53">
        <f t="shared" si="59"/>
        <v>1</v>
      </c>
      <c r="J402" s="964"/>
      <c r="K402" s="53">
        <f t="shared" si="60"/>
        <v>1</v>
      </c>
      <c r="L402" s="964"/>
      <c r="M402" s="53">
        <f t="shared" si="61"/>
        <v>1</v>
      </c>
      <c r="N402" s="964"/>
      <c r="O402" s="53">
        <f t="shared" si="62"/>
        <v>1</v>
      </c>
      <c r="P402" s="964"/>
      <c r="Q402" s="53">
        <f t="shared" si="63"/>
        <v>1</v>
      </c>
      <c r="R402" s="491">
        <f t="shared" si="64"/>
        <v>0</v>
      </c>
      <c r="S402" s="800">
        <f t="shared" si="55"/>
        <v>0</v>
      </c>
    </row>
    <row r="403" spans="1:19">
      <c r="A403" s="966"/>
      <c r="B403" s="136"/>
      <c r="C403" s="53">
        <f t="shared" si="56"/>
        <v>1</v>
      </c>
      <c r="D403" s="964"/>
      <c r="E403" s="53">
        <f t="shared" si="57"/>
        <v>0</v>
      </c>
      <c r="F403" s="964"/>
      <c r="G403" s="53">
        <f t="shared" si="58"/>
        <v>1</v>
      </c>
      <c r="H403" s="964"/>
      <c r="I403" s="53">
        <f t="shared" si="59"/>
        <v>1</v>
      </c>
      <c r="J403" s="964"/>
      <c r="K403" s="53">
        <f t="shared" si="60"/>
        <v>1</v>
      </c>
      <c r="L403" s="964"/>
      <c r="M403" s="53">
        <f t="shared" si="61"/>
        <v>1</v>
      </c>
      <c r="N403" s="964"/>
      <c r="O403" s="53">
        <f t="shared" si="62"/>
        <v>1</v>
      </c>
      <c r="P403" s="964"/>
      <c r="Q403" s="53">
        <f t="shared" si="63"/>
        <v>1</v>
      </c>
      <c r="R403" s="491">
        <f t="shared" si="64"/>
        <v>0</v>
      </c>
      <c r="S403" s="800">
        <f t="shared" si="55"/>
        <v>0</v>
      </c>
    </row>
    <row r="404" spans="1:19">
      <c r="A404" s="966"/>
      <c r="B404" s="136"/>
      <c r="C404" s="53">
        <f t="shared" si="56"/>
        <v>1</v>
      </c>
      <c r="D404" s="964"/>
      <c r="E404" s="53">
        <f t="shared" si="57"/>
        <v>0</v>
      </c>
      <c r="F404" s="964"/>
      <c r="G404" s="53">
        <f t="shared" si="58"/>
        <v>1</v>
      </c>
      <c r="H404" s="964"/>
      <c r="I404" s="53">
        <f t="shared" si="59"/>
        <v>1</v>
      </c>
      <c r="J404" s="964"/>
      <c r="K404" s="53">
        <f t="shared" si="60"/>
        <v>1</v>
      </c>
      <c r="L404" s="964"/>
      <c r="M404" s="53">
        <f t="shared" si="61"/>
        <v>1</v>
      </c>
      <c r="N404" s="964"/>
      <c r="O404" s="53">
        <f t="shared" si="62"/>
        <v>1</v>
      </c>
      <c r="P404" s="964"/>
      <c r="Q404" s="53">
        <f t="shared" si="63"/>
        <v>1</v>
      </c>
      <c r="R404" s="491">
        <f t="shared" si="64"/>
        <v>0</v>
      </c>
      <c r="S404" s="800">
        <f t="shared" si="55"/>
        <v>0</v>
      </c>
    </row>
    <row r="405" spans="1:19">
      <c r="A405" s="966"/>
      <c r="B405" s="136"/>
      <c r="C405" s="53">
        <f t="shared" si="56"/>
        <v>1</v>
      </c>
      <c r="D405" s="964"/>
      <c r="E405" s="53">
        <f t="shared" si="57"/>
        <v>0</v>
      </c>
      <c r="F405" s="964"/>
      <c r="G405" s="53">
        <f t="shared" si="58"/>
        <v>1</v>
      </c>
      <c r="H405" s="964"/>
      <c r="I405" s="53">
        <f t="shared" si="59"/>
        <v>1</v>
      </c>
      <c r="J405" s="964"/>
      <c r="K405" s="53">
        <f t="shared" si="60"/>
        <v>1</v>
      </c>
      <c r="L405" s="964"/>
      <c r="M405" s="53">
        <f t="shared" si="61"/>
        <v>1</v>
      </c>
      <c r="N405" s="964"/>
      <c r="O405" s="53">
        <f t="shared" si="62"/>
        <v>1</v>
      </c>
      <c r="P405" s="964"/>
      <c r="Q405" s="53">
        <f t="shared" si="63"/>
        <v>1</v>
      </c>
      <c r="R405" s="491">
        <f t="shared" si="64"/>
        <v>0</v>
      </c>
      <c r="S405" s="800">
        <f t="shared" si="55"/>
        <v>0</v>
      </c>
    </row>
    <row r="406" spans="1:19">
      <c r="A406" s="966"/>
      <c r="B406" s="136"/>
      <c r="C406" s="53">
        <f t="shared" si="56"/>
        <v>1</v>
      </c>
      <c r="D406" s="964"/>
      <c r="E406" s="53">
        <f t="shared" si="57"/>
        <v>0</v>
      </c>
      <c r="F406" s="964"/>
      <c r="G406" s="53">
        <f t="shared" si="58"/>
        <v>1</v>
      </c>
      <c r="H406" s="964"/>
      <c r="I406" s="53">
        <f t="shared" si="59"/>
        <v>1</v>
      </c>
      <c r="J406" s="964"/>
      <c r="K406" s="53">
        <f t="shared" si="60"/>
        <v>1</v>
      </c>
      <c r="L406" s="964"/>
      <c r="M406" s="53">
        <f t="shared" si="61"/>
        <v>1</v>
      </c>
      <c r="N406" s="964"/>
      <c r="O406" s="53">
        <f t="shared" si="62"/>
        <v>1</v>
      </c>
      <c r="P406" s="964"/>
      <c r="Q406" s="53">
        <f t="shared" si="63"/>
        <v>1</v>
      </c>
      <c r="R406" s="491">
        <f t="shared" si="64"/>
        <v>0</v>
      </c>
      <c r="S406" s="800">
        <f t="shared" si="55"/>
        <v>0</v>
      </c>
    </row>
    <row r="407" spans="1:19">
      <c r="A407" s="966"/>
      <c r="B407" s="136"/>
      <c r="C407" s="53">
        <f t="shared" si="56"/>
        <v>1</v>
      </c>
      <c r="D407" s="964"/>
      <c r="E407" s="53">
        <f t="shared" si="57"/>
        <v>0</v>
      </c>
      <c r="F407" s="964"/>
      <c r="G407" s="53">
        <f t="shared" si="58"/>
        <v>1</v>
      </c>
      <c r="H407" s="964"/>
      <c r="I407" s="53">
        <f t="shared" si="59"/>
        <v>1</v>
      </c>
      <c r="J407" s="964"/>
      <c r="K407" s="53">
        <f t="shared" si="60"/>
        <v>1</v>
      </c>
      <c r="L407" s="964"/>
      <c r="M407" s="53">
        <f t="shared" si="61"/>
        <v>1</v>
      </c>
      <c r="N407" s="964"/>
      <c r="O407" s="53">
        <f t="shared" si="62"/>
        <v>1</v>
      </c>
      <c r="P407" s="964"/>
      <c r="Q407" s="53">
        <f t="shared" si="63"/>
        <v>1</v>
      </c>
      <c r="R407" s="491">
        <f t="shared" si="64"/>
        <v>0</v>
      </c>
      <c r="S407" s="800">
        <f t="shared" si="55"/>
        <v>0</v>
      </c>
    </row>
    <row r="408" spans="1:19">
      <c r="A408" s="966"/>
      <c r="B408" s="136"/>
      <c r="C408" s="53">
        <f t="shared" si="56"/>
        <v>1</v>
      </c>
      <c r="D408" s="964"/>
      <c r="E408" s="53">
        <f t="shared" si="57"/>
        <v>0</v>
      </c>
      <c r="F408" s="964"/>
      <c r="G408" s="53">
        <f t="shared" si="58"/>
        <v>1</v>
      </c>
      <c r="H408" s="964"/>
      <c r="I408" s="53">
        <f t="shared" si="59"/>
        <v>1</v>
      </c>
      <c r="J408" s="964"/>
      <c r="K408" s="53">
        <f t="shared" si="60"/>
        <v>1</v>
      </c>
      <c r="L408" s="964"/>
      <c r="M408" s="53">
        <f t="shared" si="61"/>
        <v>1</v>
      </c>
      <c r="N408" s="964"/>
      <c r="O408" s="53">
        <f t="shared" si="62"/>
        <v>1</v>
      </c>
      <c r="P408" s="964"/>
      <c r="Q408" s="53">
        <f t="shared" si="63"/>
        <v>1</v>
      </c>
      <c r="R408" s="491">
        <f t="shared" si="64"/>
        <v>0</v>
      </c>
      <c r="S408" s="800">
        <f t="shared" ref="S408:S471" si="65">ROUND(R408*B408/10000,0)</f>
        <v>0</v>
      </c>
    </row>
    <row r="409" spans="1:19">
      <c r="A409" s="966"/>
      <c r="B409" s="136"/>
      <c r="C409" s="53">
        <f t="shared" si="56"/>
        <v>1</v>
      </c>
      <c r="D409" s="964"/>
      <c r="E409" s="53">
        <f t="shared" si="57"/>
        <v>0</v>
      </c>
      <c r="F409" s="964"/>
      <c r="G409" s="53">
        <f t="shared" si="58"/>
        <v>1</v>
      </c>
      <c r="H409" s="964"/>
      <c r="I409" s="53">
        <f t="shared" si="59"/>
        <v>1</v>
      </c>
      <c r="J409" s="964"/>
      <c r="K409" s="53">
        <f t="shared" si="60"/>
        <v>1</v>
      </c>
      <c r="L409" s="964"/>
      <c r="M409" s="53">
        <f t="shared" si="61"/>
        <v>1</v>
      </c>
      <c r="N409" s="964"/>
      <c r="O409" s="53">
        <f t="shared" si="62"/>
        <v>1</v>
      </c>
      <c r="P409" s="964"/>
      <c r="Q409" s="53">
        <f t="shared" si="63"/>
        <v>1</v>
      </c>
      <c r="R409" s="491">
        <f t="shared" si="64"/>
        <v>0</v>
      </c>
      <c r="S409" s="800">
        <f t="shared" si="65"/>
        <v>0</v>
      </c>
    </row>
    <row r="410" spans="1:19">
      <c r="A410" s="966"/>
      <c r="B410" s="136"/>
      <c r="C410" s="53">
        <f t="shared" ref="C410:C473" si="66">IF(B410="",1,(LOOKUP(B410,$3:$3,$4:$4)-LOOKUP($B$24,$3:$3,$4:$4)+100)/100)</f>
        <v>1</v>
      </c>
      <c r="D410" s="964"/>
      <c r="E410" s="53">
        <f t="shared" ref="E410:E473" si="67">(SUMIF($5:$5,D410,$6:$6)-SUMIF($5:$5,$D$24,$6:$6)+100)/100</f>
        <v>0</v>
      </c>
      <c r="F410" s="964"/>
      <c r="G410" s="53">
        <f t="shared" ref="G410:G473" si="68">(SUMIF($7:$7,F410,$8:$8)-SUMIF($7:$7,$F$24,$8:$8)+100)/100</f>
        <v>1</v>
      </c>
      <c r="H410" s="964"/>
      <c r="I410" s="53">
        <f t="shared" ref="I410:I473" si="69">(SUMIF($9:$9,H410,$10:$10)-SUMIF($9:$9,$H$24,$10:$10)+100)/100</f>
        <v>1</v>
      </c>
      <c r="J410" s="964"/>
      <c r="K410" s="53">
        <f t="shared" ref="K410:K473" si="70">(SUMIF($11:$11,J410,$12:$12)-SUMIF($11:$11,$J$24,$12:$12)+100)/100</f>
        <v>1</v>
      </c>
      <c r="L410" s="964"/>
      <c r="M410" s="53">
        <f t="shared" ref="M410:M473" si="71">(SUMIF($13:$13,L410,$14:$14)-SUMIF($13:$13,$L$24,$14:$14)+100)/100</f>
        <v>1</v>
      </c>
      <c r="N410" s="964"/>
      <c r="O410" s="53">
        <f t="shared" ref="O410:O473" si="72">(SUMIF($15:$15,N410,$16:$16)-SUMIF($15:$15,$N$24,$16:$16)+100)/100</f>
        <v>1</v>
      </c>
      <c r="P410" s="964"/>
      <c r="Q410" s="53">
        <f t="shared" ref="Q410:Q473" si="73">(SUMIF($17:$17,P410,$18:$18)-SUMIF($17:$17,$P$24,$18:$18)+100)/100</f>
        <v>1</v>
      </c>
      <c r="R410" s="491">
        <f t="shared" ref="R410:R473" si="74">IF(B410="",0,ROUND($R$24*C410*E410*G410*I410*K410*M410*O410*Q410,0))</f>
        <v>0</v>
      </c>
      <c r="S410" s="800">
        <f t="shared" si="65"/>
        <v>0</v>
      </c>
    </row>
    <row r="411" spans="1:19">
      <c r="A411" s="966"/>
      <c r="B411" s="136"/>
      <c r="C411" s="53">
        <f t="shared" si="66"/>
        <v>1</v>
      </c>
      <c r="D411" s="964"/>
      <c r="E411" s="53">
        <f t="shared" si="67"/>
        <v>0</v>
      </c>
      <c r="F411" s="964"/>
      <c r="G411" s="53">
        <f t="shared" si="68"/>
        <v>1</v>
      </c>
      <c r="H411" s="964"/>
      <c r="I411" s="53">
        <f t="shared" si="69"/>
        <v>1</v>
      </c>
      <c r="J411" s="964"/>
      <c r="K411" s="53">
        <f t="shared" si="70"/>
        <v>1</v>
      </c>
      <c r="L411" s="964"/>
      <c r="M411" s="53">
        <f t="shared" si="71"/>
        <v>1</v>
      </c>
      <c r="N411" s="964"/>
      <c r="O411" s="53">
        <f t="shared" si="72"/>
        <v>1</v>
      </c>
      <c r="P411" s="964"/>
      <c r="Q411" s="53">
        <f t="shared" si="73"/>
        <v>1</v>
      </c>
      <c r="R411" s="491">
        <f t="shared" si="74"/>
        <v>0</v>
      </c>
      <c r="S411" s="800">
        <f t="shared" si="65"/>
        <v>0</v>
      </c>
    </row>
    <row r="412" spans="1:19">
      <c r="A412" s="966"/>
      <c r="B412" s="136"/>
      <c r="C412" s="53">
        <f t="shared" si="66"/>
        <v>1</v>
      </c>
      <c r="D412" s="964"/>
      <c r="E412" s="53">
        <f t="shared" si="67"/>
        <v>0</v>
      </c>
      <c r="F412" s="964"/>
      <c r="G412" s="53">
        <f t="shared" si="68"/>
        <v>1</v>
      </c>
      <c r="H412" s="964"/>
      <c r="I412" s="53">
        <f t="shared" si="69"/>
        <v>1</v>
      </c>
      <c r="J412" s="964"/>
      <c r="K412" s="53">
        <f t="shared" si="70"/>
        <v>1</v>
      </c>
      <c r="L412" s="964"/>
      <c r="M412" s="53">
        <f t="shared" si="71"/>
        <v>1</v>
      </c>
      <c r="N412" s="964"/>
      <c r="O412" s="53">
        <f t="shared" si="72"/>
        <v>1</v>
      </c>
      <c r="P412" s="964"/>
      <c r="Q412" s="53">
        <f t="shared" si="73"/>
        <v>1</v>
      </c>
      <c r="R412" s="491">
        <f t="shared" si="74"/>
        <v>0</v>
      </c>
      <c r="S412" s="800">
        <f t="shared" si="65"/>
        <v>0</v>
      </c>
    </row>
    <row r="413" spans="1:19">
      <c r="A413" s="966"/>
      <c r="B413" s="136"/>
      <c r="C413" s="53">
        <f t="shared" si="66"/>
        <v>1</v>
      </c>
      <c r="D413" s="964"/>
      <c r="E413" s="53">
        <f t="shared" si="67"/>
        <v>0</v>
      </c>
      <c r="F413" s="964"/>
      <c r="G413" s="53">
        <f t="shared" si="68"/>
        <v>1</v>
      </c>
      <c r="H413" s="964"/>
      <c r="I413" s="53">
        <f t="shared" si="69"/>
        <v>1</v>
      </c>
      <c r="J413" s="964"/>
      <c r="K413" s="53">
        <f t="shared" si="70"/>
        <v>1</v>
      </c>
      <c r="L413" s="964"/>
      <c r="M413" s="53">
        <f t="shared" si="71"/>
        <v>1</v>
      </c>
      <c r="N413" s="964"/>
      <c r="O413" s="53">
        <f t="shared" si="72"/>
        <v>1</v>
      </c>
      <c r="P413" s="964"/>
      <c r="Q413" s="53">
        <f t="shared" si="73"/>
        <v>1</v>
      </c>
      <c r="R413" s="491">
        <f t="shared" si="74"/>
        <v>0</v>
      </c>
      <c r="S413" s="800">
        <f t="shared" si="65"/>
        <v>0</v>
      </c>
    </row>
    <row r="414" spans="1:19">
      <c r="A414" s="966"/>
      <c r="B414" s="136"/>
      <c r="C414" s="53">
        <f t="shared" si="66"/>
        <v>1</v>
      </c>
      <c r="D414" s="964"/>
      <c r="E414" s="53">
        <f t="shared" si="67"/>
        <v>0</v>
      </c>
      <c r="F414" s="964"/>
      <c r="G414" s="53">
        <f t="shared" si="68"/>
        <v>1</v>
      </c>
      <c r="H414" s="964"/>
      <c r="I414" s="53">
        <f t="shared" si="69"/>
        <v>1</v>
      </c>
      <c r="J414" s="964"/>
      <c r="K414" s="53">
        <f t="shared" si="70"/>
        <v>1</v>
      </c>
      <c r="L414" s="964"/>
      <c r="M414" s="53">
        <f t="shared" si="71"/>
        <v>1</v>
      </c>
      <c r="N414" s="964"/>
      <c r="O414" s="53">
        <f t="shared" si="72"/>
        <v>1</v>
      </c>
      <c r="P414" s="964"/>
      <c r="Q414" s="53">
        <f t="shared" si="73"/>
        <v>1</v>
      </c>
      <c r="R414" s="491">
        <f t="shared" si="74"/>
        <v>0</v>
      </c>
      <c r="S414" s="800">
        <f t="shared" si="65"/>
        <v>0</v>
      </c>
    </row>
    <row r="415" spans="1:19">
      <c r="A415" s="966"/>
      <c r="B415" s="136"/>
      <c r="C415" s="53">
        <f t="shared" si="66"/>
        <v>1</v>
      </c>
      <c r="D415" s="964"/>
      <c r="E415" s="53">
        <f t="shared" si="67"/>
        <v>0</v>
      </c>
      <c r="F415" s="964"/>
      <c r="G415" s="53">
        <f t="shared" si="68"/>
        <v>1</v>
      </c>
      <c r="H415" s="964"/>
      <c r="I415" s="53">
        <f t="shared" si="69"/>
        <v>1</v>
      </c>
      <c r="J415" s="964"/>
      <c r="K415" s="53">
        <f t="shared" si="70"/>
        <v>1</v>
      </c>
      <c r="L415" s="964"/>
      <c r="M415" s="53">
        <f t="shared" si="71"/>
        <v>1</v>
      </c>
      <c r="N415" s="964"/>
      <c r="O415" s="53">
        <f t="shared" si="72"/>
        <v>1</v>
      </c>
      <c r="P415" s="964"/>
      <c r="Q415" s="53">
        <f t="shared" si="73"/>
        <v>1</v>
      </c>
      <c r="R415" s="491">
        <f t="shared" si="74"/>
        <v>0</v>
      </c>
      <c r="S415" s="800">
        <f t="shared" si="65"/>
        <v>0</v>
      </c>
    </row>
    <row r="416" spans="1:19">
      <c r="A416" s="966"/>
      <c r="B416" s="136"/>
      <c r="C416" s="53">
        <f t="shared" si="66"/>
        <v>1</v>
      </c>
      <c r="D416" s="964"/>
      <c r="E416" s="53">
        <f t="shared" si="67"/>
        <v>0</v>
      </c>
      <c r="F416" s="964"/>
      <c r="G416" s="53">
        <f t="shared" si="68"/>
        <v>1</v>
      </c>
      <c r="H416" s="964"/>
      <c r="I416" s="53">
        <f t="shared" si="69"/>
        <v>1</v>
      </c>
      <c r="J416" s="964"/>
      <c r="K416" s="53">
        <f t="shared" si="70"/>
        <v>1</v>
      </c>
      <c r="L416" s="964"/>
      <c r="M416" s="53">
        <f t="shared" si="71"/>
        <v>1</v>
      </c>
      <c r="N416" s="964"/>
      <c r="O416" s="53">
        <f t="shared" si="72"/>
        <v>1</v>
      </c>
      <c r="P416" s="964"/>
      <c r="Q416" s="53">
        <f t="shared" si="73"/>
        <v>1</v>
      </c>
      <c r="R416" s="491">
        <f t="shared" si="74"/>
        <v>0</v>
      </c>
      <c r="S416" s="800">
        <f t="shared" si="65"/>
        <v>0</v>
      </c>
    </row>
    <row r="417" spans="1:19">
      <c r="A417" s="966"/>
      <c r="B417" s="136"/>
      <c r="C417" s="53">
        <f t="shared" si="66"/>
        <v>1</v>
      </c>
      <c r="D417" s="964"/>
      <c r="E417" s="53">
        <f t="shared" si="67"/>
        <v>0</v>
      </c>
      <c r="F417" s="964"/>
      <c r="G417" s="53">
        <f t="shared" si="68"/>
        <v>1</v>
      </c>
      <c r="H417" s="964"/>
      <c r="I417" s="53">
        <f t="shared" si="69"/>
        <v>1</v>
      </c>
      <c r="J417" s="964"/>
      <c r="K417" s="53">
        <f t="shared" si="70"/>
        <v>1</v>
      </c>
      <c r="L417" s="964"/>
      <c r="M417" s="53">
        <f t="shared" si="71"/>
        <v>1</v>
      </c>
      <c r="N417" s="964"/>
      <c r="O417" s="53">
        <f t="shared" si="72"/>
        <v>1</v>
      </c>
      <c r="P417" s="964"/>
      <c r="Q417" s="53">
        <f t="shared" si="73"/>
        <v>1</v>
      </c>
      <c r="R417" s="491">
        <f t="shared" si="74"/>
        <v>0</v>
      </c>
      <c r="S417" s="800">
        <f t="shared" si="65"/>
        <v>0</v>
      </c>
    </row>
    <row r="418" spans="1:19">
      <c r="A418" s="966"/>
      <c r="B418" s="136"/>
      <c r="C418" s="53">
        <f t="shared" si="66"/>
        <v>1</v>
      </c>
      <c r="D418" s="964"/>
      <c r="E418" s="53">
        <f t="shared" si="67"/>
        <v>0</v>
      </c>
      <c r="F418" s="964"/>
      <c r="G418" s="53">
        <f t="shared" si="68"/>
        <v>1</v>
      </c>
      <c r="H418" s="964"/>
      <c r="I418" s="53">
        <f t="shared" si="69"/>
        <v>1</v>
      </c>
      <c r="J418" s="964"/>
      <c r="K418" s="53">
        <f t="shared" si="70"/>
        <v>1</v>
      </c>
      <c r="L418" s="964"/>
      <c r="M418" s="53">
        <f t="shared" si="71"/>
        <v>1</v>
      </c>
      <c r="N418" s="964"/>
      <c r="O418" s="53">
        <f t="shared" si="72"/>
        <v>1</v>
      </c>
      <c r="P418" s="964"/>
      <c r="Q418" s="53">
        <f t="shared" si="73"/>
        <v>1</v>
      </c>
      <c r="R418" s="491">
        <f t="shared" si="74"/>
        <v>0</v>
      </c>
      <c r="S418" s="800">
        <f t="shared" si="65"/>
        <v>0</v>
      </c>
    </row>
    <row r="419" spans="1:19">
      <c r="A419" s="966"/>
      <c r="B419" s="136"/>
      <c r="C419" s="53">
        <f t="shared" si="66"/>
        <v>1</v>
      </c>
      <c r="D419" s="964"/>
      <c r="E419" s="53">
        <f t="shared" si="67"/>
        <v>0</v>
      </c>
      <c r="F419" s="964"/>
      <c r="G419" s="53">
        <f t="shared" si="68"/>
        <v>1</v>
      </c>
      <c r="H419" s="964"/>
      <c r="I419" s="53">
        <f t="shared" si="69"/>
        <v>1</v>
      </c>
      <c r="J419" s="964"/>
      <c r="K419" s="53">
        <f t="shared" si="70"/>
        <v>1</v>
      </c>
      <c r="L419" s="964"/>
      <c r="M419" s="53">
        <f t="shared" si="71"/>
        <v>1</v>
      </c>
      <c r="N419" s="964"/>
      <c r="O419" s="53">
        <f t="shared" si="72"/>
        <v>1</v>
      </c>
      <c r="P419" s="964"/>
      <c r="Q419" s="53">
        <f t="shared" si="73"/>
        <v>1</v>
      </c>
      <c r="R419" s="491">
        <f t="shared" si="74"/>
        <v>0</v>
      </c>
      <c r="S419" s="800">
        <f t="shared" si="65"/>
        <v>0</v>
      </c>
    </row>
    <row r="420" spans="1:19">
      <c r="A420" s="966"/>
      <c r="B420" s="136"/>
      <c r="C420" s="53">
        <f t="shared" si="66"/>
        <v>1</v>
      </c>
      <c r="D420" s="964"/>
      <c r="E420" s="53">
        <f t="shared" si="67"/>
        <v>0</v>
      </c>
      <c r="F420" s="964"/>
      <c r="G420" s="53">
        <f t="shared" si="68"/>
        <v>1</v>
      </c>
      <c r="H420" s="964"/>
      <c r="I420" s="53">
        <f t="shared" si="69"/>
        <v>1</v>
      </c>
      <c r="J420" s="964"/>
      <c r="K420" s="53">
        <f t="shared" si="70"/>
        <v>1</v>
      </c>
      <c r="L420" s="964"/>
      <c r="M420" s="53">
        <f t="shared" si="71"/>
        <v>1</v>
      </c>
      <c r="N420" s="964"/>
      <c r="O420" s="53">
        <f t="shared" si="72"/>
        <v>1</v>
      </c>
      <c r="P420" s="964"/>
      <c r="Q420" s="53">
        <f t="shared" si="73"/>
        <v>1</v>
      </c>
      <c r="R420" s="491">
        <f t="shared" si="74"/>
        <v>0</v>
      </c>
      <c r="S420" s="800">
        <f t="shared" si="65"/>
        <v>0</v>
      </c>
    </row>
    <row r="421" spans="1:19">
      <c r="A421" s="966"/>
      <c r="B421" s="136"/>
      <c r="C421" s="53">
        <f t="shared" si="66"/>
        <v>1</v>
      </c>
      <c r="D421" s="964"/>
      <c r="E421" s="53">
        <f t="shared" si="67"/>
        <v>0</v>
      </c>
      <c r="F421" s="964"/>
      <c r="G421" s="53">
        <f t="shared" si="68"/>
        <v>1</v>
      </c>
      <c r="H421" s="964"/>
      <c r="I421" s="53">
        <f t="shared" si="69"/>
        <v>1</v>
      </c>
      <c r="J421" s="964"/>
      <c r="K421" s="53">
        <f t="shared" si="70"/>
        <v>1</v>
      </c>
      <c r="L421" s="964"/>
      <c r="M421" s="53">
        <f t="shared" si="71"/>
        <v>1</v>
      </c>
      <c r="N421" s="964"/>
      <c r="O421" s="53">
        <f t="shared" si="72"/>
        <v>1</v>
      </c>
      <c r="P421" s="964"/>
      <c r="Q421" s="53">
        <f t="shared" si="73"/>
        <v>1</v>
      </c>
      <c r="R421" s="491">
        <f t="shared" si="74"/>
        <v>0</v>
      </c>
      <c r="S421" s="800">
        <f t="shared" si="65"/>
        <v>0</v>
      </c>
    </row>
    <row r="422" spans="1:19">
      <c r="A422" s="966"/>
      <c r="B422" s="136"/>
      <c r="C422" s="53">
        <f t="shared" si="66"/>
        <v>1</v>
      </c>
      <c r="D422" s="964"/>
      <c r="E422" s="53">
        <f t="shared" si="67"/>
        <v>0</v>
      </c>
      <c r="F422" s="964"/>
      <c r="G422" s="53">
        <f t="shared" si="68"/>
        <v>1</v>
      </c>
      <c r="H422" s="964"/>
      <c r="I422" s="53">
        <f t="shared" si="69"/>
        <v>1</v>
      </c>
      <c r="J422" s="964"/>
      <c r="K422" s="53">
        <f t="shared" si="70"/>
        <v>1</v>
      </c>
      <c r="L422" s="964"/>
      <c r="M422" s="53">
        <f t="shared" si="71"/>
        <v>1</v>
      </c>
      <c r="N422" s="964"/>
      <c r="O422" s="53">
        <f t="shared" si="72"/>
        <v>1</v>
      </c>
      <c r="P422" s="964"/>
      <c r="Q422" s="53">
        <f t="shared" si="73"/>
        <v>1</v>
      </c>
      <c r="R422" s="491">
        <f t="shared" si="74"/>
        <v>0</v>
      </c>
      <c r="S422" s="800">
        <f t="shared" si="65"/>
        <v>0</v>
      </c>
    </row>
    <row r="423" spans="1:19">
      <c r="A423" s="966"/>
      <c r="B423" s="136"/>
      <c r="C423" s="53">
        <f t="shared" si="66"/>
        <v>1</v>
      </c>
      <c r="D423" s="964"/>
      <c r="E423" s="53">
        <f t="shared" si="67"/>
        <v>0</v>
      </c>
      <c r="F423" s="964"/>
      <c r="G423" s="53">
        <f t="shared" si="68"/>
        <v>1</v>
      </c>
      <c r="H423" s="964"/>
      <c r="I423" s="53">
        <f t="shared" si="69"/>
        <v>1</v>
      </c>
      <c r="J423" s="964"/>
      <c r="K423" s="53">
        <f t="shared" si="70"/>
        <v>1</v>
      </c>
      <c r="L423" s="964"/>
      <c r="M423" s="53">
        <f t="shared" si="71"/>
        <v>1</v>
      </c>
      <c r="N423" s="964"/>
      <c r="O423" s="53">
        <f t="shared" si="72"/>
        <v>1</v>
      </c>
      <c r="P423" s="964"/>
      <c r="Q423" s="53">
        <f t="shared" si="73"/>
        <v>1</v>
      </c>
      <c r="R423" s="491">
        <f t="shared" si="74"/>
        <v>0</v>
      </c>
      <c r="S423" s="800">
        <f t="shared" si="65"/>
        <v>0</v>
      </c>
    </row>
    <row r="424" spans="1:19">
      <c r="A424" s="966"/>
      <c r="B424" s="136"/>
      <c r="C424" s="53">
        <f t="shared" si="66"/>
        <v>1</v>
      </c>
      <c r="D424" s="964"/>
      <c r="E424" s="53">
        <f t="shared" si="67"/>
        <v>0</v>
      </c>
      <c r="F424" s="964"/>
      <c r="G424" s="53">
        <f t="shared" si="68"/>
        <v>1</v>
      </c>
      <c r="H424" s="964"/>
      <c r="I424" s="53">
        <f t="shared" si="69"/>
        <v>1</v>
      </c>
      <c r="J424" s="964"/>
      <c r="K424" s="53">
        <f t="shared" si="70"/>
        <v>1</v>
      </c>
      <c r="L424" s="964"/>
      <c r="M424" s="53">
        <f t="shared" si="71"/>
        <v>1</v>
      </c>
      <c r="N424" s="964"/>
      <c r="O424" s="53">
        <f t="shared" si="72"/>
        <v>1</v>
      </c>
      <c r="P424" s="964"/>
      <c r="Q424" s="53">
        <f t="shared" si="73"/>
        <v>1</v>
      </c>
      <c r="R424" s="491">
        <f t="shared" si="74"/>
        <v>0</v>
      </c>
      <c r="S424" s="800">
        <f t="shared" si="65"/>
        <v>0</v>
      </c>
    </row>
    <row r="425" spans="1:19">
      <c r="A425" s="966"/>
      <c r="B425" s="136"/>
      <c r="C425" s="53">
        <f t="shared" si="66"/>
        <v>1</v>
      </c>
      <c r="D425" s="964"/>
      <c r="E425" s="53">
        <f t="shared" si="67"/>
        <v>0</v>
      </c>
      <c r="F425" s="964"/>
      <c r="G425" s="53">
        <f t="shared" si="68"/>
        <v>1</v>
      </c>
      <c r="H425" s="964"/>
      <c r="I425" s="53">
        <f t="shared" si="69"/>
        <v>1</v>
      </c>
      <c r="J425" s="964"/>
      <c r="K425" s="53">
        <f t="shared" si="70"/>
        <v>1</v>
      </c>
      <c r="L425" s="964"/>
      <c r="M425" s="53">
        <f t="shared" si="71"/>
        <v>1</v>
      </c>
      <c r="N425" s="964"/>
      <c r="O425" s="53">
        <f t="shared" si="72"/>
        <v>1</v>
      </c>
      <c r="P425" s="964"/>
      <c r="Q425" s="53">
        <f t="shared" si="73"/>
        <v>1</v>
      </c>
      <c r="R425" s="491">
        <f t="shared" si="74"/>
        <v>0</v>
      </c>
      <c r="S425" s="800">
        <f t="shared" si="65"/>
        <v>0</v>
      </c>
    </row>
    <row r="426" spans="1:19">
      <c r="A426" s="966"/>
      <c r="B426" s="136"/>
      <c r="C426" s="53">
        <f t="shared" si="66"/>
        <v>1</v>
      </c>
      <c r="D426" s="964"/>
      <c r="E426" s="53">
        <f t="shared" si="67"/>
        <v>0</v>
      </c>
      <c r="F426" s="964"/>
      <c r="G426" s="53">
        <f t="shared" si="68"/>
        <v>1</v>
      </c>
      <c r="H426" s="964"/>
      <c r="I426" s="53">
        <f t="shared" si="69"/>
        <v>1</v>
      </c>
      <c r="J426" s="964"/>
      <c r="K426" s="53">
        <f t="shared" si="70"/>
        <v>1</v>
      </c>
      <c r="L426" s="964"/>
      <c r="M426" s="53">
        <f t="shared" si="71"/>
        <v>1</v>
      </c>
      <c r="N426" s="964"/>
      <c r="O426" s="53">
        <f t="shared" si="72"/>
        <v>1</v>
      </c>
      <c r="P426" s="964"/>
      <c r="Q426" s="53">
        <f t="shared" si="73"/>
        <v>1</v>
      </c>
      <c r="R426" s="491">
        <f t="shared" si="74"/>
        <v>0</v>
      </c>
      <c r="S426" s="800">
        <f t="shared" si="65"/>
        <v>0</v>
      </c>
    </row>
    <row r="427" spans="1:19">
      <c r="A427" s="966"/>
      <c r="B427" s="136"/>
      <c r="C427" s="53">
        <f t="shared" si="66"/>
        <v>1</v>
      </c>
      <c r="D427" s="964"/>
      <c r="E427" s="53">
        <f t="shared" si="67"/>
        <v>0</v>
      </c>
      <c r="F427" s="964"/>
      <c r="G427" s="53">
        <f t="shared" si="68"/>
        <v>1</v>
      </c>
      <c r="H427" s="964"/>
      <c r="I427" s="53">
        <f t="shared" si="69"/>
        <v>1</v>
      </c>
      <c r="J427" s="964"/>
      <c r="K427" s="53">
        <f t="shared" si="70"/>
        <v>1</v>
      </c>
      <c r="L427" s="964"/>
      <c r="M427" s="53">
        <f t="shared" si="71"/>
        <v>1</v>
      </c>
      <c r="N427" s="964"/>
      <c r="O427" s="53">
        <f t="shared" si="72"/>
        <v>1</v>
      </c>
      <c r="P427" s="964"/>
      <c r="Q427" s="53">
        <f t="shared" si="73"/>
        <v>1</v>
      </c>
      <c r="R427" s="491">
        <f t="shared" si="74"/>
        <v>0</v>
      </c>
      <c r="S427" s="800">
        <f t="shared" si="65"/>
        <v>0</v>
      </c>
    </row>
    <row r="428" spans="1:19">
      <c r="A428" s="966"/>
      <c r="B428" s="136"/>
      <c r="C428" s="53">
        <f t="shared" si="66"/>
        <v>1</v>
      </c>
      <c r="D428" s="964"/>
      <c r="E428" s="53">
        <f t="shared" si="67"/>
        <v>0</v>
      </c>
      <c r="F428" s="964"/>
      <c r="G428" s="53">
        <f t="shared" si="68"/>
        <v>1</v>
      </c>
      <c r="H428" s="964"/>
      <c r="I428" s="53">
        <f t="shared" si="69"/>
        <v>1</v>
      </c>
      <c r="J428" s="964"/>
      <c r="K428" s="53">
        <f t="shared" si="70"/>
        <v>1</v>
      </c>
      <c r="L428" s="964"/>
      <c r="M428" s="53">
        <f t="shared" si="71"/>
        <v>1</v>
      </c>
      <c r="N428" s="964"/>
      <c r="O428" s="53">
        <f t="shared" si="72"/>
        <v>1</v>
      </c>
      <c r="P428" s="964"/>
      <c r="Q428" s="53">
        <f t="shared" si="73"/>
        <v>1</v>
      </c>
      <c r="R428" s="491">
        <f t="shared" si="74"/>
        <v>0</v>
      </c>
      <c r="S428" s="800">
        <f t="shared" si="65"/>
        <v>0</v>
      </c>
    </row>
    <row r="429" spans="1:19">
      <c r="A429" s="966"/>
      <c r="B429" s="136"/>
      <c r="C429" s="53">
        <f t="shared" si="66"/>
        <v>1</v>
      </c>
      <c r="D429" s="964"/>
      <c r="E429" s="53">
        <f t="shared" si="67"/>
        <v>0</v>
      </c>
      <c r="F429" s="964"/>
      <c r="G429" s="53">
        <f t="shared" si="68"/>
        <v>1</v>
      </c>
      <c r="H429" s="964"/>
      <c r="I429" s="53">
        <f t="shared" si="69"/>
        <v>1</v>
      </c>
      <c r="J429" s="964"/>
      <c r="K429" s="53">
        <f t="shared" si="70"/>
        <v>1</v>
      </c>
      <c r="L429" s="964"/>
      <c r="M429" s="53">
        <f t="shared" si="71"/>
        <v>1</v>
      </c>
      <c r="N429" s="964"/>
      <c r="O429" s="53">
        <f t="shared" si="72"/>
        <v>1</v>
      </c>
      <c r="P429" s="964"/>
      <c r="Q429" s="53">
        <f t="shared" si="73"/>
        <v>1</v>
      </c>
      <c r="R429" s="491">
        <f t="shared" si="74"/>
        <v>0</v>
      </c>
      <c r="S429" s="800">
        <f t="shared" si="65"/>
        <v>0</v>
      </c>
    </row>
    <row r="430" spans="1:19">
      <c r="A430" s="966"/>
      <c r="B430" s="136"/>
      <c r="C430" s="53">
        <f t="shared" si="66"/>
        <v>1</v>
      </c>
      <c r="D430" s="964"/>
      <c r="E430" s="53">
        <f t="shared" si="67"/>
        <v>0</v>
      </c>
      <c r="F430" s="964"/>
      <c r="G430" s="53">
        <f t="shared" si="68"/>
        <v>1</v>
      </c>
      <c r="H430" s="964"/>
      <c r="I430" s="53">
        <f t="shared" si="69"/>
        <v>1</v>
      </c>
      <c r="J430" s="964"/>
      <c r="K430" s="53">
        <f t="shared" si="70"/>
        <v>1</v>
      </c>
      <c r="L430" s="964"/>
      <c r="M430" s="53">
        <f t="shared" si="71"/>
        <v>1</v>
      </c>
      <c r="N430" s="964"/>
      <c r="O430" s="53">
        <f t="shared" si="72"/>
        <v>1</v>
      </c>
      <c r="P430" s="964"/>
      <c r="Q430" s="53">
        <f t="shared" si="73"/>
        <v>1</v>
      </c>
      <c r="R430" s="491">
        <f t="shared" si="74"/>
        <v>0</v>
      </c>
      <c r="S430" s="800">
        <f t="shared" si="65"/>
        <v>0</v>
      </c>
    </row>
    <row r="431" spans="1:19">
      <c r="A431" s="966"/>
      <c r="B431" s="136"/>
      <c r="C431" s="53">
        <f t="shared" si="66"/>
        <v>1</v>
      </c>
      <c r="D431" s="964"/>
      <c r="E431" s="53">
        <f t="shared" si="67"/>
        <v>0</v>
      </c>
      <c r="F431" s="964"/>
      <c r="G431" s="53">
        <f t="shared" si="68"/>
        <v>1</v>
      </c>
      <c r="H431" s="964"/>
      <c r="I431" s="53">
        <f t="shared" si="69"/>
        <v>1</v>
      </c>
      <c r="J431" s="964"/>
      <c r="K431" s="53">
        <f t="shared" si="70"/>
        <v>1</v>
      </c>
      <c r="L431" s="964"/>
      <c r="M431" s="53">
        <f t="shared" si="71"/>
        <v>1</v>
      </c>
      <c r="N431" s="964"/>
      <c r="O431" s="53">
        <f t="shared" si="72"/>
        <v>1</v>
      </c>
      <c r="P431" s="964"/>
      <c r="Q431" s="53">
        <f t="shared" si="73"/>
        <v>1</v>
      </c>
      <c r="R431" s="491">
        <f t="shared" si="74"/>
        <v>0</v>
      </c>
      <c r="S431" s="800">
        <f t="shared" si="65"/>
        <v>0</v>
      </c>
    </row>
    <row r="432" spans="1:19">
      <c r="A432" s="966"/>
      <c r="B432" s="136"/>
      <c r="C432" s="53">
        <f t="shared" si="66"/>
        <v>1</v>
      </c>
      <c r="D432" s="964"/>
      <c r="E432" s="53">
        <f t="shared" si="67"/>
        <v>0</v>
      </c>
      <c r="F432" s="964"/>
      <c r="G432" s="53">
        <f t="shared" si="68"/>
        <v>1</v>
      </c>
      <c r="H432" s="964"/>
      <c r="I432" s="53">
        <f t="shared" si="69"/>
        <v>1</v>
      </c>
      <c r="J432" s="964"/>
      <c r="K432" s="53">
        <f t="shared" si="70"/>
        <v>1</v>
      </c>
      <c r="L432" s="964"/>
      <c r="M432" s="53">
        <f t="shared" si="71"/>
        <v>1</v>
      </c>
      <c r="N432" s="964"/>
      <c r="O432" s="53">
        <f t="shared" si="72"/>
        <v>1</v>
      </c>
      <c r="P432" s="964"/>
      <c r="Q432" s="53">
        <f t="shared" si="73"/>
        <v>1</v>
      </c>
      <c r="R432" s="491">
        <f t="shared" si="74"/>
        <v>0</v>
      </c>
      <c r="S432" s="800">
        <f t="shared" si="65"/>
        <v>0</v>
      </c>
    </row>
    <row r="433" spans="1:19">
      <c r="A433" s="966"/>
      <c r="B433" s="136"/>
      <c r="C433" s="53">
        <f t="shared" si="66"/>
        <v>1</v>
      </c>
      <c r="D433" s="964"/>
      <c r="E433" s="53">
        <f t="shared" si="67"/>
        <v>0</v>
      </c>
      <c r="F433" s="964"/>
      <c r="G433" s="53">
        <f t="shared" si="68"/>
        <v>1</v>
      </c>
      <c r="H433" s="964"/>
      <c r="I433" s="53">
        <f t="shared" si="69"/>
        <v>1</v>
      </c>
      <c r="J433" s="964"/>
      <c r="K433" s="53">
        <f t="shared" si="70"/>
        <v>1</v>
      </c>
      <c r="L433" s="964"/>
      <c r="M433" s="53">
        <f t="shared" si="71"/>
        <v>1</v>
      </c>
      <c r="N433" s="964"/>
      <c r="O433" s="53">
        <f t="shared" si="72"/>
        <v>1</v>
      </c>
      <c r="P433" s="964"/>
      <c r="Q433" s="53">
        <f t="shared" si="73"/>
        <v>1</v>
      </c>
      <c r="R433" s="491">
        <f t="shared" si="74"/>
        <v>0</v>
      </c>
      <c r="S433" s="800">
        <f t="shared" si="65"/>
        <v>0</v>
      </c>
    </row>
    <row r="434" spans="1:19">
      <c r="A434" s="966"/>
      <c r="B434" s="136"/>
      <c r="C434" s="53">
        <f t="shared" si="66"/>
        <v>1</v>
      </c>
      <c r="D434" s="964"/>
      <c r="E434" s="53">
        <f t="shared" si="67"/>
        <v>0</v>
      </c>
      <c r="F434" s="964"/>
      <c r="G434" s="53">
        <f t="shared" si="68"/>
        <v>1</v>
      </c>
      <c r="H434" s="964"/>
      <c r="I434" s="53">
        <f t="shared" si="69"/>
        <v>1</v>
      </c>
      <c r="J434" s="964"/>
      <c r="K434" s="53">
        <f t="shared" si="70"/>
        <v>1</v>
      </c>
      <c r="L434" s="964"/>
      <c r="M434" s="53">
        <f t="shared" si="71"/>
        <v>1</v>
      </c>
      <c r="N434" s="964"/>
      <c r="O434" s="53">
        <f t="shared" si="72"/>
        <v>1</v>
      </c>
      <c r="P434" s="964"/>
      <c r="Q434" s="53">
        <f t="shared" si="73"/>
        <v>1</v>
      </c>
      <c r="R434" s="491">
        <f t="shared" si="74"/>
        <v>0</v>
      </c>
      <c r="S434" s="800">
        <f t="shared" si="65"/>
        <v>0</v>
      </c>
    </row>
    <row r="435" spans="1:19">
      <c r="A435" s="966"/>
      <c r="B435" s="136"/>
      <c r="C435" s="53">
        <f t="shared" si="66"/>
        <v>1</v>
      </c>
      <c r="D435" s="964"/>
      <c r="E435" s="53">
        <f t="shared" si="67"/>
        <v>0</v>
      </c>
      <c r="F435" s="964"/>
      <c r="G435" s="53">
        <f t="shared" si="68"/>
        <v>1</v>
      </c>
      <c r="H435" s="964"/>
      <c r="I435" s="53">
        <f t="shared" si="69"/>
        <v>1</v>
      </c>
      <c r="J435" s="964"/>
      <c r="K435" s="53">
        <f t="shared" si="70"/>
        <v>1</v>
      </c>
      <c r="L435" s="964"/>
      <c r="M435" s="53">
        <f t="shared" si="71"/>
        <v>1</v>
      </c>
      <c r="N435" s="964"/>
      <c r="O435" s="53">
        <f t="shared" si="72"/>
        <v>1</v>
      </c>
      <c r="P435" s="964"/>
      <c r="Q435" s="53">
        <f t="shared" si="73"/>
        <v>1</v>
      </c>
      <c r="R435" s="491">
        <f t="shared" si="74"/>
        <v>0</v>
      </c>
      <c r="S435" s="800">
        <f t="shared" si="65"/>
        <v>0</v>
      </c>
    </row>
    <row r="436" spans="1:19">
      <c r="A436" s="966"/>
      <c r="B436" s="136"/>
      <c r="C436" s="53">
        <f t="shared" si="66"/>
        <v>1</v>
      </c>
      <c r="D436" s="964"/>
      <c r="E436" s="53">
        <f t="shared" si="67"/>
        <v>0</v>
      </c>
      <c r="F436" s="964"/>
      <c r="G436" s="53">
        <f t="shared" si="68"/>
        <v>1</v>
      </c>
      <c r="H436" s="964"/>
      <c r="I436" s="53">
        <f t="shared" si="69"/>
        <v>1</v>
      </c>
      <c r="J436" s="964"/>
      <c r="K436" s="53">
        <f t="shared" si="70"/>
        <v>1</v>
      </c>
      <c r="L436" s="964"/>
      <c r="M436" s="53">
        <f t="shared" si="71"/>
        <v>1</v>
      </c>
      <c r="N436" s="964"/>
      <c r="O436" s="53">
        <f t="shared" si="72"/>
        <v>1</v>
      </c>
      <c r="P436" s="964"/>
      <c r="Q436" s="53">
        <f t="shared" si="73"/>
        <v>1</v>
      </c>
      <c r="R436" s="491">
        <f t="shared" si="74"/>
        <v>0</v>
      </c>
      <c r="S436" s="800">
        <f t="shared" si="65"/>
        <v>0</v>
      </c>
    </row>
    <row r="437" spans="1:19">
      <c r="A437" s="966"/>
      <c r="B437" s="136"/>
      <c r="C437" s="53">
        <f t="shared" si="66"/>
        <v>1</v>
      </c>
      <c r="D437" s="964"/>
      <c r="E437" s="53">
        <f t="shared" si="67"/>
        <v>0</v>
      </c>
      <c r="F437" s="964"/>
      <c r="G437" s="53">
        <f t="shared" si="68"/>
        <v>1</v>
      </c>
      <c r="H437" s="964"/>
      <c r="I437" s="53">
        <f t="shared" si="69"/>
        <v>1</v>
      </c>
      <c r="J437" s="964"/>
      <c r="K437" s="53">
        <f t="shared" si="70"/>
        <v>1</v>
      </c>
      <c r="L437" s="964"/>
      <c r="M437" s="53">
        <f t="shared" si="71"/>
        <v>1</v>
      </c>
      <c r="N437" s="964"/>
      <c r="O437" s="53">
        <f t="shared" si="72"/>
        <v>1</v>
      </c>
      <c r="P437" s="964"/>
      <c r="Q437" s="53">
        <f t="shared" si="73"/>
        <v>1</v>
      </c>
      <c r="R437" s="491">
        <f t="shared" si="74"/>
        <v>0</v>
      </c>
      <c r="S437" s="800">
        <f t="shared" si="65"/>
        <v>0</v>
      </c>
    </row>
    <row r="438" spans="1:19">
      <c r="A438" s="966"/>
      <c r="B438" s="136"/>
      <c r="C438" s="53">
        <f t="shared" si="66"/>
        <v>1</v>
      </c>
      <c r="D438" s="964"/>
      <c r="E438" s="53">
        <f t="shared" si="67"/>
        <v>0</v>
      </c>
      <c r="F438" s="964"/>
      <c r="G438" s="53">
        <f t="shared" si="68"/>
        <v>1</v>
      </c>
      <c r="H438" s="964"/>
      <c r="I438" s="53">
        <f t="shared" si="69"/>
        <v>1</v>
      </c>
      <c r="J438" s="964"/>
      <c r="K438" s="53">
        <f t="shared" si="70"/>
        <v>1</v>
      </c>
      <c r="L438" s="964"/>
      <c r="M438" s="53">
        <f t="shared" si="71"/>
        <v>1</v>
      </c>
      <c r="N438" s="964"/>
      <c r="O438" s="53">
        <f t="shared" si="72"/>
        <v>1</v>
      </c>
      <c r="P438" s="964"/>
      <c r="Q438" s="53">
        <f t="shared" si="73"/>
        <v>1</v>
      </c>
      <c r="R438" s="491">
        <f t="shared" si="74"/>
        <v>0</v>
      </c>
      <c r="S438" s="800">
        <f t="shared" si="65"/>
        <v>0</v>
      </c>
    </row>
    <row r="439" spans="1:19">
      <c r="A439" s="966"/>
      <c r="B439" s="136"/>
      <c r="C439" s="53">
        <f t="shared" si="66"/>
        <v>1</v>
      </c>
      <c r="D439" s="964"/>
      <c r="E439" s="53">
        <f t="shared" si="67"/>
        <v>0</v>
      </c>
      <c r="F439" s="964"/>
      <c r="G439" s="53">
        <f t="shared" si="68"/>
        <v>1</v>
      </c>
      <c r="H439" s="964"/>
      <c r="I439" s="53">
        <f t="shared" si="69"/>
        <v>1</v>
      </c>
      <c r="J439" s="964"/>
      <c r="K439" s="53">
        <f t="shared" si="70"/>
        <v>1</v>
      </c>
      <c r="L439" s="964"/>
      <c r="M439" s="53">
        <f t="shared" si="71"/>
        <v>1</v>
      </c>
      <c r="N439" s="964"/>
      <c r="O439" s="53">
        <f t="shared" si="72"/>
        <v>1</v>
      </c>
      <c r="P439" s="964"/>
      <c r="Q439" s="53">
        <f t="shared" si="73"/>
        <v>1</v>
      </c>
      <c r="R439" s="491">
        <f t="shared" si="74"/>
        <v>0</v>
      </c>
      <c r="S439" s="800">
        <f t="shared" si="65"/>
        <v>0</v>
      </c>
    </row>
    <row r="440" spans="1:19">
      <c r="A440" s="966"/>
      <c r="B440" s="136"/>
      <c r="C440" s="53">
        <f t="shared" si="66"/>
        <v>1</v>
      </c>
      <c r="D440" s="964"/>
      <c r="E440" s="53">
        <f t="shared" si="67"/>
        <v>0</v>
      </c>
      <c r="F440" s="964"/>
      <c r="G440" s="53">
        <f t="shared" si="68"/>
        <v>1</v>
      </c>
      <c r="H440" s="964"/>
      <c r="I440" s="53">
        <f t="shared" si="69"/>
        <v>1</v>
      </c>
      <c r="J440" s="964"/>
      <c r="K440" s="53">
        <f t="shared" si="70"/>
        <v>1</v>
      </c>
      <c r="L440" s="964"/>
      <c r="M440" s="53">
        <f t="shared" si="71"/>
        <v>1</v>
      </c>
      <c r="N440" s="964"/>
      <c r="O440" s="53">
        <f t="shared" si="72"/>
        <v>1</v>
      </c>
      <c r="P440" s="964"/>
      <c r="Q440" s="53">
        <f t="shared" si="73"/>
        <v>1</v>
      </c>
      <c r="R440" s="491">
        <f t="shared" si="74"/>
        <v>0</v>
      </c>
      <c r="S440" s="800">
        <f t="shared" si="65"/>
        <v>0</v>
      </c>
    </row>
    <row r="441" spans="1:19">
      <c r="A441" s="966"/>
      <c r="B441" s="136"/>
      <c r="C441" s="53">
        <f t="shared" si="66"/>
        <v>1</v>
      </c>
      <c r="D441" s="964"/>
      <c r="E441" s="53">
        <f t="shared" si="67"/>
        <v>0</v>
      </c>
      <c r="F441" s="964"/>
      <c r="G441" s="53">
        <f t="shared" si="68"/>
        <v>1</v>
      </c>
      <c r="H441" s="964"/>
      <c r="I441" s="53">
        <f t="shared" si="69"/>
        <v>1</v>
      </c>
      <c r="J441" s="964"/>
      <c r="K441" s="53">
        <f t="shared" si="70"/>
        <v>1</v>
      </c>
      <c r="L441" s="964"/>
      <c r="M441" s="53">
        <f t="shared" si="71"/>
        <v>1</v>
      </c>
      <c r="N441" s="964"/>
      <c r="O441" s="53">
        <f t="shared" si="72"/>
        <v>1</v>
      </c>
      <c r="P441" s="964"/>
      <c r="Q441" s="53">
        <f t="shared" si="73"/>
        <v>1</v>
      </c>
      <c r="R441" s="491">
        <f t="shared" si="74"/>
        <v>0</v>
      </c>
      <c r="S441" s="800">
        <f t="shared" si="65"/>
        <v>0</v>
      </c>
    </row>
    <row r="442" spans="1:19">
      <c r="A442" s="966"/>
      <c r="B442" s="136"/>
      <c r="C442" s="53">
        <f t="shared" si="66"/>
        <v>1</v>
      </c>
      <c r="D442" s="964"/>
      <c r="E442" s="53">
        <f t="shared" si="67"/>
        <v>0</v>
      </c>
      <c r="F442" s="964"/>
      <c r="G442" s="53">
        <f t="shared" si="68"/>
        <v>1</v>
      </c>
      <c r="H442" s="964"/>
      <c r="I442" s="53">
        <f t="shared" si="69"/>
        <v>1</v>
      </c>
      <c r="J442" s="964"/>
      <c r="K442" s="53">
        <f t="shared" si="70"/>
        <v>1</v>
      </c>
      <c r="L442" s="964"/>
      <c r="M442" s="53">
        <f t="shared" si="71"/>
        <v>1</v>
      </c>
      <c r="N442" s="964"/>
      <c r="O442" s="53">
        <f t="shared" si="72"/>
        <v>1</v>
      </c>
      <c r="P442" s="964"/>
      <c r="Q442" s="53">
        <f t="shared" si="73"/>
        <v>1</v>
      </c>
      <c r="R442" s="491">
        <f t="shared" si="74"/>
        <v>0</v>
      </c>
      <c r="S442" s="800">
        <f t="shared" si="65"/>
        <v>0</v>
      </c>
    </row>
    <row r="443" spans="1:19">
      <c r="A443" s="966"/>
      <c r="B443" s="136"/>
      <c r="C443" s="53">
        <f t="shared" si="66"/>
        <v>1</v>
      </c>
      <c r="D443" s="964"/>
      <c r="E443" s="53">
        <f t="shared" si="67"/>
        <v>0</v>
      </c>
      <c r="F443" s="964"/>
      <c r="G443" s="53">
        <f t="shared" si="68"/>
        <v>1</v>
      </c>
      <c r="H443" s="964"/>
      <c r="I443" s="53">
        <f t="shared" si="69"/>
        <v>1</v>
      </c>
      <c r="J443" s="964"/>
      <c r="K443" s="53">
        <f t="shared" si="70"/>
        <v>1</v>
      </c>
      <c r="L443" s="964"/>
      <c r="M443" s="53">
        <f t="shared" si="71"/>
        <v>1</v>
      </c>
      <c r="N443" s="964"/>
      <c r="O443" s="53">
        <f t="shared" si="72"/>
        <v>1</v>
      </c>
      <c r="P443" s="964"/>
      <c r="Q443" s="53">
        <f t="shared" si="73"/>
        <v>1</v>
      </c>
      <c r="R443" s="491">
        <f t="shared" si="74"/>
        <v>0</v>
      </c>
      <c r="S443" s="800">
        <f t="shared" si="65"/>
        <v>0</v>
      </c>
    </row>
    <row r="444" spans="1:19">
      <c r="A444" s="966"/>
      <c r="B444" s="136"/>
      <c r="C444" s="53">
        <f t="shared" si="66"/>
        <v>1</v>
      </c>
      <c r="D444" s="964"/>
      <c r="E444" s="53">
        <f t="shared" si="67"/>
        <v>0</v>
      </c>
      <c r="F444" s="964"/>
      <c r="G444" s="53">
        <f t="shared" si="68"/>
        <v>1</v>
      </c>
      <c r="H444" s="964"/>
      <c r="I444" s="53">
        <f t="shared" si="69"/>
        <v>1</v>
      </c>
      <c r="J444" s="964"/>
      <c r="K444" s="53">
        <f t="shared" si="70"/>
        <v>1</v>
      </c>
      <c r="L444" s="964"/>
      <c r="M444" s="53">
        <f t="shared" si="71"/>
        <v>1</v>
      </c>
      <c r="N444" s="964"/>
      <c r="O444" s="53">
        <f t="shared" si="72"/>
        <v>1</v>
      </c>
      <c r="P444" s="964"/>
      <c r="Q444" s="53">
        <f t="shared" si="73"/>
        <v>1</v>
      </c>
      <c r="R444" s="491">
        <f t="shared" si="74"/>
        <v>0</v>
      </c>
      <c r="S444" s="800">
        <f t="shared" si="65"/>
        <v>0</v>
      </c>
    </row>
    <row r="445" spans="1:19">
      <c r="A445" s="966"/>
      <c r="B445" s="136"/>
      <c r="C445" s="53">
        <f t="shared" si="66"/>
        <v>1</v>
      </c>
      <c r="D445" s="964"/>
      <c r="E445" s="53">
        <f t="shared" si="67"/>
        <v>0</v>
      </c>
      <c r="F445" s="964"/>
      <c r="G445" s="53">
        <f t="shared" si="68"/>
        <v>1</v>
      </c>
      <c r="H445" s="964"/>
      <c r="I445" s="53">
        <f t="shared" si="69"/>
        <v>1</v>
      </c>
      <c r="J445" s="964"/>
      <c r="K445" s="53">
        <f t="shared" si="70"/>
        <v>1</v>
      </c>
      <c r="L445" s="964"/>
      <c r="M445" s="53">
        <f t="shared" si="71"/>
        <v>1</v>
      </c>
      <c r="N445" s="964"/>
      <c r="O445" s="53">
        <f t="shared" si="72"/>
        <v>1</v>
      </c>
      <c r="P445" s="964"/>
      <c r="Q445" s="53">
        <f t="shared" si="73"/>
        <v>1</v>
      </c>
      <c r="R445" s="491">
        <f t="shared" si="74"/>
        <v>0</v>
      </c>
      <c r="S445" s="800">
        <f t="shared" si="65"/>
        <v>0</v>
      </c>
    </row>
    <row r="446" spans="1:19">
      <c r="A446" s="966"/>
      <c r="B446" s="136"/>
      <c r="C446" s="53">
        <f t="shared" si="66"/>
        <v>1</v>
      </c>
      <c r="D446" s="964"/>
      <c r="E446" s="53">
        <f t="shared" si="67"/>
        <v>0</v>
      </c>
      <c r="F446" s="964"/>
      <c r="G446" s="53">
        <f t="shared" si="68"/>
        <v>1</v>
      </c>
      <c r="H446" s="964"/>
      <c r="I446" s="53">
        <f t="shared" si="69"/>
        <v>1</v>
      </c>
      <c r="J446" s="964"/>
      <c r="K446" s="53">
        <f t="shared" si="70"/>
        <v>1</v>
      </c>
      <c r="L446" s="964"/>
      <c r="M446" s="53">
        <f t="shared" si="71"/>
        <v>1</v>
      </c>
      <c r="N446" s="964"/>
      <c r="O446" s="53">
        <f t="shared" si="72"/>
        <v>1</v>
      </c>
      <c r="P446" s="964"/>
      <c r="Q446" s="53">
        <f t="shared" si="73"/>
        <v>1</v>
      </c>
      <c r="R446" s="491">
        <f t="shared" si="74"/>
        <v>0</v>
      </c>
      <c r="S446" s="800">
        <f t="shared" si="65"/>
        <v>0</v>
      </c>
    </row>
    <row r="447" spans="1:19">
      <c r="A447" s="966"/>
      <c r="B447" s="136"/>
      <c r="C447" s="53">
        <f t="shared" si="66"/>
        <v>1</v>
      </c>
      <c r="D447" s="964"/>
      <c r="E447" s="53">
        <f t="shared" si="67"/>
        <v>0</v>
      </c>
      <c r="F447" s="964"/>
      <c r="G447" s="53">
        <f t="shared" si="68"/>
        <v>1</v>
      </c>
      <c r="H447" s="964"/>
      <c r="I447" s="53">
        <f t="shared" si="69"/>
        <v>1</v>
      </c>
      <c r="J447" s="964"/>
      <c r="K447" s="53">
        <f t="shared" si="70"/>
        <v>1</v>
      </c>
      <c r="L447" s="964"/>
      <c r="M447" s="53">
        <f t="shared" si="71"/>
        <v>1</v>
      </c>
      <c r="N447" s="964"/>
      <c r="O447" s="53">
        <f t="shared" si="72"/>
        <v>1</v>
      </c>
      <c r="P447" s="964"/>
      <c r="Q447" s="53">
        <f t="shared" si="73"/>
        <v>1</v>
      </c>
      <c r="R447" s="491">
        <f t="shared" si="74"/>
        <v>0</v>
      </c>
      <c r="S447" s="800">
        <f t="shared" si="65"/>
        <v>0</v>
      </c>
    </row>
    <row r="448" spans="1:19">
      <c r="A448" s="966"/>
      <c r="B448" s="136"/>
      <c r="C448" s="53">
        <f t="shared" si="66"/>
        <v>1</v>
      </c>
      <c r="D448" s="964"/>
      <c r="E448" s="53">
        <f t="shared" si="67"/>
        <v>0</v>
      </c>
      <c r="F448" s="964"/>
      <c r="G448" s="53">
        <f t="shared" si="68"/>
        <v>1</v>
      </c>
      <c r="H448" s="964"/>
      <c r="I448" s="53">
        <f t="shared" si="69"/>
        <v>1</v>
      </c>
      <c r="J448" s="964"/>
      <c r="K448" s="53">
        <f t="shared" si="70"/>
        <v>1</v>
      </c>
      <c r="L448" s="964"/>
      <c r="M448" s="53">
        <f t="shared" si="71"/>
        <v>1</v>
      </c>
      <c r="N448" s="964"/>
      <c r="O448" s="53">
        <f t="shared" si="72"/>
        <v>1</v>
      </c>
      <c r="P448" s="964"/>
      <c r="Q448" s="53">
        <f t="shared" si="73"/>
        <v>1</v>
      </c>
      <c r="R448" s="491">
        <f t="shared" si="74"/>
        <v>0</v>
      </c>
      <c r="S448" s="800">
        <f t="shared" si="65"/>
        <v>0</v>
      </c>
    </row>
    <row r="449" spans="1:19">
      <c r="A449" s="966"/>
      <c r="B449" s="136"/>
      <c r="C449" s="53">
        <f t="shared" si="66"/>
        <v>1</v>
      </c>
      <c r="D449" s="964"/>
      <c r="E449" s="53">
        <f t="shared" si="67"/>
        <v>0</v>
      </c>
      <c r="F449" s="964"/>
      <c r="G449" s="53">
        <f t="shared" si="68"/>
        <v>1</v>
      </c>
      <c r="H449" s="964"/>
      <c r="I449" s="53">
        <f t="shared" si="69"/>
        <v>1</v>
      </c>
      <c r="J449" s="964"/>
      <c r="K449" s="53">
        <f t="shared" si="70"/>
        <v>1</v>
      </c>
      <c r="L449" s="964"/>
      <c r="M449" s="53">
        <f t="shared" si="71"/>
        <v>1</v>
      </c>
      <c r="N449" s="964"/>
      <c r="O449" s="53">
        <f t="shared" si="72"/>
        <v>1</v>
      </c>
      <c r="P449" s="964"/>
      <c r="Q449" s="53">
        <f t="shared" si="73"/>
        <v>1</v>
      </c>
      <c r="R449" s="491">
        <f t="shared" si="74"/>
        <v>0</v>
      </c>
      <c r="S449" s="800">
        <f t="shared" si="65"/>
        <v>0</v>
      </c>
    </row>
    <row r="450" spans="1:19">
      <c r="A450" s="966"/>
      <c r="B450" s="136"/>
      <c r="C450" s="53">
        <f t="shared" si="66"/>
        <v>1</v>
      </c>
      <c r="D450" s="964"/>
      <c r="E450" s="53">
        <f t="shared" si="67"/>
        <v>0</v>
      </c>
      <c r="F450" s="964"/>
      <c r="G450" s="53">
        <f t="shared" si="68"/>
        <v>1</v>
      </c>
      <c r="H450" s="964"/>
      <c r="I450" s="53">
        <f t="shared" si="69"/>
        <v>1</v>
      </c>
      <c r="J450" s="964"/>
      <c r="K450" s="53">
        <f t="shared" si="70"/>
        <v>1</v>
      </c>
      <c r="L450" s="964"/>
      <c r="M450" s="53">
        <f t="shared" si="71"/>
        <v>1</v>
      </c>
      <c r="N450" s="964"/>
      <c r="O450" s="53">
        <f t="shared" si="72"/>
        <v>1</v>
      </c>
      <c r="P450" s="964"/>
      <c r="Q450" s="53">
        <f t="shared" si="73"/>
        <v>1</v>
      </c>
      <c r="R450" s="491">
        <f t="shared" si="74"/>
        <v>0</v>
      </c>
      <c r="S450" s="800">
        <f t="shared" si="65"/>
        <v>0</v>
      </c>
    </row>
    <row r="451" spans="1:19">
      <c r="A451" s="966"/>
      <c r="B451" s="136"/>
      <c r="C451" s="53">
        <f t="shared" si="66"/>
        <v>1</v>
      </c>
      <c r="D451" s="964"/>
      <c r="E451" s="53">
        <f t="shared" si="67"/>
        <v>0</v>
      </c>
      <c r="F451" s="964"/>
      <c r="G451" s="53">
        <f t="shared" si="68"/>
        <v>1</v>
      </c>
      <c r="H451" s="964"/>
      <c r="I451" s="53">
        <f t="shared" si="69"/>
        <v>1</v>
      </c>
      <c r="J451" s="964"/>
      <c r="K451" s="53">
        <f t="shared" si="70"/>
        <v>1</v>
      </c>
      <c r="L451" s="964"/>
      <c r="M451" s="53">
        <f t="shared" si="71"/>
        <v>1</v>
      </c>
      <c r="N451" s="964"/>
      <c r="O451" s="53">
        <f t="shared" si="72"/>
        <v>1</v>
      </c>
      <c r="P451" s="964"/>
      <c r="Q451" s="53">
        <f t="shared" si="73"/>
        <v>1</v>
      </c>
      <c r="R451" s="491">
        <f t="shared" si="74"/>
        <v>0</v>
      </c>
      <c r="S451" s="800">
        <f t="shared" si="65"/>
        <v>0</v>
      </c>
    </row>
    <row r="452" spans="1:19">
      <c r="A452" s="966"/>
      <c r="B452" s="136"/>
      <c r="C452" s="53">
        <f t="shared" si="66"/>
        <v>1</v>
      </c>
      <c r="D452" s="964"/>
      <c r="E452" s="53">
        <f t="shared" si="67"/>
        <v>0</v>
      </c>
      <c r="F452" s="964"/>
      <c r="G452" s="53">
        <f t="shared" si="68"/>
        <v>1</v>
      </c>
      <c r="H452" s="964"/>
      <c r="I452" s="53">
        <f t="shared" si="69"/>
        <v>1</v>
      </c>
      <c r="J452" s="964"/>
      <c r="K452" s="53">
        <f t="shared" si="70"/>
        <v>1</v>
      </c>
      <c r="L452" s="964"/>
      <c r="M452" s="53">
        <f t="shared" si="71"/>
        <v>1</v>
      </c>
      <c r="N452" s="964"/>
      <c r="O452" s="53">
        <f t="shared" si="72"/>
        <v>1</v>
      </c>
      <c r="P452" s="964"/>
      <c r="Q452" s="53">
        <f t="shared" si="73"/>
        <v>1</v>
      </c>
      <c r="R452" s="491">
        <f t="shared" si="74"/>
        <v>0</v>
      </c>
      <c r="S452" s="800">
        <f t="shared" si="65"/>
        <v>0</v>
      </c>
    </row>
    <row r="453" spans="1:19">
      <c r="A453" s="966"/>
      <c r="B453" s="136"/>
      <c r="C453" s="53">
        <f t="shared" si="66"/>
        <v>1</v>
      </c>
      <c r="D453" s="964"/>
      <c r="E453" s="53">
        <f t="shared" si="67"/>
        <v>0</v>
      </c>
      <c r="F453" s="964"/>
      <c r="G453" s="53">
        <f t="shared" si="68"/>
        <v>1</v>
      </c>
      <c r="H453" s="964"/>
      <c r="I453" s="53">
        <f t="shared" si="69"/>
        <v>1</v>
      </c>
      <c r="J453" s="964"/>
      <c r="K453" s="53">
        <f t="shared" si="70"/>
        <v>1</v>
      </c>
      <c r="L453" s="964"/>
      <c r="M453" s="53">
        <f t="shared" si="71"/>
        <v>1</v>
      </c>
      <c r="N453" s="964"/>
      <c r="O453" s="53">
        <f t="shared" si="72"/>
        <v>1</v>
      </c>
      <c r="P453" s="964"/>
      <c r="Q453" s="53">
        <f t="shared" si="73"/>
        <v>1</v>
      </c>
      <c r="R453" s="491">
        <f t="shared" si="74"/>
        <v>0</v>
      </c>
      <c r="S453" s="800">
        <f t="shared" si="65"/>
        <v>0</v>
      </c>
    </row>
    <row r="454" spans="1:19">
      <c r="A454" s="966"/>
      <c r="B454" s="136"/>
      <c r="C454" s="53">
        <f t="shared" si="66"/>
        <v>1</v>
      </c>
      <c r="D454" s="964"/>
      <c r="E454" s="53">
        <f t="shared" si="67"/>
        <v>0</v>
      </c>
      <c r="F454" s="964"/>
      <c r="G454" s="53">
        <f t="shared" si="68"/>
        <v>1</v>
      </c>
      <c r="H454" s="964"/>
      <c r="I454" s="53">
        <f t="shared" si="69"/>
        <v>1</v>
      </c>
      <c r="J454" s="964"/>
      <c r="K454" s="53">
        <f t="shared" si="70"/>
        <v>1</v>
      </c>
      <c r="L454" s="964"/>
      <c r="M454" s="53">
        <f t="shared" si="71"/>
        <v>1</v>
      </c>
      <c r="N454" s="964"/>
      <c r="O454" s="53">
        <f t="shared" si="72"/>
        <v>1</v>
      </c>
      <c r="P454" s="964"/>
      <c r="Q454" s="53">
        <f t="shared" si="73"/>
        <v>1</v>
      </c>
      <c r="R454" s="491">
        <f t="shared" si="74"/>
        <v>0</v>
      </c>
      <c r="S454" s="800">
        <f t="shared" si="65"/>
        <v>0</v>
      </c>
    </row>
    <row r="455" spans="1:19">
      <c r="A455" s="966"/>
      <c r="B455" s="136"/>
      <c r="C455" s="53">
        <f t="shared" si="66"/>
        <v>1</v>
      </c>
      <c r="D455" s="964"/>
      <c r="E455" s="53">
        <f t="shared" si="67"/>
        <v>0</v>
      </c>
      <c r="F455" s="964"/>
      <c r="G455" s="53">
        <f t="shared" si="68"/>
        <v>1</v>
      </c>
      <c r="H455" s="964"/>
      <c r="I455" s="53">
        <f t="shared" si="69"/>
        <v>1</v>
      </c>
      <c r="J455" s="964"/>
      <c r="K455" s="53">
        <f t="shared" si="70"/>
        <v>1</v>
      </c>
      <c r="L455" s="964"/>
      <c r="M455" s="53">
        <f t="shared" si="71"/>
        <v>1</v>
      </c>
      <c r="N455" s="964"/>
      <c r="O455" s="53">
        <f t="shared" si="72"/>
        <v>1</v>
      </c>
      <c r="P455" s="964"/>
      <c r="Q455" s="53">
        <f t="shared" si="73"/>
        <v>1</v>
      </c>
      <c r="R455" s="491">
        <f t="shared" si="74"/>
        <v>0</v>
      </c>
      <c r="S455" s="800">
        <f t="shared" si="65"/>
        <v>0</v>
      </c>
    </row>
    <row r="456" spans="1:19">
      <c r="A456" s="966"/>
      <c r="B456" s="136"/>
      <c r="C456" s="53">
        <f t="shared" si="66"/>
        <v>1</v>
      </c>
      <c r="D456" s="964"/>
      <c r="E456" s="53">
        <f t="shared" si="67"/>
        <v>0</v>
      </c>
      <c r="F456" s="964"/>
      <c r="G456" s="53">
        <f t="shared" si="68"/>
        <v>1</v>
      </c>
      <c r="H456" s="964"/>
      <c r="I456" s="53">
        <f t="shared" si="69"/>
        <v>1</v>
      </c>
      <c r="J456" s="964"/>
      <c r="K456" s="53">
        <f t="shared" si="70"/>
        <v>1</v>
      </c>
      <c r="L456" s="964"/>
      <c r="M456" s="53">
        <f t="shared" si="71"/>
        <v>1</v>
      </c>
      <c r="N456" s="964"/>
      <c r="O456" s="53">
        <f t="shared" si="72"/>
        <v>1</v>
      </c>
      <c r="P456" s="964"/>
      <c r="Q456" s="53">
        <f t="shared" si="73"/>
        <v>1</v>
      </c>
      <c r="R456" s="491">
        <f t="shared" si="74"/>
        <v>0</v>
      </c>
      <c r="S456" s="800">
        <f t="shared" si="65"/>
        <v>0</v>
      </c>
    </row>
    <row r="457" spans="1:19">
      <c r="A457" s="966"/>
      <c r="B457" s="136"/>
      <c r="C457" s="53">
        <f t="shared" si="66"/>
        <v>1</v>
      </c>
      <c r="D457" s="964"/>
      <c r="E457" s="53">
        <f t="shared" si="67"/>
        <v>0</v>
      </c>
      <c r="F457" s="964"/>
      <c r="G457" s="53">
        <f t="shared" si="68"/>
        <v>1</v>
      </c>
      <c r="H457" s="964"/>
      <c r="I457" s="53">
        <f t="shared" si="69"/>
        <v>1</v>
      </c>
      <c r="J457" s="964"/>
      <c r="K457" s="53">
        <f t="shared" si="70"/>
        <v>1</v>
      </c>
      <c r="L457" s="964"/>
      <c r="M457" s="53">
        <f t="shared" si="71"/>
        <v>1</v>
      </c>
      <c r="N457" s="964"/>
      <c r="O457" s="53">
        <f t="shared" si="72"/>
        <v>1</v>
      </c>
      <c r="P457" s="964"/>
      <c r="Q457" s="53">
        <f t="shared" si="73"/>
        <v>1</v>
      </c>
      <c r="R457" s="491">
        <f t="shared" si="74"/>
        <v>0</v>
      </c>
      <c r="S457" s="800">
        <f t="shared" si="65"/>
        <v>0</v>
      </c>
    </row>
    <row r="458" spans="1:19">
      <c r="A458" s="966"/>
      <c r="B458" s="136"/>
      <c r="C458" s="53">
        <f t="shared" si="66"/>
        <v>1</v>
      </c>
      <c r="D458" s="964"/>
      <c r="E458" s="53">
        <f t="shared" si="67"/>
        <v>0</v>
      </c>
      <c r="F458" s="964"/>
      <c r="G458" s="53">
        <f t="shared" si="68"/>
        <v>1</v>
      </c>
      <c r="H458" s="964"/>
      <c r="I458" s="53">
        <f t="shared" si="69"/>
        <v>1</v>
      </c>
      <c r="J458" s="964"/>
      <c r="K458" s="53">
        <f t="shared" si="70"/>
        <v>1</v>
      </c>
      <c r="L458" s="964"/>
      <c r="M458" s="53">
        <f t="shared" si="71"/>
        <v>1</v>
      </c>
      <c r="N458" s="964"/>
      <c r="O458" s="53">
        <f t="shared" si="72"/>
        <v>1</v>
      </c>
      <c r="P458" s="964"/>
      <c r="Q458" s="53">
        <f t="shared" si="73"/>
        <v>1</v>
      </c>
      <c r="R458" s="491">
        <f t="shared" si="74"/>
        <v>0</v>
      </c>
      <c r="S458" s="800">
        <f t="shared" si="65"/>
        <v>0</v>
      </c>
    </row>
    <row r="459" spans="1:19">
      <c r="A459" s="966"/>
      <c r="B459" s="136"/>
      <c r="C459" s="53">
        <f t="shared" si="66"/>
        <v>1</v>
      </c>
      <c r="D459" s="964"/>
      <c r="E459" s="53">
        <f t="shared" si="67"/>
        <v>0</v>
      </c>
      <c r="F459" s="964"/>
      <c r="G459" s="53">
        <f t="shared" si="68"/>
        <v>1</v>
      </c>
      <c r="H459" s="964"/>
      <c r="I459" s="53">
        <f t="shared" si="69"/>
        <v>1</v>
      </c>
      <c r="J459" s="964"/>
      <c r="K459" s="53">
        <f t="shared" si="70"/>
        <v>1</v>
      </c>
      <c r="L459" s="964"/>
      <c r="M459" s="53">
        <f t="shared" si="71"/>
        <v>1</v>
      </c>
      <c r="N459" s="964"/>
      <c r="O459" s="53">
        <f t="shared" si="72"/>
        <v>1</v>
      </c>
      <c r="P459" s="964"/>
      <c r="Q459" s="53">
        <f t="shared" si="73"/>
        <v>1</v>
      </c>
      <c r="R459" s="491">
        <f t="shared" si="74"/>
        <v>0</v>
      </c>
      <c r="S459" s="800">
        <f t="shared" si="65"/>
        <v>0</v>
      </c>
    </row>
    <row r="460" spans="1:19">
      <c r="A460" s="966"/>
      <c r="B460" s="136"/>
      <c r="C460" s="53">
        <f t="shared" si="66"/>
        <v>1</v>
      </c>
      <c r="D460" s="964"/>
      <c r="E460" s="53">
        <f t="shared" si="67"/>
        <v>0</v>
      </c>
      <c r="F460" s="964"/>
      <c r="G460" s="53">
        <f t="shared" si="68"/>
        <v>1</v>
      </c>
      <c r="H460" s="964"/>
      <c r="I460" s="53">
        <f t="shared" si="69"/>
        <v>1</v>
      </c>
      <c r="J460" s="964"/>
      <c r="K460" s="53">
        <f t="shared" si="70"/>
        <v>1</v>
      </c>
      <c r="L460" s="964"/>
      <c r="M460" s="53">
        <f t="shared" si="71"/>
        <v>1</v>
      </c>
      <c r="N460" s="964"/>
      <c r="O460" s="53">
        <f t="shared" si="72"/>
        <v>1</v>
      </c>
      <c r="P460" s="964"/>
      <c r="Q460" s="53">
        <f t="shared" si="73"/>
        <v>1</v>
      </c>
      <c r="R460" s="491">
        <f t="shared" si="74"/>
        <v>0</v>
      </c>
      <c r="S460" s="800">
        <f t="shared" si="65"/>
        <v>0</v>
      </c>
    </row>
    <row r="461" spans="1:19">
      <c r="A461" s="966"/>
      <c r="B461" s="136"/>
      <c r="C461" s="53">
        <f t="shared" si="66"/>
        <v>1</v>
      </c>
      <c r="D461" s="964"/>
      <c r="E461" s="53">
        <f t="shared" si="67"/>
        <v>0</v>
      </c>
      <c r="F461" s="964"/>
      <c r="G461" s="53">
        <f t="shared" si="68"/>
        <v>1</v>
      </c>
      <c r="H461" s="964"/>
      <c r="I461" s="53">
        <f t="shared" si="69"/>
        <v>1</v>
      </c>
      <c r="J461" s="964"/>
      <c r="K461" s="53">
        <f t="shared" si="70"/>
        <v>1</v>
      </c>
      <c r="L461" s="964"/>
      <c r="M461" s="53">
        <f t="shared" si="71"/>
        <v>1</v>
      </c>
      <c r="N461" s="964"/>
      <c r="O461" s="53">
        <f t="shared" si="72"/>
        <v>1</v>
      </c>
      <c r="P461" s="964"/>
      <c r="Q461" s="53">
        <f t="shared" si="73"/>
        <v>1</v>
      </c>
      <c r="R461" s="491">
        <f t="shared" si="74"/>
        <v>0</v>
      </c>
      <c r="S461" s="800">
        <f t="shared" si="65"/>
        <v>0</v>
      </c>
    </row>
    <row r="462" spans="1:19">
      <c r="A462" s="966"/>
      <c r="B462" s="136"/>
      <c r="C462" s="53">
        <f t="shared" si="66"/>
        <v>1</v>
      </c>
      <c r="D462" s="964"/>
      <c r="E462" s="53">
        <f t="shared" si="67"/>
        <v>0</v>
      </c>
      <c r="F462" s="964"/>
      <c r="G462" s="53">
        <f t="shared" si="68"/>
        <v>1</v>
      </c>
      <c r="H462" s="964"/>
      <c r="I462" s="53">
        <f t="shared" si="69"/>
        <v>1</v>
      </c>
      <c r="J462" s="964"/>
      <c r="K462" s="53">
        <f t="shared" si="70"/>
        <v>1</v>
      </c>
      <c r="L462" s="964"/>
      <c r="M462" s="53">
        <f t="shared" si="71"/>
        <v>1</v>
      </c>
      <c r="N462" s="964"/>
      <c r="O462" s="53">
        <f t="shared" si="72"/>
        <v>1</v>
      </c>
      <c r="P462" s="964"/>
      <c r="Q462" s="53">
        <f t="shared" si="73"/>
        <v>1</v>
      </c>
      <c r="R462" s="491">
        <f t="shared" si="74"/>
        <v>0</v>
      </c>
      <c r="S462" s="800">
        <f t="shared" si="65"/>
        <v>0</v>
      </c>
    </row>
    <row r="463" spans="1:19">
      <c r="A463" s="966"/>
      <c r="B463" s="136"/>
      <c r="C463" s="53">
        <f t="shared" si="66"/>
        <v>1</v>
      </c>
      <c r="D463" s="964"/>
      <c r="E463" s="53">
        <f t="shared" si="67"/>
        <v>0</v>
      </c>
      <c r="F463" s="964"/>
      <c r="G463" s="53">
        <f t="shared" si="68"/>
        <v>1</v>
      </c>
      <c r="H463" s="964"/>
      <c r="I463" s="53">
        <f t="shared" si="69"/>
        <v>1</v>
      </c>
      <c r="J463" s="964"/>
      <c r="K463" s="53">
        <f t="shared" si="70"/>
        <v>1</v>
      </c>
      <c r="L463" s="964"/>
      <c r="M463" s="53">
        <f t="shared" si="71"/>
        <v>1</v>
      </c>
      <c r="N463" s="964"/>
      <c r="O463" s="53">
        <f t="shared" si="72"/>
        <v>1</v>
      </c>
      <c r="P463" s="964"/>
      <c r="Q463" s="53">
        <f t="shared" si="73"/>
        <v>1</v>
      </c>
      <c r="R463" s="491">
        <f t="shared" si="74"/>
        <v>0</v>
      </c>
      <c r="S463" s="800">
        <f t="shared" si="65"/>
        <v>0</v>
      </c>
    </row>
    <row r="464" spans="1:19">
      <c r="A464" s="966"/>
      <c r="B464" s="136"/>
      <c r="C464" s="53">
        <f t="shared" si="66"/>
        <v>1</v>
      </c>
      <c r="D464" s="964"/>
      <c r="E464" s="53">
        <f t="shared" si="67"/>
        <v>0</v>
      </c>
      <c r="F464" s="964"/>
      <c r="G464" s="53">
        <f t="shared" si="68"/>
        <v>1</v>
      </c>
      <c r="H464" s="964"/>
      <c r="I464" s="53">
        <f t="shared" si="69"/>
        <v>1</v>
      </c>
      <c r="J464" s="964"/>
      <c r="K464" s="53">
        <f t="shared" si="70"/>
        <v>1</v>
      </c>
      <c r="L464" s="964"/>
      <c r="M464" s="53">
        <f t="shared" si="71"/>
        <v>1</v>
      </c>
      <c r="N464" s="964"/>
      <c r="O464" s="53">
        <f t="shared" si="72"/>
        <v>1</v>
      </c>
      <c r="P464" s="964"/>
      <c r="Q464" s="53">
        <f t="shared" si="73"/>
        <v>1</v>
      </c>
      <c r="R464" s="491">
        <f t="shared" si="74"/>
        <v>0</v>
      </c>
      <c r="S464" s="800">
        <f t="shared" si="65"/>
        <v>0</v>
      </c>
    </row>
    <row r="465" spans="1:19">
      <c r="A465" s="966"/>
      <c r="B465" s="136"/>
      <c r="C465" s="53">
        <f t="shared" si="66"/>
        <v>1</v>
      </c>
      <c r="D465" s="964"/>
      <c r="E465" s="53">
        <f t="shared" si="67"/>
        <v>0</v>
      </c>
      <c r="F465" s="964"/>
      <c r="G465" s="53">
        <f t="shared" si="68"/>
        <v>1</v>
      </c>
      <c r="H465" s="964"/>
      <c r="I465" s="53">
        <f t="shared" si="69"/>
        <v>1</v>
      </c>
      <c r="J465" s="964"/>
      <c r="K465" s="53">
        <f t="shared" si="70"/>
        <v>1</v>
      </c>
      <c r="L465" s="964"/>
      <c r="M465" s="53">
        <f t="shared" si="71"/>
        <v>1</v>
      </c>
      <c r="N465" s="964"/>
      <c r="O465" s="53">
        <f t="shared" si="72"/>
        <v>1</v>
      </c>
      <c r="P465" s="964"/>
      <c r="Q465" s="53">
        <f t="shared" si="73"/>
        <v>1</v>
      </c>
      <c r="R465" s="491">
        <f t="shared" si="74"/>
        <v>0</v>
      </c>
      <c r="S465" s="800">
        <f t="shared" si="65"/>
        <v>0</v>
      </c>
    </row>
    <row r="466" spans="1:19">
      <c r="A466" s="966"/>
      <c r="B466" s="136"/>
      <c r="C466" s="53">
        <f t="shared" si="66"/>
        <v>1</v>
      </c>
      <c r="D466" s="964"/>
      <c r="E466" s="53">
        <f t="shared" si="67"/>
        <v>0</v>
      </c>
      <c r="F466" s="964"/>
      <c r="G466" s="53">
        <f t="shared" si="68"/>
        <v>1</v>
      </c>
      <c r="H466" s="964"/>
      <c r="I466" s="53">
        <f t="shared" si="69"/>
        <v>1</v>
      </c>
      <c r="J466" s="964"/>
      <c r="K466" s="53">
        <f t="shared" si="70"/>
        <v>1</v>
      </c>
      <c r="L466" s="964"/>
      <c r="M466" s="53">
        <f t="shared" si="71"/>
        <v>1</v>
      </c>
      <c r="N466" s="964"/>
      <c r="O466" s="53">
        <f t="shared" si="72"/>
        <v>1</v>
      </c>
      <c r="P466" s="964"/>
      <c r="Q466" s="53">
        <f t="shared" si="73"/>
        <v>1</v>
      </c>
      <c r="R466" s="491">
        <f t="shared" si="74"/>
        <v>0</v>
      </c>
      <c r="S466" s="800">
        <f t="shared" si="65"/>
        <v>0</v>
      </c>
    </row>
    <row r="467" spans="1:19">
      <c r="A467" s="966"/>
      <c r="B467" s="136"/>
      <c r="C467" s="53">
        <f t="shared" si="66"/>
        <v>1</v>
      </c>
      <c r="D467" s="964"/>
      <c r="E467" s="53">
        <f t="shared" si="67"/>
        <v>0</v>
      </c>
      <c r="F467" s="964"/>
      <c r="G467" s="53">
        <f t="shared" si="68"/>
        <v>1</v>
      </c>
      <c r="H467" s="964"/>
      <c r="I467" s="53">
        <f t="shared" si="69"/>
        <v>1</v>
      </c>
      <c r="J467" s="964"/>
      <c r="K467" s="53">
        <f t="shared" si="70"/>
        <v>1</v>
      </c>
      <c r="L467" s="964"/>
      <c r="M467" s="53">
        <f t="shared" si="71"/>
        <v>1</v>
      </c>
      <c r="N467" s="964"/>
      <c r="O467" s="53">
        <f t="shared" si="72"/>
        <v>1</v>
      </c>
      <c r="P467" s="964"/>
      <c r="Q467" s="53">
        <f t="shared" si="73"/>
        <v>1</v>
      </c>
      <c r="R467" s="491">
        <f t="shared" si="74"/>
        <v>0</v>
      </c>
      <c r="S467" s="800">
        <f t="shared" si="65"/>
        <v>0</v>
      </c>
    </row>
    <row r="468" spans="1:19">
      <c r="A468" s="966"/>
      <c r="B468" s="136"/>
      <c r="C468" s="53">
        <f t="shared" si="66"/>
        <v>1</v>
      </c>
      <c r="D468" s="964"/>
      <c r="E468" s="53">
        <f t="shared" si="67"/>
        <v>0</v>
      </c>
      <c r="F468" s="964"/>
      <c r="G468" s="53">
        <f t="shared" si="68"/>
        <v>1</v>
      </c>
      <c r="H468" s="964"/>
      <c r="I468" s="53">
        <f t="shared" si="69"/>
        <v>1</v>
      </c>
      <c r="J468" s="964"/>
      <c r="K468" s="53">
        <f t="shared" si="70"/>
        <v>1</v>
      </c>
      <c r="L468" s="964"/>
      <c r="M468" s="53">
        <f t="shared" si="71"/>
        <v>1</v>
      </c>
      <c r="N468" s="964"/>
      <c r="O468" s="53">
        <f t="shared" si="72"/>
        <v>1</v>
      </c>
      <c r="P468" s="964"/>
      <c r="Q468" s="53">
        <f t="shared" si="73"/>
        <v>1</v>
      </c>
      <c r="R468" s="491">
        <f t="shared" si="74"/>
        <v>0</v>
      </c>
      <c r="S468" s="800">
        <f t="shared" si="65"/>
        <v>0</v>
      </c>
    </row>
    <row r="469" spans="1:19">
      <c r="A469" s="966"/>
      <c r="B469" s="136"/>
      <c r="C469" s="53">
        <f t="shared" si="66"/>
        <v>1</v>
      </c>
      <c r="D469" s="964"/>
      <c r="E469" s="53">
        <f t="shared" si="67"/>
        <v>0</v>
      </c>
      <c r="F469" s="964"/>
      <c r="G469" s="53">
        <f t="shared" si="68"/>
        <v>1</v>
      </c>
      <c r="H469" s="964"/>
      <c r="I469" s="53">
        <f t="shared" si="69"/>
        <v>1</v>
      </c>
      <c r="J469" s="964"/>
      <c r="K469" s="53">
        <f t="shared" si="70"/>
        <v>1</v>
      </c>
      <c r="L469" s="964"/>
      <c r="M469" s="53">
        <f t="shared" si="71"/>
        <v>1</v>
      </c>
      <c r="N469" s="964"/>
      <c r="O469" s="53">
        <f t="shared" si="72"/>
        <v>1</v>
      </c>
      <c r="P469" s="964"/>
      <c r="Q469" s="53">
        <f t="shared" si="73"/>
        <v>1</v>
      </c>
      <c r="R469" s="491">
        <f t="shared" si="74"/>
        <v>0</v>
      </c>
      <c r="S469" s="800">
        <f t="shared" si="65"/>
        <v>0</v>
      </c>
    </row>
    <row r="470" spans="1:19">
      <c r="A470" s="966"/>
      <c r="B470" s="136"/>
      <c r="C470" s="53">
        <f t="shared" si="66"/>
        <v>1</v>
      </c>
      <c r="D470" s="964"/>
      <c r="E470" s="53">
        <f t="shared" si="67"/>
        <v>0</v>
      </c>
      <c r="F470" s="964"/>
      <c r="G470" s="53">
        <f t="shared" si="68"/>
        <v>1</v>
      </c>
      <c r="H470" s="964"/>
      <c r="I470" s="53">
        <f t="shared" si="69"/>
        <v>1</v>
      </c>
      <c r="J470" s="964"/>
      <c r="K470" s="53">
        <f t="shared" si="70"/>
        <v>1</v>
      </c>
      <c r="L470" s="964"/>
      <c r="M470" s="53">
        <f t="shared" si="71"/>
        <v>1</v>
      </c>
      <c r="N470" s="964"/>
      <c r="O470" s="53">
        <f t="shared" si="72"/>
        <v>1</v>
      </c>
      <c r="P470" s="964"/>
      <c r="Q470" s="53">
        <f t="shared" si="73"/>
        <v>1</v>
      </c>
      <c r="R470" s="491">
        <f t="shared" si="74"/>
        <v>0</v>
      </c>
      <c r="S470" s="800">
        <f t="shared" si="65"/>
        <v>0</v>
      </c>
    </row>
    <row r="471" spans="1:19">
      <c r="A471" s="966"/>
      <c r="B471" s="136"/>
      <c r="C471" s="53">
        <f t="shared" si="66"/>
        <v>1</v>
      </c>
      <c r="D471" s="964"/>
      <c r="E471" s="53">
        <f t="shared" si="67"/>
        <v>0</v>
      </c>
      <c r="F471" s="964"/>
      <c r="G471" s="53">
        <f t="shared" si="68"/>
        <v>1</v>
      </c>
      <c r="H471" s="964"/>
      <c r="I471" s="53">
        <f t="shared" si="69"/>
        <v>1</v>
      </c>
      <c r="J471" s="964"/>
      <c r="K471" s="53">
        <f t="shared" si="70"/>
        <v>1</v>
      </c>
      <c r="L471" s="964"/>
      <c r="M471" s="53">
        <f t="shared" si="71"/>
        <v>1</v>
      </c>
      <c r="N471" s="964"/>
      <c r="O471" s="53">
        <f t="shared" si="72"/>
        <v>1</v>
      </c>
      <c r="P471" s="964"/>
      <c r="Q471" s="53">
        <f t="shared" si="73"/>
        <v>1</v>
      </c>
      <c r="R471" s="491">
        <f t="shared" si="74"/>
        <v>0</v>
      </c>
      <c r="S471" s="800">
        <f t="shared" si="65"/>
        <v>0</v>
      </c>
    </row>
    <row r="472" spans="1:19">
      <c r="A472" s="966"/>
      <c r="B472" s="136"/>
      <c r="C472" s="53">
        <f t="shared" si="66"/>
        <v>1</v>
      </c>
      <c r="D472" s="964"/>
      <c r="E472" s="53">
        <f t="shared" si="67"/>
        <v>0</v>
      </c>
      <c r="F472" s="964"/>
      <c r="G472" s="53">
        <f t="shared" si="68"/>
        <v>1</v>
      </c>
      <c r="H472" s="964"/>
      <c r="I472" s="53">
        <f t="shared" si="69"/>
        <v>1</v>
      </c>
      <c r="J472" s="964"/>
      <c r="K472" s="53">
        <f t="shared" si="70"/>
        <v>1</v>
      </c>
      <c r="L472" s="964"/>
      <c r="M472" s="53">
        <f t="shared" si="71"/>
        <v>1</v>
      </c>
      <c r="N472" s="964"/>
      <c r="O472" s="53">
        <f t="shared" si="72"/>
        <v>1</v>
      </c>
      <c r="P472" s="964"/>
      <c r="Q472" s="53">
        <f t="shared" si="73"/>
        <v>1</v>
      </c>
      <c r="R472" s="491">
        <f t="shared" si="74"/>
        <v>0</v>
      </c>
      <c r="S472" s="800">
        <f t="shared" ref="S472:S524" si="75">ROUND(R472*B472/10000,0)</f>
        <v>0</v>
      </c>
    </row>
    <row r="473" spans="1:19">
      <c r="A473" s="966"/>
      <c r="B473" s="136"/>
      <c r="C473" s="53">
        <f t="shared" si="66"/>
        <v>1</v>
      </c>
      <c r="D473" s="964"/>
      <c r="E473" s="53">
        <f t="shared" si="67"/>
        <v>0</v>
      </c>
      <c r="F473" s="964"/>
      <c r="G473" s="53">
        <f t="shared" si="68"/>
        <v>1</v>
      </c>
      <c r="H473" s="964"/>
      <c r="I473" s="53">
        <f t="shared" si="69"/>
        <v>1</v>
      </c>
      <c r="J473" s="964"/>
      <c r="K473" s="53">
        <f t="shared" si="70"/>
        <v>1</v>
      </c>
      <c r="L473" s="964"/>
      <c r="M473" s="53">
        <f t="shared" si="71"/>
        <v>1</v>
      </c>
      <c r="N473" s="964"/>
      <c r="O473" s="53">
        <f t="shared" si="72"/>
        <v>1</v>
      </c>
      <c r="P473" s="964"/>
      <c r="Q473" s="53">
        <f t="shared" si="73"/>
        <v>1</v>
      </c>
      <c r="R473" s="491">
        <f t="shared" si="74"/>
        <v>0</v>
      </c>
      <c r="S473" s="800">
        <f t="shared" si="75"/>
        <v>0</v>
      </c>
    </row>
    <row r="474" spans="1:19">
      <c r="A474" s="966"/>
      <c r="B474" s="136"/>
      <c r="C474" s="53">
        <f t="shared" ref="C474:C524" si="76">IF(B474="",1,(LOOKUP(B474,$3:$3,$4:$4)-LOOKUP($B$24,$3:$3,$4:$4)+100)/100)</f>
        <v>1</v>
      </c>
      <c r="D474" s="964"/>
      <c r="E474" s="53">
        <f t="shared" ref="E474:E524" si="77">(SUMIF($5:$5,D474,$6:$6)-SUMIF($5:$5,$D$24,$6:$6)+100)/100</f>
        <v>0</v>
      </c>
      <c r="F474" s="964"/>
      <c r="G474" s="53">
        <f t="shared" ref="G474:G524" si="78">(SUMIF($7:$7,F474,$8:$8)-SUMIF($7:$7,$F$24,$8:$8)+100)/100</f>
        <v>1</v>
      </c>
      <c r="H474" s="964"/>
      <c r="I474" s="53">
        <f t="shared" ref="I474:I524" si="79">(SUMIF($9:$9,H474,$10:$10)-SUMIF($9:$9,$H$24,$10:$10)+100)/100</f>
        <v>1</v>
      </c>
      <c r="J474" s="964"/>
      <c r="K474" s="53">
        <f t="shared" ref="K474:K524" si="80">(SUMIF($11:$11,J474,$12:$12)-SUMIF($11:$11,$J$24,$12:$12)+100)/100</f>
        <v>1</v>
      </c>
      <c r="L474" s="964"/>
      <c r="M474" s="53">
        <f t="shared" ref="M474:M524" si="81">(SUMIF($13:$13,L474,$14:$14)-SUMIF($13:$13,$L$24,$14:$14)+100)/100</f>
        <v>1</v>
      </c>
      <c r="N474" s="964"/>
      <c r="O474" s="53">
        <f t="shared" ref="O474:O524" si="82">(SUMIF($15:$15,N474,$16:$16)-SUMIF($15:$15,$N$24,$16:$16)+100)/100</f>
        <v>1</v>
      </c>
      <c r="P474" s="964"/>
      <c r="Q474" s="53">
        <f t="shared" ref="Q474:Q524" si="83">(SUMIF($17:$17,P474,$18:$18)-SUMIF($17:$17,$P$24,$18:$18)+100)/100</f>
        <v>1</v>
      </c>
      <c r="R474" s="491">
        <f t="shared" ref="R474:R524" si="84">IF(B474="",0,ROUND($R$24*C474*E474*G474*I474*K474*M474*O474*Q474,0))</f>
        <v>0</v>
      </c>
      <c r="S474" s="800">
        <f t="shared" si="75"/>
        <v>0</v>
      </c>
    </row>
    <row r="475" spans="1:19">
      <c r="A475" s="966"/>
      <c r="B475" s="136"/>
      <c r="C475" s="53">
        <f t="shared" si="76"/>
        <v>1</v>
      </c>
      <c r="D475" s="964"/>
      <c r="E475" s="53">
        <f t="shared" si="77"/>
        <v>0</v>
      </c>
      <c r="F475" s="964"/>
      <c r="G475" s="53">
        <f t="shared" si="78"/>
        <v>1</v>
      </c>
      <c r="H475" s="964"/>
      <c r="I475" s="53">
        <f t="shared" si="79"/>
        <v>1</v>
      </c>
      <c r="J475" s="964"/>
      <c r="K475" s="53">
        <f t="shared" si="80"/>
        <v>1</v>
      </c>
      <c r="L475" s="964"/>
      <c r="M475" s="53">
        <f t="shared" si="81"/>
        <v>1</v>
      </c>
      <c r="N475" s="964"/>
      <c r="O475" s="53">
        <f t="shared" si="82"/>
        <v>1</v>
      </c>
      <c r="P475" s="964"/>
      <c r="Q475" s="53">
        <f t="shared" si="83"/>
        <v>1</v>
      </c>
      <c r="R475" s="491">
        <f t="shared" si="84"/>
        <v>0</v>
      </c>
      <c r="S475" s="800">
        <f t="shared" si="75"/>
        <v>0</v>
      </c>
    </row>
    <row r="476" spans="1:19">
      <c r="A476" s="966"/>
      <c r="B476" s="136"/>
      <c r="C476" s="53">
        <f t="shared" si="76"/>
        <v>1</v>
      </c>
      <c r="D476" s="964"/>
      <c r="E476" s="53">
        <f t="shared" si="77"/>
        <v>0</v>
      </c>
      <c r="F476" s="964"/>
      <c r="G476" s="53">
        <f t="shared" si="78"/>
        <v>1</v>
      </c>
      <c r="H476" s="964"/>
      <c r="I476" s="53">
        <f t="shared" si="79"/>
        <v>1</v>
      </c>
      <c r="J476" s="964"/>
      <c r="K476" s="53">
        <f t="shared" si="80"/>
        <v>1</v>
      </c>
      <c r="L476" s="964"/>
      <c r="M476" s="53">
        <f t="shared" si="81"/>
        <v>1</v>
      </c>
      <c r="N476" s="964"/>
      <c r="O476" s="53">
        <f t="shared" si="82"/>
        <v>1</v>
      </c>
      <c r="P476" s="964"/>
      <c r="Q476" s="53">
        <f t="shared" si="83"/>
        <v>1</v>
      </c>
      <c r="R476" s="491">
        <f t="shared" si="84"/>
        <v>0</v>
      </c>
      <c r="S476" s="800">
        <f t="shared" si="75"/>
        <v>0</v>
      </c>
    </row>
    <row r="477" spans="1:19">
      <c r="A477" s="966"/>
      <c r="B477" s="136"/>
      <c r="C477" s="53">
        <f t="shared" si="76"/>
        <v>1</v>
      </c>
      <c r="D477" s="964"/>
      <c r="E477" s="53">
        <f t="shared" si="77"/>
        <v>0</v>
      </c>
      <c r="F477" s="964"/>
      <c r="G477" s="53">
        <f t="shared" si="78"/>
        <v>1</v>
      </c>
      <c r="H477" s="964"/>
      <c r="I477" s="53">
        <f t="shared" si="79"/>
        <v>1</v>
      </c>
      <c r="J477" s="964"/>
      <c r="K477" s="53">
        <f t="shared" si="80"/>
        <v>1</v>
      </c>
      <c r="L477" s="964"/>
      <c r="M477" s="53">
        <f t="shared" si="81"/>
        <v>1</v>
      </c>
      <c r="N477" s="964"/>
      <c r="O477" s="53">
        <f t="shared" si="82"/>
        <v>1</v>
      </c>
      <c r="P477" s="964"/>
      <c r="Q477" s="53">
        <f t="shared" si="83"/>
        <v>1</v>
      </c>
      <c r="R477" s="491">
        <f t="shared" si="84"/>
        <v>0</v>
      </c>
      <c r="S477" s="800">
        <f t="shared" si="75"/>
        <v>0</v>
      </c>
    </row>
    <row r="478" spans="1:19">
      <c r="A478" s="966"/>
      <c r="B478" s="136"/>
      <c r="C478" s="53">
        <f t="shared" si="76"/>
        <v>1</v>
      </c>
      <c r="D478" s="964"/>
      <c r="E478" s="53">
        <f t="shared" si="77"/>
        <v>0</v>
      </c>
      <c r="F478" s="964"/>
      <c r="G478" s="53">
        <f t="shared" si="78"/>
        <v>1</v>
      </c>
      <c r="H478" s="964"/>
      <c r="I478" s="53">
        <f t="shared" si="79"/>
        <v>1</v>
      </c>
      <c r="J478" s="964"/>
      <c r="K478" s="53">
        <f t="shared" si="80"/>
        <v>1</v>
      </c>
      <c r="L478" s="964"/>
      <c r="M478" s="53">
        <f t="shared" si="81"/>
        <v>1</v>
      </c>
      <c r="N478" s="964"/>
      <c r="O478" s="53">
        <f t="shared" si="82"/>
        <v>1</v>
      </c>
      <c r="P478" s="964"/>
      <c r="Q478" s="53">
        <f t="shared" si="83"/>
        <v>1</v>
      </c>
      <c r="R478" s="491">
        <f t="shared" si="84"/>
        <v>0</v>
      </c>
      <c r="S478" s="800">
        <f t="shared" si="75"/>
        <v>0</v>
      </c>
    </row>
    <row r="479" spans="1:19">
      <c r="A479" s="966"/>
      <c r="B479" s="136"/>
      <c r="C479" s="53">
        <f t="shared" si="76"/>
        <v>1</v>
      </c>
      <c r="D479" s="964"/>
      <c r="E479" s="53">
        <f t="shared" si="77"/>
        <v>0</v>
      </c>
      <c r="F479" s="964"/>
      <c r="G479" s="53">
        <f t="shared" si="78"/>
        <v>1</v>
      </c>
      <c r="H479" s="964"/>
      <c r="I479" s="53">
        <f t="shared" si="79"/>
        <v>1</v>
      </c>
      <c r="J479" s="964"/>
      <c r="K479" s="53">
        <f t="shared" si="80"/>
        <v>1</v>
      </c>
      <c r="L479" s="964"/>
      <c r="M479" s="53">
        <f t="shared" si="81"/>
        <v>1</v>
      </c>
      <c r="N479" s="964"/>
      <c r="O479" s="53">
        <f t="shared" si="82"/>
        <v>1</v>
      </c>
      <c r="P479" s="964"/>
      <c r="Q479" s="53">
        <f t="shared" si="83"/>
        <v>1</v>
      </c>
      <c r="R479" s="491">
        <f t="shared" si="84"/>
        <v>0</v>
      </c>
      <c r="S479" s="800">
        <f t="shared" si="75"/>
        <v>0</v>
      </c>
    </row>
    <row r="480" spans="1:19">
      <c r="A480" s="966"/>
      <c r="B480" s="136"/>
      <c r="C480" s="53">
        <f t="shared" si="76"/>
        <v>1</v>
      </c>
      <c r="D480" s="964"/>
      <c r="E480" s="53">
        <f t="shared" si="77"/>
        <v>0</v>
      </c>
      <c r="F480" s="964"/>
      <c r="G480" s="53">
        <f t="shared" si="78"/>
        <v>1</v>
      </c>
      <c r="H480" s="964"/>
      <c r="I480" s="53">
        <f t="shared" si="79"/>
        <v>1</v>
      </c>
      <c r="J480" s="964"/>
      <c r="K480" s="53">
        <f t="shared" si="80"/>
        <v>1</v>
      </c>
      <c r="L480" s="964"/>
      <c r="M480" s="53">
        <f t="shared" si="81"/>
        <v>1</v>
      </c>
      <c r="N480" s="964"/>
      <c r="O480" s="53">
        <f t="shared" si="82"/>
        <v>1</v>
      </c>
      <c r="P480" s="964"/>
      <c r="Q480" s="53">
        <f t="shared" si="83"/>
        <v>1</v>
      </c>
      <c r="R480" s="491">
        <f t="shared" si="84"/>
        <v>0</v>
      </c>
      <c r="S480" s="800">
        <f t="shared" si="75"/>
        <v>0</v>
      </c>
    </row>
    <row r="481" spans="1:19">
      <c r="A481" s="966"/>
      <c r="B481" s="136"/>
      <c r="C481" s="53">
        <f t="shared" si="76"/>
        <v>1</v>
      </c>
      <c r="D481" s="964"/>
      <c r="E481" s="53">
        <f t="shared" si="77"/>
        <v>0</v>
      </c>
      <c r="F481" s="964"/>
      <c r="G481" s="53">
        <f t="shared" si="78"/>
        <v>1</v>
      </c>
      <c r="H481" s="964"/>
      <c r="I481" s="53">
        <f t="shared" si="79"/>
        <v>1</v>
      </c>
      <c r="J481" s="964"/>
      <c r="K481" s="53">
        <f t="shared" si="80"/>
        <v>1</v>
      </c>
      <c r="L481" s="964"/>
      <c r="M481" s="53">
        <f t="shared" si="81"/>
        <v>1</v>
      </c>
      <c r="N481" s="964"/>
      <c r="O481" s="53">
        <f t="shared" si="82"/>
        <v>1</v>
      </c>
      <c r="P481" s="964"/>
      <c r="Q481" s="53">
        <f t="shared" si="83"/>
        <v>1</v>
      </c>
      <c r="R481" s="491">
        <f t="shared" si="84"/>
        <v>0</v>
      </c>
      <c r="S481" s="800">
        <f t="shared" si="75"/>
        <v>0</v>
      </c>
    </row>
    <row r="482" spans="1:19">
      <c r="A482" s="966"/>
      <c r="B482" s="136"/>
      <c r="C482" s="53">
        <f t="shared" si="76"/>
        <v>1</v>
      </c>
      <c r="D482" s="964"/>
      <c r="E482" s="53">
        <f t="shared" si="77"/>
        <v>0</v>
      </c>
      <c r="F482" s="964"/>
      <c r="G482" s="53">
        <f t="shared" si="78"/>
        <v>1</v>
      </c>
      <c r="H482" s="964"/>
      <c r="I482" s="53">
        <f t="shared" si="79"/>
        <v>1</v>
      </c>
      <c r="J482" s="964"/>
      <c r="K482" s="53">
        <f t="shared" si="80"/>
        <v>1</v>
      </c>
      <c r="L482" s="964"/>
      <c r="M482" s="53">
        <f t="shared" si="81"/>
        <v>1</v>
      </c>
      <c r="N482" s="964"/>
      <c r="O482" s="53">
        <f t="shared" si="82"/>
        <v>1</v>
      </c>
      <c r="P482" s="964"/>
      <c r="Q482" s="53">
        <f t="shared" si="83"/>
        <v>1</v>
      </c>
      <c r="R482" s="491">
        <f t="shared" si="84"/>
        <v>0</v>
      </c>
      <c r="S482" s="800">
        <f t="shared" si="75"/>
        <v>0</v>
      </c>
    </row>
    <row r="483" spans="1:19">
      <c r="A483" s="966"/>
      <c r="B483" s="136"/>
      <c r="C483" s="53">
        <f t="shared" si="76"/>
        <v>1</v>
      </c>
      <c r="D483" s="964"/>
      <c r="E483" s="53">
        <f t="shared" si="77"/>
        <v>0</v>
      </c>
      <c r="F483" s="964"/>
      <c r="G483" s="53">
        <f t="shared" si="78"/>
        <v>1</v>
      </c>
      <c r="H483" s="964"/>
      <c r="I483" s="53">
        <f t="shared" si="79"/>
        <v>1</v>
      </c>
      <c r="J483" s="964"/>
      <c r="K483" s="53">
        <f t="shared" si="80"/>
        <v>1</v>
      </c>
      <c r="L483" s="964"/>
      <c r="M483" s="53">
        <f t="shared" si="81"/>
        <v>1</v>
      </c>
      <c r="N483" s="964"/>
      <c r="O483" s="53">
        <f t="shared" si="82"/>
        <v>1</v>
      </c>
      <c r="P483" s="964"/>
      <c r="Q483" s="53">
        <f t="shared" si="83"/>
        <v>1</v>
      </c>
      <c r="R483" s="491">
        <f t="shared" si="84"/>
        <v>0</v>
      </c>
      <c r="S483" s="800">
        <f t="shared" si="75"/>
        <v>0</v>
      </c>
    </row>
    <row r="484" spans="1:19">
      <c r="A484" s="966"/>
      <c r="B484" s="136"/>
      <c r="C484" s="53">
        <f t="shared" si="76"/>
        <v>1</v>
      </c>
      <c r="D484" s="964"/>
      <c r="E484" s="53">
        <f t="shared" si="77"/>
        <v>0</v>
      </c>
      <c r="F484" s="964"/>
      <c r="G484" s="53">
        <f t="shared" si="78"/>
        <v>1</v>
      </c>
      <c r="H484" s="964"/>
      <c r="I484" s="53">
        <f t="shared" si="79"/>
        <v>1</v>
      </c>
      <c r="J484" s="964"/>
      <c r="K484" s="53">
        <f t="shared" si="80"/>
        <v>1</v>
      </c>
      <c r="L484" s="964"/>
      <c r="M484" s="53">
        <f t="shared" si="81"/>
        <v>1</v>
      </c>
      <c r="N484" s="964"/>
      <c r="O484" s="53">
        <f t="shared" si="82"/>
        <v>1</v>
      </c>
      <c r="P484" s="964"/>
      <c r="Q484" s="53">
        <f t="shared" si="83"/>
        <v>1</v>
      </c>
      <c r="R484" s="491">
        <f t="shared" si="84"/>
        <v>0</v>
      </c>
      <c r="S484" s="800">
        <f t="shared" si="75"/>
        <v>0</v>
      </c>
    </row>
    <row r="485" spans="1:19">
      <c r="A485" s="966"/>
      <c r="B485" s="136"/>
      <c r="C485" s="53">
        <f t="shared" si="76"/>
        <v>1</v>
      </c>
      <c r="D485" s="964"/>
      <c r="E485" s="53">
        <f t="shared" si="77"/>
        <v>0</v>
      </c>
      <c r="F485" s="964"/>
      <c r="G485" s="53">
        <f t="shared" si="78"/>
        <v>1</v>
      </c>
      <c r="H485" s="964"/>
      <c r="I485" s="53">
        <f t="shared" si="79"/>
        <v>1</v>
      </c>
      <c r="J485" s="964"/>
      <c r="K485" s="53">
        <f t="shared" si="80"/>
        <v>1</v>
      </c>
      <c r="L485" s="964"/>
      <c r="M485" s="53">
        <f t="shared" si="81"/>
        <v>1</v>
      </c>
      <c r="N485" s="964"/>
      <c r="O485" s="53">
        <f t="shared" si="82"/>
        <v>1</v>
      </c>
      <c r="P485" s="964"/>
      <c r="Q485" s="53">
        <f t="shared" si="83"/>
        <v>1</v>
      </c>
      <c r="R485" s="491">
        <f t="shared" si="84"/>
        <v>0</v>
      </c>
      <c r="S485" s="800">
        <f t="shared" si="75"/>
        <v>0</v>
      </c>
    </row>
    <row r="486" spans="1:19">
      <c r="A486" s="966"/>
      <c r="B486" s="136"/>
      <c r="C486" s="53">
        <f t="shared" si="76"/>
        <v>1</v>
      </c>
      <c r="D486" s="964"/>
      <c r="E486" s="53">
        <f t="shared" si="77"/>
        <v>0</v>
      </c>
      <c r="F486" s="964"/>
      <c r="G486" s="53">
        <f t="shared" si="78"/>
        <v>1</v>
      </c>
      <c r="H486" s="964"/>
      <c r="I486" s="53">
        <f t="shared" si="79"/>
        <v>1</v>
      </c>
      <c r="J486" s="964"/>
      <c r="K486" s="53">
        <f t="shared" si="80"/>
        <v>1</v>
      </c>
      <c r="L486" s="964"/>
      <c r="M486" s="53">
        <f t="shared" si="81"/>
        <v>1</v>
      </c>
      <c r="N486" s="964"/>
      <c r="O486" s="53">
        <f t="shared" si="82"/>
        <v>1</v>
      </c>
      <c r="P486" s="964"/>
      <c r="Q486" s="53">
        <f t="shared" si="83"/>
        <v>1</v>
      </c>
      <c r="R486" s="491">
        <f t="shared" si="84"/>
        <v>0</v>
      </c>
      <c r="S486" s="800">
        <f t="shared" si="75"/>
        <v>0</v>
      </c>
    </row>
    <row r="487" spans="1:19">
      <c r="A487" s="966"/>
      <c r="B487" s="136"/>
      <c r="C487" s="53">
        <f t="shared" si="76"/>
        <v>1</v>
      </c>
      <c r="D487" s="964"/>
      <c r="E487" s="53">
        <f t="shared" si="77"/>
        <v>0</v>
      </c>
      <c r="F487" s="964"/>
      <c r="G487" s="53">
        <f t="shared" si="78"/>
        <v>1</v>
      </c>
      <c r="H487" s="964"/>
      <c r="I487" s="53">
        <f t="shared" si="79"/>
        <v>1</v>
      </c>
      <c r="J487" s="964"/>
      <c r="K487" s="53">
        <f t="shared" si="80"/>
        <v>1</v>
      </c>
      <c r="L487" s="964"/>
      <c r="M487" s="53">
        <f t="shared" si="81"/>
        <v>1</v>
      </c>
      <c r="N487" s="964"/>
      <c r="O487" s="53">
        <f t="shared" si="82"/>
        <v>1</v>
      </c>
      <c r="P487" s="964"/>
      <c r="Q487" s="53">
        <f t="shared" si="83"/>
        <v>1</v>
      </c>
      <c r="R487" s="491">
        <f t="shared" si="84"/>
        <v>0</v>
      </c>
      <c r="S487" s="800">
        <f t="shared" si="75"/>
        <v>0</v>
      </c>
    </row>
    <row r="488" spans="1:19">
      <c r="A488" s="966"/>
      <c r="B488" s="136"/>
      <c r="C488" s="53">
        <f t="shared" si="76"/>
        <v>1</v>
      </c>
      <c r="D488" s="964"/>
      <c r="E488" s="53">
        <f t="shared" si="77"/>
        <v>0</v>
      </c>
      <c r="F488" s="964"/>
      <c r="G488" s="53">
        <f t="shared" si="78"/>
        <v>1</v>
      </c>
      <c r="H488" s="964"/>
      <c r="I488" s="53">
        <f t="shared" si="79"/>
        <v>1</v>
      </c>
      <c r="J488" s="964"/>
      <c r="K488" s="53">
        <f t="shared" si="80"/>
        <v>1</v>
      </c>
      <c r="L488" s="964"/>
      <c r="M488" s="53">
        <f t="shared" si="81"/>
        <v>1</v>
      </c>
      <c r="N488" s="964"/>
      <c r="O488" s="53">
        <f t="shared" si="82"/>
        <v>1</v>
      </c>
      <c r="P488" s="964"/>
      <c r="Q488" s="53">
        <f t="shared" si="83"/>
        <v>1</v>
      </c>
      <c r="R488" s="491">
        <f t="shared" si="84"/>
        <v>0</v>
      </c>
      <c r="S488" s="800">
        <f t="shared" si="75"/>
        <v>0</v>
      </c>
    </row>
    <row r="489" spans="1:19">
      <c r="A489" s="966"/>
      <c r="B489" s="136"/>
      <c r="C489" s="53">
        <f t="shared" si="76"/>
        <v>1</v>
      </c>
      <c r="D489" s="964"/>
      <c r="E489" s="53">
        <f t="shared" si="77"/>
        <v>0</v>
      </c>
      <c r="F489" s="964"/>
      <c r="G489" s="53">
        <f t="shared" si="78"/>
        <v>1</v>
      </c>
      <c r="H489" s="964"/>
      <c r="I489" s="53">
        <f t="shared" si="79"/>
        <v>1</v>
      </c>
      <c r="J489" s="964"/>
      <c r="K489" s="53">
        <f t="shared" si="80"/>
        <v>1</v>
      </c>
      <c r="L489" s="964"/>
      <c r="M489" s="53">
        <f t="shared" si="81"/>
        <v>1</v>
      </c>
      <c r="N489" s="964"/>
      <c r="O489" s="53">
        <f t="shared" si="82"/>
        <v>1</v>
      </c>
      <c r="P489" s="964"/>
      <c r="Q489" s="53">
        <f t="shared" si="83"/>
        <v>1</v>
      </c>
      <c r="R489" s="491">
        <f t="shared" si="84"/>
        <v>0</v>
      </c>
      <c r="S489" s="800">
        <f t="shared" si="75"/>
        <v>0</v>
      </c>
    </row>
    <row r="490" spans="1:19">
      <c r="A490" s="966"/>
      <c r="B490" s="136"/>
      <c r="C490" s="53">
        <f t="shared" si="76"/>
        <v>1</v>
      </c>
      <c r="D490" s="964"/>
      <c r="E490" s="53">
        <f t="shared" si="77"/>
        <v>0</v>
      </c>
      <c r="F490" s="964"/>
      <c r="G490" s="53">
        <f t="shared" si="78"/>
        <v>1</v>
      </c>
      <c r="H490" s="964"/>
      <c r="I490" s="53">
        <f t="shared" si="79"/>
        <v>1</v>
      </c>
      <c r="J490" s="964"/>
      <c r="K490" s="53">
        <f t="shared" si="80"/>
        <v>1</v>
      </c>
      <c r="L490" s="964"/>
      <c r="M490" s="53">
        <f t="shared" si="81"/>
        <v>1</v>
      </c>
      <c r="N490" s="964"/>
      <c r="O490" s="53">
        <f t="shared" si="82"/>
        <v>1</v>
      </c>
      <c r="P490" s="964"/>
      <c r="Q490" s="53">
        <f t="shared" si="83"/>
        <v>1</v>
      </c>
      <c r="R490" s="491">
        <f t="shared" si="84"/>
        <v>0</v>
      </c>
      <c r="S490" s="800">
        <f t="shared" si="75"/>
        <v>0</v>
      </c>
    </row>
    <row r="491" spans="1:19">
      <c r="A491" s="966"/>
      <c r="B491" s="136"/>
      <c r="C491" s="53">
        <f t="shared" si="76"/>
        <v>1</v>
      </c>
      <c r="D491" s="964"/>
      <c r="E491" s="53">
        <f t="shared" si="77"/>
        <v>0</v>
      </c>
      <c r="F491" s="964"/>
      <c r="G491" s="53">
        <f t="shared" si="78"/>
        <v>1</v>
      </c>
      <c r="H491" s="964"/>
      <c r="I491" s="53">
        <f t="shared" si="79"/>
        <v>1</v>
      </c>
      <c r="J491" s="964"/>
      <c r="K491" s="53">
        <f t="shared" si="80"/>
        <v>1</v>
      </c>
      <c r="L491" s="964"/>
      <c r="M491" s="53">
        <f t="shared" si="81"/>
        <v>1</v>
      </c>
      <c r="N491" s="964"/>
      <c r="O491" s="53">
        <f t="shared" si="82"/>
        <v>1</v>
      </c>
      <c r="P491" s="964"/>
      <c r="Q491" s="53">
        <f t="shared" si="83"/>
        <v>1</v>
      </c>
      <c r="R491" s="491">
        <f t="shared" si="84"/>
        <v>0</v>
      </c>
      <c r="S491" s="800">
        <f t="shared" si="75"/>
        <v>0</v>
      </c>
    </row>
    <row r="492" spans="1:19">
      <c r="A492" s="966"/>
      <c r="B492" s="136"/>
      <c r="C492" s="53">
        <f t="shared" si="76"/>
        <v>1</v>
      </c>
      <c r="D492" s="964"/>
      <c r="E492" s="53">
        <f t="shared" si="77"/>
        <v>0</v>
      </c>
      <c r="F492" s="964"/>
      <c r="G492" s="53">
        <f t="shared" si="78"/>
        <v>1</v>
      </c>
      <c r="H492" s="964"/>
      <c r="I492" s="53">
        <f t="shared" si="79"/>
        <v>1</v>
      </c>
      <c r="J492" s="964"/>
      <c r="K492" s="53">
        <f t="shared" si="80"/>
        <v>1</v>
      </c>
      <c r="L492" s="964"/>
      <c r="M492" s="53">
        <f t="shared" si="81"/>
        <v>1</v>
      </c>
      <c r="N492" s="964"/>
      <c r="O492" s="53">
        <f t="shared" si="82"/>
        <v>1</v>
      </c>
      <c r="P492" s="964"/>
      <c r="Q492" s="53">
        <f t="shared" si="83"/>
        <v>1</v>
      </c>
      <c r="R492" s="491">
        <f t="shared" si="84"/>
        <v>0</v>
      </c>
      <c r="S492" s="800">
        <f t="shared" si="75"/>
        <v>0</v>
      </c>
    </row>
    <row r="493" spans="1:19">
      <c r="A493" s="966"/>
      <c r="B493" s="136"/>
      <c r="C493" s="53">
        <f t="shared" si="76"/>
        <v>1</v>
      </c>
      <c r="D493" s="964"/>
      <c r="E493" s="53">
        <f t="shared" si="77"/>
        <v>0</v>
      </c>
      <c r="F493" s="964"/>
      <c r="G493" s="53">
        <f t="shared" si="78"/>
        <v>1</v>
      </c>
      <c r="H493" s="964"/>
      <c r="I493" s="53">
        <f t="shared" si="79"/>
        <v>1</v>
      </c>
      <c r="J493" s="964"/>
      <c r="K493" s="53">
        <f t="shared" si="80"/>
        <v>1</v>
      </c>
      <c r="L493" s="964"/>
      <c r="M493" s="53">
        <f t="shared" si="81"/>
        <v>1</v>
      </c>
      <c r="N493" s="964"/>
      <c r="O493" s="53">
        <f t="shared" si="82"/>
        <v>1</v>
      </c>
      <c r="P493" s="964"/>
      <c r="Q493" s="53">
        <f t="shared" si="83"/>
        <v>1</v>
      </c>
      <c r="R493" s="491">
        <f t="shared" si="84"/>
        <v>0</v>
      </c>
      <c r="S493" s="800">
        <f t="shared" si="75"/>
        <v>0</v>
      </c>
    </row>
    <row r="494" spans="1:19">
      <c r="A494" s="966"/>
      <c r="B494" s="136"/>
      <c r="C494" s="53">
        <f t="shared" si="76"/>
        <v>1</v>
      </c>
      <c r="D494" s="964"/>
      <c r="E494" s="53">
        <f t="shared" si="77"/>
        <v>0</v>
      </c>
      <c r="F494" s="964"/>
      <c r="G494" s="53">
        <f t="shared" si="78"/>
        <v>1</v>
      </c>
      <c r="H494" s="964"/>
      <c r="I494" s="53">
        <f t="shared" si="79"/>
        <v>1</v>
      </c>
      <c r="J494" s="964"/>
      <c r="K494" s="53">
        <f t="shared" si="80"/>
        <v>1</v>
      </c>
      <c r="L494" s="964"/>
      <c r="M494" s="53">
        <f t="shared" si="81"/>
        <v>1</v>
      </c>
      <c r="N494" s="964"/>
      <c r="O494" s="53">
        <f t="shared" si="82"/>
        <v>1</v>
      </c>
      <c r="P494" s="964"/>
      <c r="Q494" s="53">
        <f t="shared" si="83"/>
        <v>1</v>
      </c>
      <c r="R494" s="491">
        <f t="shared" si="84"/>
        <v>0</v>
      </c>
      <c r="S494" s="800">
        <f t="shared" si="75"/>
        <v>0</v>
      </c>
    </row>
    <row r="495" spans="1:19">
      <c r="A495" s="966"/>
      <c r="B495" s="136"/>
      <c r="C495" s="53">
        <f t="shared" si="76"/>
        <v>1</v>
      </c>
      <c r="D495" s="964"/>
      <c r="E495" s="53">
        <f t="shared" si="77"/>
        <v>0</v>
      </c>
      <c r="F495" s="964"/>
      <c r="G495" s="53">
        <f t="shared" si="78"/>
        <v>1</v>
      </c>
      <c r="H495" s="964"/>
      <c r="I495" s="53">
        <f t="shared" si="79"/>
        <v>1</v>
      </c>
      <c r="J495" s="964"/>
      <c r="K495" s="53">
        <f t="shared" si="80"/>
        <v>1</v>
      </c>
      <c r="L495" s="964"/>
      <c r="M495" s="53">
        <f t="shared" si="81"/>
        <v>1</v>
      </c>
      <c r="N495" s="964"/>
      <c r="O495" s="53">
        <f t="shared" si="82"/>
        <v>1</v>
      </c>
      <c r="P495" s="964"/>
      <c r="Q495" s="53">
        <f t="shared" si="83"/>
        <v>1</v>
      </c>
      <c r="R495" s="491">
        <f t="shared" si="84"/>
        <v>0</v>
      </c>
      <c r="S495" s="800">
        <f t="shared" si="75"/>
        <v>0</v>
      </c>
    </row>
    <row r="496" spans="1:19">
      <c r="A496" s="966"/>
      <c r="B496" s="136"/>
      <c r="C496" s="53">
        <f t="shared" si="76"/>
        <v>1</v>
      </c>
      <c r="D496" s="964"/>
      <c r="E496" s="53">
        <f t="shared" si="77"/>
        <v>0</v>
      </c>
      <c r="F496" s="964"/>
      <c r="G496" s="53">
        <f t="shared" si="78"/>
        <v>1</v>
      </c>
      <c r="H496" s="964"/>
      <c r="I496" s="53">
        <f t="shared" si="79"/>
        <v>1</v>
      </c>
      <c r="J496" s="964"/>
      <c r="K496" s="53">
        <f t="shared" si="80"/>
        <v>1</v>
      </c>
      <c r="L496" s="964"/>
      <c r="M496" s="53">
        <f t="shared" si="81"/>
        <v>1</v>
      </c>
      <c r="N496" s="964"/>
      <c r="O496" s="53">
        <f t="shared" si="82"/>
        <v>1</v>
      </c>
      <c r="P496" s="964"/>
      <c r="Q496" s="53">
        <f t="shared" si="83"/>
        <v>1</v>
      </c>
      <c r="R496" s="491">
        <f t="shared" si="84"/>
        <v>0</v>
      </c>
      <c r="S496" s="800">
        <f t="shared" si="75"/>
        <v>0</v>
      </c>
    </row>
    <row r="497" spans="1:19">
      <c r="A497" s="966"/>
      <c r="B497" s="136"/>
      <c r="C497" s="53">
        <f t="shared" si="76"/>
        <v>1</v>
      </c>
      <c r="D497" s="964"/>
      <c r="E497" s="53">
        <f t="shared" si="77"/>
        <v>0</v>
      </c>
      <c r="F497" s="964"/>
      <c r="G497" s="53">
        <f t="shared" si="78"/>
        <v>1</v>
      </c>
      <c r="H497" s="964"/>
      <c r="I497" s="53">
        <f t="shared" si="79"/>
        <v>1</v>
      </c>
      <c r="J497" s="964"/>
      <c r="K497" s="53">
        <f t="shared" si="80"/>
        <v>1</v>
      </c>
      <c r="L497" s="964"/>
      <c r="M497" s="53">
        <f t="shared" si="81"/>
        <v>1</v>
      </c>
      <c r="N497" s="964"/>
      <c r="O497" s="53">
        <f t="shared" si="82"/>
        <v>1</v>
      </c>
      <c r="P497" s="964"/>
      <c r="Q497" s="53">
        <f t="shared" si="83"/>
        <v>1</v>
      </c>
      <c r="R497" s="491">
        <f t="shared" si="84"/>
        <v>0</v>
      </c>
      <c r="S497" s="800">
        <f t="shared" si="75"/>
        <v>0</v>
      </c>
    </row>
    <row r="498" spans="1:19">
      <c r="A498" s="966"/>
      <c r="B498" s="136"/>
      <c r="C498" s="53">
        <f t="shared" si="76"/>
        <v>1</v>
      </c>
      <c r="D498" s="964"/>
      <c r="E498" s="53">
        <f t="shared" si="77"/>
        <v>0</v>
      </c>
      <c r="F498" s="964"/>
      <c r="G498" s="53">
        <f t="shared" si="78"/>
        <v>1</v>
      </c>
      <c r="H498" s="964"/>
      <c r="I498" s="53">
        <f t="shared" si="79"/>
        <v>1</v>
      </c>
      <c r="J498" s="964"/>
      <c r="K498" s="53">
        <f t="shared" si="80"/>
        <v>1</v>
      </c>
      <c r="L498" s="964"/>
      <c r="M498" s="53">
        <f t="shared" si="81"/>
        <v>1</v>
      </c>
      <c r="N498" s="964"/>
      <c r="O498" s="53">
        <f t="shared" si="82"/>
        <v>1</v>
      </c>
      <c r="P498" s="964"/>
      <c r="Q498" s="53">
        <f t="shared" si="83"/>
        <v>1</v>
      </c>
      <c r="R498" s="491">
        <f t="shared" si="84"/>
        <v>0</v>
      </c>
      <c r="S498" s="800">
        <f t="shared" si="75"/>
        <v>0</v>
      </c>
    </row>
    <row r="499" spans="1:19">
      <c r="A499" s="966"/>
      <c r="B499" s="136"/>
      <c r="C499" s="53">
        <f t="shared" si="76"/>
        <v>1</v>
      </c>
      <c r="D499" s="964"/>
      <c r="E499" s="53">
        <f t="shared" si="77"/>
        <v>0</v>
      </c>
      <c r="F499" s="964"/>
      <c r="G499" s="53">
        <f t="shared" si="78"/>
        <v>1</v>
      </c>
      <c r="H499" s="964"/>
      <c r="I499" s="53">
        <f t="shared" si="79"/>
        <v>1</v>
      </c>
      <c r="J499" s="964"/>
      <c r="K499" s="53">
        <f t="shared" si="80"/>
        <v>1</v>
      </c>
      <c r="L499" s="964"/>
      <c r="M499" s="53">
        <f t="shared" si="81"/>
        <v>1</v>
      </c>
      <c r="N499" s="964"/>
      <c r="O499" s="53">
        <f t="shared" si="82"/>
        <v>1</v>
      </c>
      <c r="P499" s="964"/>
      <c r="Q499" s="53">
        <f t="shared" si="83"/>
        <v>1</v>
      </c>
      <c r="R499" s="491">
        <f t="shared" si="84"/>
        <v>0</v>
      </c>
      <c r="S499" s="800">
        <f t="shared" si="75"/>
        <v>0</v>
      </c>
    </row>
    <row r="500" spans="1:19">
      <c r="A500" s="966"/>
      <c r="B500" s="136"/>
      <c r="C500" s="53">
        <f t="shared" si="76"/>
        <v>1</v>
      </c>
      <c r="D500" s="964"/>
      <c r="E500" s="53">
        <f t="shared" si="77"/>
        <v>0</v>
      </c>
      <c r="F500" s="964"/>
      <c r="G500" s="53">
        <f t="shared" si="78"/>
        <v>1</v>
      </c>
      <c r="H500" s="964"/>
      <c r="I500" s="53">
        <f t="shared" si="79"/>
        <v>1</v>
      </c>
      <c r="J500" s="964"/>
      <c r="K500" s="53">
        <f t="shared" si="80"/>
        <v>1</v>
      </c>
      <c r="L500" s="964"/>
      <c r="M500" s="53">
        <f t="shared" si="81"/>
        <v>1</v>
      </c>
      <c r="N500" s="964"/>
      <c r="O500" s="53">
        <f t="shared" si="82"/>
        <v>1</v>
      </c>
      <c r="P500" s="964"/>
      <c r="Q500" s="53">
        <f t="shared" si="83"/>
        <v>1</v>
      </c>
      <c r="R500" s="491">
        <f t="shared" si="84"/>
        <v>0</v>
      </c>
      <c r="S500" s="800">
        <f t="shared" si="75"/>
        <v>0</v>
      </c>
    </row>
    <row r="501" spans="1:19">
      <c r="A501" s="966"/>
      <c r="B501" s="136"/>
      <c r="C501" s="53">
        <f t="shared" si="76"/>
        <v>1</v>
      </c>
      <c r="D501" s="964"/>
      <c r="E501" s="53">
        <f t="shared" si="77"/>
        <v>0</v>
      </c>
      <c r="F501" s="964"/>
      <c r="G501" s="53">
        <f t="shared" si="78"/>
        <v>1</v>
      </c>
      <c r="H501" s="964"/>
      <c r="I501" s="53">
        <f t="shared" si="79"/>
        <v>1</v>
      </c>
      <c r="J501" s="964"/>
      <c r="K501" s="53">
        <f t="shared" si="80"/>
        <v>1</v>
      </c>
      <c r="L501" s="964"/>
      <c r="M501" s="53">
        <f t="shared" si="81"/>
        <v>1</v>
      </c>
      <c r="N501" s="964"/>
      <c r="O501" s="53">
        <f t="shared" si="82"/>
        <v>1</v>
      </c>
      <c r="P501" s="964"/>
      <c r="Q501" s="53">
        <f t="shared" si="83"/>
        <v>1</v>
      </c>
      <c r="R501" s="491">
        <f t="shared" si="84"/>
        <v>0</v>
      </c>
      <c r="S501" s="800">
        <f t="shared" si="75"/>
        <v>0</v>
      </c>
    </row>
    <row r="502" spans="1:19">
      <c r="A502" s="966"/>
      <c r="B502" s="136"/>
      <c r="C502" s="53">
        <f t="shared" si="76"/>
        <v>1</v>
      </c>
      <c r="D502" s="964"/>
      <c r="E502" s="53">
        <f t="shared" si="77"/>
        <v>0</v>
      </c>
      <c r="F502" s="964"/>
      <c r="G502" s="53">
        <f t="shared" si="78"/>
        <v>1</v>
      </c>
      <c r="H502" s="964"/>
      <c r="I502" s="53">
        <f t="shared" si="79"/>
        <v>1</v>
      </c>
      <c r="J502" s="964"/>
      <c r="K502" s="53">
        <f t="shared" si="80"/>
        <v>1</v>
      </c>
      <c r="L502" s="964"/>
      <c r="M502" s="53">
        <f t="shared" si="81"/>
        <v>1</v>
      </c>
      <c r="N502" s="964"/>
      <c r="O502" s="53">
        <f t="shared" si="82"/>
        <v>1</v>
      </c>
      <c r="P502" s="964"/>
      <c r="Q502" s="53">
        <f t="shared" si="83"/>
        <v>1</v>
      </c>
      <c r="R502" s="491">
        <f t="shared" si="84"/>
        <v>0</v>
      </c>
      <c r="S502" s="800">
        <f t="shared" si="75"/>
        <v>0</v>
      </c>
    </row>
    <row r="503" spans="1:19">
      <c r="A503" s="966"/>
      <c r="B503" s="136"/>
      <c r="C503" s="53">
        <f t="shared" si="76"/>
        <v>1</v>
      </c>
      <c r="D503" s="964"/>
      <c r="E503" s="53">
        <f t="shared" si="77"/>
        <v>0</v>
      </c>
      <c r="F503" s="964"/>
      <c r="G503" s="53">
        <f t="shared" si="78"/>
        <v>1</v>
      </c>
      <c r="H503" s="964"/>
      <c r="I503" s="53">
        <f t="shared" si="79"/>
        <v>1</v>
      </c>
      <c r="J503" s="964"/>
      <c r="K503" s="53">
        <f t="shared" si="80"/>
        <v>1</v>
      </c>
      <c r="L503" s="964"/>
      <c r="M503" s="53">
        <f t="shared" si="81"/>
        <v>1</v>
      </c>
      <c r="N503" s="964"/>
      <c r="O503" s="53">
        <f t="shared" si="82"/>
        <v>1</v>
      </c>
      <c r="P503" s="964"/>
      <c r="Q503" s="53">
        <f t="shared" si="83"/>
        <v>1</v>
      </c>
      <c r="R503" s="491">
        <f t="shared" si="84"/>
        <v>0</v>
      </c>
      <c r="S503" s="800">
        <f t="shared" si="75"/>
        <v>0</v>
      </c>
    </row>
    <row r="504" spans="1:19">
      <c r="A504" s="966"/>
      <c r="B504" s="136"/>
      <c r="C504" s="53">
        <f t="shared" si="76"/>
        <v>1</v>
      </c>
      <c r="D504" s="964"/>
      <c r="E504" s="53">
        <f t="shared" si="77"/>
        <v>0</v>
      </c>
      <c r="F504" s="964"/>
      <c r="G504" s="53">
        <f t="shared" si="78"/>
        <v>1</v>
      </c>
      <c r="H504" s="964"/>
      <c r="I504" s="53">
        <f t="shared" si="79"/>
        <v>1</v>
      </c>
      <c r="J504" s="964"/>
      <c r="K504" s="53">
        <f t="shared" si="80"/>
        <v>1</v>
      </c>
      <c r="L504" s="964"/>
      <c r="M504" s="53">
        <f t="shared" si="81"/>
        <v>1</v>
      </c>
      <c r="N504" s="964"/>
      <c r="O504" s="53">
        <f t="shared" si="82"/>
        <v>1</v>
      </c>
      <c r="P504" s="964"/>
      <c r="Q504" s="53">
        <f t="shared" si="83"/>
        <v>1</v>
      </c>
      <c r="R504" s="491">
        <f t="shared" si="84"/>
        <v>0</v>
      </c>
      <c r="S504" s="800">
        <f t="shared" si="75"/>
        <v>0</v>
      </c>
    </row>
    <row r="505" spans="1:19">
      <c r="A505" s="966"/>
      <c r="B505" s="136"/>
      <c r="C505" s="53">
        <f t="shared" si="76"/>
        <v>1</v>
      </c>
      <c r="D505" s="964"/>
      <c r="E505" s="53">
        <f t="shared" si="77"/>
        <v>0</v>
      </c>
      <c r="F505" s="964"/>
      <c r="G505" s="53">
        <f t="shared" si="78"/>
        <v>1</v>
      </c>
      <c r="H505" s="964"/>
      <c r="I505" s="53">
        <f t="shared" si="79"/>
        <v>1</v>
      </c>
      <c r="J505" s="964"/>
      <c r="K505" s="53">
        <f t="shared" si="80"/>
        <v>1</v>
      </c>
      <c r="L505" s="964"/>
      <c r="M505" s="53">
        <f t="shared" si="81"/>
        <v>1</v>
      </c>
      <c r="N505" s="964"/>
      <c r="O505" s="53">
        <f t="shared" si="82"/>
        <v>1</v>
      </c>
      <c r="P505" s="964"/>
      <c r="Q505" s="53">
        <f t="shared" si="83"/>
        <v>1</v>
      </c>
      <c r="R505" s="491">
        <f t="shared" si="84"/>
        <v>0</v>
      </c>
      <c r="S505" s="800">
        <f t="shared" si="75"/>
        <v>0</v>
      </c>
    </row>
    <row r="506" spans="1:19">
      <c r="A506" s="966"/>
      <c r="B506" s="136"/>
      <c r="C506" s="53">
        <f t="shared" si="76"/>
        <v>1</v>
      </c>
      <c r="D506" s="964"/>
      <c r="E506" s="53">
        <f t="shared" si="77"/>
        <v>0</v>
      </c>
      <c r="F506" s="964"/>
      <c r="G506" s="53">
        <f t="shared" si="78"/>
        <v>1</v>
      </c>
      <c r="H506" s="964"/>
      <c r="I506" s="53">
        <f t="shared" si="79"/>
        <v>1</v>
      </c>
      <c r="J506" s="964"/>
      <c r="K506" s="53">
        <f t="shared" si="80"/>
        <v>1</v>
      </c>
      <c r="L506" s="964"/>
      <c r="M506" s="53">
        <f t="shared" si="81"/>
        <v>1</v>
      </c>
      <c r="N506" s="964"/>
      <c r="O506" s="53">
        <f t="shared" si="82"/>
        <v>1</v>
      </c>
      <c r="P506" s="964"/>
      <c r="Q506" s="53">
        <f t="shared" si="83"/>
        <v>1</v>
      </c>
      <c r="R506" s="491">
        <f t="shared" si="84"/>
        <v>0</v>
      </c>
      <c r="S506" s="800">
        <f t="shared" si="75"/>
        <v>0</v>
      </c>
    </row>
    <row r="507" spans="1:19">
      <c r="A507" s="966"/>
      <c r="B507" s="136"/>
      <c r="C507" s="53">
        <f t="shared" si="76"/>
        <v>1</v>
      </c>
      <c r="D507" s="964"/>
      <c r="E507" s="53">
        <f t="shared" si="77"/>
        <v>0</v>
      </c>
      <c r="F507" s="964"/>
      <c r="G507" s="53">
        <f t="shared" si="78"/>
        <v>1</v>
      </c>
      <c r="H507" s="964"/>
      <c r="I507" s="53">
        <f t="shared" si="79"/>
        <v>1</v>
      </c>
      <c r="J507" s="964"/>
      <c r="K507" s="53">
        <f t="shared" si="80"/>
        <v>1</v>
      </c>
      <c r="L507" s="964"/>
      <c r="M507" s="53">
        <f t="shared" si="81"/>
        <v>1</v>
      </c>
      <c r="N507" s="964"/>
      <c r="O507" s="53">
        <f t="shared" si="82"/>
        <v>1</v>
      </c>
      <c r="P507" s="964"/>
      <c r="Q507" s="53">
        <f t="shared" si="83"/>
        <v>1</v>
      </c>
      <c r="R507" s="491">
        <f t="shared" si="84"/>
        <v>0</v>
      </c>
      <c r="S507" s="800">
        <f t="shared" si="75"/>
        <v>0</v>
      </c>
    </row>
    <row r="508" spans="1:19">
      <c r="A508" s="966"/>
      <c r="B508" s="136"/>
      <c r="C508" s="53">
        <f t="shared" si="76"/>
        <v>1</v>
      </c>
      <c r="D508" s="964"/>
      <c r="E508" s="53">
        <f t="shared" si="77"/>
        <v>0</v>
      </c>
      <c r="F508" s="964"/>
      <c r="G508" s="53">
        <f t="shared" si="78"/>
        <v>1</v>
      </c>
      <c r="H508" s="964"/>
      <c r="I508" s="53">
        <f t="shared" si="79"/>
        <v>1</v>
      </c>
      <c r="J508" s="964"/>
      <c r="K508" s="53">
        <f t="shared" si="80"/>
        <v>1</v>
      </c>
      <c r="L508" s="964"/>
      <c r="M508" s="53">
        <f t="shared" si="81"/>
        <v>1</v>
      </c>
      <c r="N508" s="964"/>
      <c r="O508" s="53">
        <f t="shared" si="82"/>
        <v>1</v>
      </c>
      <c r="P508" s="964"/>
      <c r="Q508" s="53">
        <f t="shared" si="83"/>
        <v>1</v>
      </c>
      <c r="R508" s="491">
        <f t="shared" si="84"/>
        <v>0</v>
      </c>
      <c r="S508" s="800">
        <f t="shared" si="75"/>
        <v>0</v>
      </c>
    </row>
    <row r="509" spans="1:19">
      <c r="A509" s="966"/>
      <c r="B509" s="136"/>
      <c r="C509" s="53">
        <f t="shared" si="76"/>
        <v>1</v>
      </c>
      <c r="D509" s="964"/>
      <c r="E509" s="53">
        <f t="shared" si="77"/>
        <v>0</v>
      </c>
      <c r="F509" s="964"/>
      <c r="G509" s="53">
        <f t="shared" si="78"/>
        <v>1</v>
      </c>
      <c r="H509" s="964"/>
      <c r="I509" s="53">
        <f t="shared" si="79"/>
        <v>1</v>
      </c>
      <c r="J509" s="964"/>
      <c r="K509" s="53">
        <f t="shared" si="80"/>
        <v>1</v>
      </c>
      <c r="L509" s="964"/>
      <c r="M509" s="53">
        <f t="shared" si="81"/>
        <v>1</v>
      </c>
      <c r="N509" s="964"/>
      <c r="O509" s="53">
        <f t="shared" si="82"/>
        <v>1</v>
      </c>
      <c r="P509" s="964"/>
      <c r="Q509" s="53">
        <f t="shared" si="83"/>
        <v>1</v>
      </c>
      <c r="R509" s="491">
        <f t="shared" si="84"/>
        <v>0</v>
      </c>
      <c r="S509" s="800">
        <f t="shared" si="75"/>
        <v>0</v>
      </c>
    </row>
    <row r="510" spans="1:19">
      <c r="A510" s="966"/>
      <c r="B510" s="136"/>
      <c r="C510" s="53">
        <f t="shared" si="76"/>
        <v>1</v>
      </c>
      <c r="D510" s="964"/>
      <c r="E510" s="53">
        <f t="shared" si="77"/>
        <v>0</v>
      </c>
      <c r="F510" s="964"/>
      <c r="G510" s="53">
        <f t="shared" si="78"/>
        <v>1</v>
      </c>
      <c r="H510" s="964"/>
      <c r="I510" s="53">
        <f t="shared" si="79"/>
        <v>1</v>
      </c>
      <c r="J510" s="964"/>
      <c r="K510" s="53">
        <f t="shared" si="80"/>
        <v>1</v>
      </c>
      <c r="L510" s="964"/>
      <c r="M510" s="53">
        <f t="shared" si="81"/>
        <v>1</v>
      </c>
      <c r="N510" s="964"/>
      <c r="O510" s="53">
        <f t="shared" si="82"/>
        <v>1</v>
      </c>
      <c r="P510" s="964"/>
      <c r="Q510" s="53">
        <f t="shared" si="83"/>
        <v>1</v>
      </c>
      <c r="R510" s="491">
        <f t="shared" si="84"/>
        <v>0</v>
      </c>
      <c r="S510" s="800">
        <f t="shared" si="75"/>
        <v>0</v>
      </c>
    </row>
    <row r="511" spans="1:19">
      <c r="A511" s="966"/>
      <c r="B511" s="136"/>
      <c r="C511" s="53">
        <f t="shared" si="76"/>
        <v>1</v>
      </c>
      <c r="D511" s="964"/>
      <c r="E511" s="53">
        <f t="shared" si="77"/>
        <v>0</v>
      </c>
      <c r="F511" s="964"/>
      <c r="G511" s="53">
        <f t="shared" si="78"/>
        <v>1</v>
      </c>
      <c r="H511" s="964"/>
      <c r="I511" s="53">
        <f t="shared" si="79"/>
        <v>1</v>
      </c>
      <c r="J511" s="964"/>
      <c r="K511" s="53">
        <f t="shared" si="80"/>
        <v>1</v>
      </c>
      <c r="L511" s="964"/>
      <c r="M511" s="53">
        <f t="shared" si="81"/>
        <v>1</v>
      </c>
      <c r="N511" s="964"/>
      <c r="O511" s="53">
        <f t="shared" si="82"/>
        <v>1</v>
      </c>
      <c r="P511" s="964"/>
      <c r="Q511" s="53">
        <f t="shared" si="83"/>
        <v>1</v>
      </c>
      <c r="R511" s="491">
        <f t="shared" si="84"/>
        <v>0</v>
      </c>
      <c r="S511" s="800">
        <f t="shared" si="75"/>
        <v>0</v>
      </c>
    </row>
    <row r="512" spans="1:19">
      <c r="A512" s="966"/>
      <c r="B512" s="136"/>
      <c r="C512" s="53">
        <f t="shared" si="76"/>
        <v>1</v>
      </c>
      <c r="D512" s="964"/>
      <c r="E512" s="53">
        <f t="shared" si="77"/>
        <v>0</v>
      </c>
      <c r="F512" s="964"/>
      <c r="G512" s="53">
        <f t="shared" si="78"/>
        <v>1</v>
      </c>
      <c r="H512" s="964"/>
      <c r="I512" s="53">
        <f t="shared" si="79"/>
        <v>1</v>
      </c>
      <c r="J512" s="964"/>
      <c r="K512" s="53">
        <f t="shared" si="80"/>
        <v>1</v>
      </c>
      <c r="L512" s="964"/>
      <c r="M512" s="53">
        <f t="shared" si="81"/>
        <v>1</v>
      </c>
      <c r="N512" s="964"/>
      <c r="O512" s="53">
        <f t="shared" si="82"/>
        <v>1</v>
      </c>
      <c r="P512" s="964"/>
      <c r="Q512" s="53">
        <f t="shared" si="83"/>
        <v>1</v>
      </c>
      <c r="R512" s="491">
        <f t="shared" si="84"/>
        <v>0</v>
      </c>
      <c r="S512" s="800">
        <f t="shared" si="75"/>
        <v>0</v>
      </c>
    </row>
    <row r="513" spans="1:19">
      <c r="A513" s="966"/>
      <c r="B513" s="136"/>
      <c r="C513" s="53">
        <f t="shared" si="76"/>
        <v>1</v>
      </c>
      <c r="D513" s="964"/>
      <c r="E513" s="53">
        <f t="shared" si="77"/>
        <v>0</v>
      </c>
      <c r="F513" s="964"/>
      <c r="G513" s="53">
        <f t="shared" si="78"/>
        <v>1</v>
      </c>
      <c r="H513" s="964"/>
      <c r="I513" s="53">
        <f t="shared" si="79"/>
        <v>1</v>
      </c>
      <c r="J513" s="964"/>
      <c r="K513" s="53">
        <f t="shared" si="80"/>
        <v>1</v>
      </c>
      <c r="L513" s="964"/>
      <c r="M513" s="53">
        <f t="shared" si="81"/>
        <v>1</v>
      </c>
      <c r="N513" s="964"/>
      <c r="O513" s="53">
        <f t="shared" si="82"/>
        <v>1</v>
      </c>
      <c r="P513" s="964"/>
      <c r="Q513" s="53">
        <f t="shared" si="83"/>
        <v>1</v>
      </c>
      <c r="R513" s="491">
        <f t="shared" si="84"/>
        <v>0</v>
      </c>
      <c r="S513" s="800">
        <f t="shared" si="75"/>
        <v>0</v>
      </c>
    </row>
    <row r="514" spans="1:19">
      <c r="A514" s="966"/>
      <c r="B514" s="136"/>
      <c r="C514" s="53">
        <f t="shared" si="76"/>
        <v>1</v>
      </c>
      <c r="D514" s="964"/>
      <c r="E514" s="53">
        <f t="shared" si="77"/>
        <v>0</v>
      </c>
      <c r="F514" s="964"/>
      <c r="G514" s="53">
        <f t="shared" si="78"/>
        <v>1</v>
      </c>
      <c r="H514" s="964"/>
      <c r="I514" s="53">
        <f t="shared" si="79"/>
        <v>1</v>
      </c>
      <c r="J514" s="964"/>
      <c r="K514" s="53">
        <f t="shared" si="80"/>
        <v>1</v>
      </c>
      <c r="L514" s="964"/>
      <c r="M514" s="53">
        <f t="shared" si="81"/>
        <v>1</v>
      </c>
      <c r="N514" s="964"/>
      <c r="O514" s="53">
        <f t="shared" si="82"/>
        <v>1</v>
      </c>
      <c r="P514" s="964"/>
      <c r="Q514" s="53">
        <f t="shared" si="83"/>
        <v>1</v>
      </c>
      <c r="R514" s="491">
        <f t="shared" si="84"/>
        <v>0</v>
      </c>
      <c r="S514" s="800">
        <f t="shared" si="75"/>
        <v>0</v>
      </c>
    </row>
    <row r="515" spans="1:19">
      <c r="A515" s="966"/>
      <c r="B515" s="136"/>
      <c r="C515" s="53">
        <f t="shared" si="76"/>
        <v>1</v>
      </c>
      <c r="D515" s="964"/>
      <c r="E515" s="53">
        <f t="shared" si="77"/>
        <v>0</v>
      </c>
      <c r="F515" s="964"/>
      <c r="G515" s="53">
        <f t="shared" si="78"/>
        <v>1</v>
      </c>
      <c r="H515" s="964"/>
      <c r="I515" s="53">
        <f t="shared" si="79"/>
        <v>1</v>
      </c>
      <c r="J515" s="964"/>
      <c r="K515" s="53">
        <f t="shared" si="80"/>
        <v>1</v>
      </c>
      <c r="L515" s="964"/>
      <c r="M515" s="53">
        <f t="shared" si="81"/>
        <v>1</v>
      </c>
      <c r="N515" s="964"/>
      <c r="O515" s="53">
        <f t="shared" si="82"/>
        <v>1</v>
      </c>
      <c r="P515" s="964"/>
      <c r="Q515" s="53">
        <f t="shared" si="83"/>
        <v>1</v>
      </c>
      <c r="R515" s="491">
        <f t="shared" si="84"/>
        <v>0</v>
      </c>
      <c r="S515" s="800">
        <f t="shared" si="75"/>
        <v>0</v>
      </c>
    </row>
    <row r="516" spans="1:19">
      <c r="A516" s="966"/>
      <c r="B516" s="136"/>
      <c r="C516" s="53">
        <f t="shared" si="76"/>
        <v>1</v>
      </c>
      <c r="D516" s="964"/>
      <c r="E516" s="53">
        <f t="shared" si="77"/>
        <v>0</v>
      </c>
      <c r="F516" s="964"/>
      <c r="G516" s="53">
        <f t="shared" si="78"/>
        <v>1</v>
      </c>
      <c r="H516" s="964"/>
      <c r="I516" s="53">
        <f t="shared" si="79"/>
        <v>1</v>
      </c>
      <c r="J516" s="964"/>
      <c r="K516" s="53">
        <f t="shared" si="80"/>
        <v>1</v>
      </c>
      <c r="L516" s="964"/>
      <c r="M516" s="53">
        <f t="shared" si="81"/>
        <v>1</v>
      </c>
      <c r="N516" s="964"/>
      <c r="O516" s="53">
        <f t="shared" si="82"/>
        <v>1</v>
      </c>
      <c r="P516" s="964"/>
      <c r="Q516" s="53">
        <f t="shared" si="83"/>
        <v>1</v>
      </c>
      <c r="R516" s="491">
        <f t="shared" si="84"/>
        <v>0</v>
      </c>
      <c r="S516" s="800">
        <f t="shared" si="75"/>
        <v>0</v>
      </c>
    </row>
    <row r="517" spans="1:19">
      <c r="A517" s="966"/>
      <c r="B517" s="136"/>
      <c r="C517" s="53">
        <f t="shared" si="76"/>
        <v>1</v>
      </c>
      <c r="D517" s="964"/>
      <c r="E517" s="53">
        <f t="shared" si="77"/>
        <v>0</v>
      </c>
      <c r="F517" s="964"/>
      <c r="G517" s="53">
        <f t="shared" si="78"/>
        <v>1</v>
      </c>
      <c r="H517" s="964"/>
      <c r="I517" s="53">
        <f t="shared" si="79"/>
        <v>1</v>
      </c>
      <c r="J517" s="964"/>
      <c r="K517" s="53">
        <f t="shared" si="80"/>
        <v>1</v>
      </c>
      <c r="L517" s="964"/>
      <c r="M517" s="53">
        <f t="shared" si="81"/>
        <v>1</v>
      </c>
      <c r="N517" s="964"/>
      <c r="O517" s="53">
        <f t="shared" si="82"/>
        <v>1</v>
      </c>
      <c r="P517" s="964"/>
      <c r="Q517" s="53">
        <f t="shared" si="83"/>
        <v>1</v>
      </c>
      <c r="R517" s="491">
        <f t="shared" si="84"/>
        <v>0</v>
      </c>
      <c r="S517" s="800">
        <f t="shared" si="75"/>
        <v>0</v>
      </c>
    </row>
    <row r="518" spans="1:19">
      <c r="A518" s="966"/>
      <c r="B518" s="136"/>
      <c r="C518" s="53">
        <f t="shared" si="76"/>
        <v>1</v>
      </c>
      <c r="D518" s="964"/>
      <c r="E518" s="53">
        <f t="shared" si="77"/>
        <v>0</v>
      </c>
      <c r="F518" s="964"/>
      <c r="G518" s="53">
        <f t="shared" si="78"/>
        <v>1</v>
      </c>
      <c r="H518" s="964"/>
      <c r="I518" s="53">
        <f t="shared" si="79"/>
        <v>1</v>
      </c>
      <c r="J518" s="964"/>
      <c r="K518" s="53">
        <f t="shared" si="80"/>
        <v>1</v>
      </c>
      <c r="L518" s="964"/>
      <c r="M518" s="53">
        <f t="shared" si="81"/>
        <v>1</v>
      </c>
      <c r="N518" s="964"/>
      <c r="O518" s="53">
        <f t="shared" si="82"/>
        <v>1</v>
      </c>
      <c r="P518" s="964"/>
      <c r="Q518" s="53">
        <f t="shared" si="83"/>
        <v>1</v>
      </c>
      <c r="R518" s="491">
        <f t="shared" si="84"/>
        <v>0</v>
      </c>
      <c r="S518" s="800">
        <f t="shared" si="75"/>
        <v>0</v>
      </c>
    </row>
    <row r="519" spans="1:19">
      <c r="A519" s="966"/>
      <c r="B519" s="136"/>
      <c r="C519" s="53">
        <f t="shared" si="76"/>
        <v>1</v>
      </c>
      <c r="D519" s="964"/>
      <c r="E519" s="53">
        <f t="shared" si="77"/>
        <v>0</v>
      </c>
      <c r="F519" s="964"/>
      <c r="G519" s="53">
        <f t="shared" si="78"/>
        <v>1</v>
      </c>
      <c r="H519" s="964"/>
      <c r="I519" s="53">
        <f t="shared" si="79"/>
        <v>1</v>
      </c>
      <c r="J519" s="964"/>
      <c r="K519" s="53">
        <f t="shared" si="80"/>
        <v>1</v>
      </c>
      <c r="L519" s="964"/>
      <c r="M519" s="53">
        <f t="shared" si="81"/>
        <v>1</v>
      </c>
      <c r="N519" s="964"/>
      <c r="O519" s="53">
        <f t="shared" si="82"/>
        <v>1</v>
      </c>
      <c r="P519" s="964"/>
      <c r="Q519" s="53">
        <f t="shared" si="83"/>
        <v>1</v>
      </c>
      <c r="R519" s="491">
        <f t="shared" si="84"/>
        <v>0</v>
      </c>
      <c r="S519" s="800">
        <f t="shared" si="75"/>
        <v>0</v>
      </c>
    </row>
    <row r="520" spans="1:19">
      <c r="A520" s="966"/>
      <c r="B520" s="136"/>
      <c r="C520" s="53">
        <f t="shared" si="76"/>
        <v>1</v>
      </c>
      <c r="D520" s="964"/>
      <c r="E520" s="53">
        <f t="shared" si="77"/>
        <v>0</v>
      </c>
      <c r="F520" s="964"/>
      <c r="G520" s="53">
        <f t="shared" si="78"/>
        <v>1</v>
      </c>
      <c r="H520" s="964"/>
      <c r="I520" s="53">
        <f t="shared" si="79"/>
        <v>1</v>
      </c>
      <c r="J520" s="964"/>
      <c r="K520" s="53">
        <f t="shared" si="80"/>
        <v>1</v>
      </c>
      <c r="L520" s="964"/>
      <c r="M520" s="53">
        <f t="shared" si="81"/>
        <v>1</v>
      </c>
      <c r="N520" s="964"/>
      <c r="O520" s="53">
        <f t="shared" si="82"/>
        <v>1</v>
      </c>
      <c r="P520" s="964"/>
      <c r="Q520" s="53">
        <f t="shared" si="83"/>
        <v>1</v>
      </c>
      <c r="R520" s="491">
        <f t="shared" si="84"/>
        <v>0</v>
      </c>
      <c r="S520" s="800">
        <f t="shared" si="75"/>
        <v>0</v>
      </c>
    </row>
    <row r="521" spans="1:19">
      <c r="A521" s="966"/>
      <c r="B521" s="136"/>
      <c r="C521" s="53">
        <f t="shared" si="76"/>
        <v>1</v>
      </c>
      <c r="D521" s="964"/>
      <c r="E521" s="53">
        <f t="shared" si="77"/>
        <v>0</v>
      </c>
      <c r="F521" s="964"/>
      <c r="G521" s="53">
        <f t="shared" si="78"/>
        <v>1</v>
      </c>
      <c r="H521" s="964"/>
      <c r="I521" s="53">
        <f t="shared" si="79"/>
        <v>1</v>
      </c>
      <c r="J521" s="964"/>
      <c r="K521" s="53">
        <f t="shared" si="80"/>
        <v>1</v>
      </c>
      <c r="L521" s="964"/>
      <c r="M521" s="53">
        <f t="shared" si="81"/>
        <v>1</v>
      </c>
      <c r="N521" s="964"/>
      <c r="O521" s="53">
        <f t="shared" si="82"/>
        <v>1</v>
      </c>
      <c r="P521" s="964"/>
      <c r="Q521" s="53">
        <f t="shared" si="83"/>
        <v>1</v>
      </c>
      <c r="R521" s="491">
        <f t="shared" si="84"/>
        <v>0</v>
      </c>
      <c r="S521" s="800">
        <f t="shared" si="75"/>
        <v>0</v>
      </c>
    </row>
    <row r="522" spans="1:19">
      <c r="A522" s="966"/>
      <c r="B522" s="136"/>
      <c r="C522" s="53">
        <f t="shared" si="76"/>
        <v>1</v>
      </c>
      <c r="D522" s="964"/>
      <c r="E522" s="53">
        <f t="shared" si="77"/>
        <v>0</v>
      </c>
      <c r="F522" s="964"/>
      <c r="G522" s="53">
        <f t="shared" si="78"/>
        <v>1</v>
      </c>
      <c r="H522" s="964"/>
      <c r="I522" s="53">
        <f t="shared" si="79"/>
        <v>1</v>
      </c>
      <c r="J522" s="964"/>
      <c r="K522" s="53">
        <f t="shared" si="80"/>
        <v>1</v>
      </c>
      <c r="L522" s="964"/>
      <c r="M522" s="53">
        <f t="shared" si="81"/>
        <v>1</v>
      </c>
      <c r="N522" s="964"/>
      <c r="O522" s="53">
        <f t="shared" si="82"/>
        <v>1</v>
      </c>
      <c r="P522" s="964"/>
      <c r="Q522" s="53">
        <f t="shared" si="83"/>
        <v>1</v>
      </c>
      <c r="R522" s="491">
        <f t="shared" si="84"/>
        <v>0</v>
      </c>
      <c r="S522" s="800">
        <f t="shared" si="75"/>
        <v>0</v>
      </c>
    </row>
    <row r="523" spans="1:19">
      <c r="A523" s="966"/>
      <c r="B523" s="136"/>
      <c r="C523" s="53">
        <f t="shared" si="76"/>
        <v>1</v>
      </c>
      <c r="D523" s="964"/>
      <c r="E523" s="53">
        <f t="shared" si="77"/>
        <v>0</v>
      </c>
      <c r="F523" s="964"/>
      <c r="G523" s="53">
        <f t="shared" si="78"/>
        <v>1</v>
      </c>
      <c r="H523" s="964"/>
      <c r="I523" s="53">
        <f t="shared" si="79"/>
        <v>1</v>
      </c>
      <c r="J523" s="964"/>
      <c r="K523" s="53">
        <f t="shared" si="80"/>
        <v>1</v>
      </c>
      <c r="L523" s="964"/>
      <c r="M523" s="53">
        <f t="shared" si="81"/>
        <v>1</v>
      </c>
      <c r="N523" s="964"/>
      <c r="O523" s="53">
        <f t="shared" si="82"/>
        <v>1</v>
      </c>
      <c r="P523" s="964"/>
      <c r="Q523" s="53">
        <f t="shared" si="83"/>
        <v>1</v>
      </c>
      <c r="R523" s="491">
        <f t="shared" si="84"/>
        <v>0</v>
      </c>
      <c r="S523" s="800">
        <f t="shared" si="75"/>
        <v>0</v>
      </c>
    </row>
    <row r="524" spans="1:19">
      <c r="A524" s="966"/>
      <c r="B524" s="136"/>
      <c r="C524" s="53">
        <f t="shared" si="76"/>
        <v>1</v>
      </c>
      <c r="D524" s="964"/>
      <c r="E524" s="53">
        <f t="shared" si="77"/>
        <v>0</v>
      </c>
      <c r="F524" s="964"/>
      <c r="G524" s="53">
        <f t="shared" si="78"/>
        <v>1</v>
      </c>
      <c r="H524" s="964"/>
      <c r="I524" s="53">
        <f t="shared" si="79"/>
        <v>1</v>
      </c>
      <c r="J524" s="964"/>
      <c r="K524" s="53">
        <f t="shared" si="80"/>
        <v>1</v>
      </c>
      <c r="L524" s="964"/>
      <c r="M524" s="53">
        <f t="shared" si="81"/>
        <v>1</v>
      </c>
      <c r="N524" s="964"/>
      <c r="O524" s="53">
        <f t="shared" si="82"/>
        <v>1</v>
      </c>
      <c r="P524" s="964"/>
      <c r="Q524" s="53">
        <f t="shared" si="83"/>
        <v>1</v>
      </c>
      <c r="R524" s="491">
        <f t="shared" si="84"/>
        <v>0</v>
      </c>
      <c r="S524" s="800">
        <f t="shared" si="75"/>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70" zoomScaleNormal="70" workbookViewId="0">
      <selection activeCell="D30" sqref="D3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35</v>
      </c>
      <c r="D1" s="3155" t="s">
        <v>952</v>
      </c>
      <c r="E1" s="2411" t="s">
        <v>870</v>
      </c>
      <c r="F1" s="2412">
        <f ca="1">J53</f>
        <v>45.48</v>
      </c>
      <c r="G1" s="775">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f ca="1">C40+J29+L46</f>
        <v>17730</v>
      </c>
      <c r="C2" s="2057"/>
      <c r="D2" s="2055"/>
      <c r="E2" s="2056"/>
      <c r="F2" s="2056"/>
      <c r="G2" s="1591"/>
      <c r="H2" s="2057"/>
      <c r="I2" s="2057"/>
      <c r="J2" s="2057"/>
      <c r="K2" s="2058"/>
      <c r="L2" s="2057"/>
      <c r="M2" s="2057"/>
    </row>
    <row r="3" spans="1:33" ht="18" customHeight="1" thickBot="1">
      <c r="A3" s="834" t="s">
        <v>1728</v>
      </c>
      <c r="B3" s="835">
        <f ca="1">IF(ISERROR(B2*10000/F43),0,ROUND(B2*10000/F43,0))</f>
        <v>3479</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f ca="1">C6+C10+C12</f>
        <v>1101</v>
      </c>
      <c r="D5" s="2520" t="s">
        <v>2464</v>
      </c>
      <c r="E5" s="2514"/>
      <c r="F5" s="2515"/>
      <c r="G5" s="1593"/>
      <c r="H5" s="782">
        <v>1</v>
      </c>
      <c r="I5" s="783" t="s">
        <v>2461</v>
      </c>
      <c r="J5" s="55">
        <f ca="1">J6+J10+J12</f>
        <v>0</v>
      </c>
      <c r="K5" s="2520" t="s">
        <v>2464</v>
      </c>
      <c r="L5" s="2514"/>
      <c r="M5" s="2515"/>
    </row>
    <row r="6" spans="1:33" ht="18" customHeight="1">
      <c r="A6" s="1831" t="s">
        <v>1825</v>
      </c>
      <c r="B6" s="3482" t="s">
        <v>2466</v>
      </c>
      <c r="C6" s="784">
        <f ca="1">ROUND(F6*F8*F7*(1-F9)/10000,0)</f>
        <v>1101</v>
      </c>
      <c r="D6" s="2521" t="s">
        <v>2465</v>
      </c>
      <c r="E6" s="785" t="s">
        <v>1739</v>
      </c>
      <c r="F6" s="786">
        <f ca="1">INDIRECT("'数据-取费表'!u"&amp;$G$1)</f>
        <v>800</v>
      </c>
      <c r="G6" s="1593"/>
      <c r="H6" s="2528" t="s">
        <v>1825</v>
      </c>
      <c r="I6" s="3482" t="s">
        <v>2466</v>
      </c>
      <c r="J6" s="784">
        <f ca="1">ROUND(M6*M8*M7*(1-M9)/10000,0)</f>
        <v>0</v>
      </c>
      <c r="K6" s="342" t="s">
        <v>1738</v>
      </c>
      <c r="L6" s="785" t="s">
        <v>1739</v>
      </c>
      <c r="M6" s="786">
        <f ca="1">INDIRECT("'数据-取费表'!z"&amp;$G$1)</f>
        <v>0</v>
      </c>
    </row>
    <row r="7" spans="1:33" ht="18" customHeight="1">
      <c r="A7" s="2524"/>
      <c r="B7" s="3483"/>
      <c r="C7" s="789"/>
      <c r="D7" s="790"/>
      <c r="E7" s="785" t="s">
        <v>1740</v>
      </c>
      <c r="F7" s="786">
        <f ca="1">IF(INDIRECT("'数据-取费表'!ah"&amp;$G$1)="",INDIRECT("'数据-取费表'!k"&amp;$G$1),INDIRECT("'数据-取费表'!ah"&amp;$G$1))</f>
        <v>1274</v>
      </c>
      <c r="G7" s="1593"/>
      <c r="H7" s="2513"/>
      <c r="I7" s="3483"/>
      <c r="J7" s="789"/>
      <c r="K7" s="790"/>
      <c r="L7" s="785" t="s">
        <v>1740</v>
      </c>
      <c r="M7" s="786">
        <f ca="1">F7</f>
        <v>1274</v>
      </c>
    </row>
    <row r="8" spans="1:33" ht="18" customHeight="1">
      <c r="A8" s="2517"/>
      <c r="B8" s="3484"/>
      <c r="C8" s="789"/>
      <c r="D8" s="790"/>
      <c r="E8" s="785" t="s">
        <v>1741</v>
      </c>
      <c r="F8" s="786">
        <f ca="1">INDIRECT("'数据-取费表'!ai"&amp;$G$1)</f>
        <v>12</v>
      </c>
      <c r="G8" s="1593"/>
      <c r="H8" s="2513"/>
      <c r="I8" s="3484"/>
      <c r="J8" s="789"/>
      <c r="K8" s="790"/>
      <c r="L8" s="785" t="s">
        <v>1741</v>
      </c>
      <c r="M8" s="786">
        <f ca="1">INDIRECT("'数据-取费表'!ai"&amp;$G$1)</f>
        <v>12</v>
      </c>
    </row>
    <row r="9" spans="1:33" ht="18" customHeight="1">
      <c r="A9" s="787"/>
      <c r="B9" s="3485"/>
      <c r="C9" s="789"/>
      <c r="D9" s="790"/>
      <c r="E9" s="785" t="s">
        <v>1742</v>
      </c>
      <c r="F9" s="795">
        <f ca="1">INDIRECT("'数据-取费表'!w"&amp;$G$1)</f>
        <v>0.1</v>
      </c>
      <c r="G9" s="1593"/>
      <c r="H9" s="2529"/>
      <c r="I9" s="3484"/>
      <c r="J9" s="789"/>
      <c r="K9" s="790"/>
      <c r="L9" s="796" t="s">
        <v>1742</v>
      </c>
      <c r="M9" s="797">
        <f ca="1">INDIRECT("'数据-取费表'!ab"&amp;$G$1)</f>
        <v>0</v>
      </c>
    </row>
    <row r="10" spans="1:33" ht="18" customHeight="1">
      <c r="A10" s="1831" t="s">
        <v>1826</v>
      </c>
      <c r="B10" s="2518" t="s">
        <v>2462</v>
      </c>
      <c r="C10" s="800">
        <f ca="1">ROUND(IF(F10="押一",F6*F8*F7/12*F11,IF(F10="押二",F6*F8*F7/12*2*F11,IF(F10="押三",F6*F8*F7/12*3*F11,C11*F11)))/10000,0)</f>
        <v>0</v>
      </c>
      <c r="D10" s="2525" t="s">
        <v>2469</v>
      </c>
      <c r="E10" s="2522" t="s">
        <v>2467</v>
      </c>
      <c r="F10" s="2645"/>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f ca="1">ROUND(C29*F13,0)</f>
        <v>14130</v>
      </c>
      <c r="D13" s="1835" t="s">
        <v>2298</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1832</v>
      </c>
      <c r="B14" s="785" t="s">
        <v>646</v>
      </c>
      <c r="C14" s="805">
        <f ca="1">INDIRECT("'数据-取费表'!m"&amp;$G$1)+INDIRECT("'数据-取费表'!t"&amp;$G$1)</f>
        <v>9664</v>
      </c>
      <c r="D14" s="3165" t="s">
        <v>1746</v>
      </c>
      <c r="E14" s="3164"/>
      <c r="F14" s="806"/>
      <c r="G14" s="1593"/>
      <c r="H14" s="1650" t="s">
        <v>1825</v>
      </c>
      <c r="I14" s="2231" t="s">
        <v>2831</v>
      </c>
      <c r="J14" s="53">
        <f ca="1">C29</f>
        <v>14130</v>
      </c>
      <c r="K14" s="26"/>
      <c r="L14" s="802"/>
      <c r="M14" s="803"/>
    </row>
    <row r="15" spans="1:33" s="2064" customFormat="1" ht="18" customHeight="1" thickBot="1">
      <c r="A15" s="1649" t="s">
        <v>1833</v>
      </c>
      <c r="B15" s="785" t="s">
        <v>648</v>
      </c>
      <c r="C15" s="53">
        <f ca="1">ROUND(C14*F15,0)</f>
        <v>387</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f ca="1">ROUND(INDIRECT("'数据-取费表'!m"&amp;$G$1)*F16,0)</f>
        <v>0</v>
      </c>
      <c r="D16" s="785" t="s">
        <v>1747</v>
      </c>
      <c r="E16" s="785" t="s">
        <v>1748</v>
      </c>
      <c r="F16" s="810">
        <f ca="1">IF(INDIRECT("'数据-取费表'!c"&amp;$G$1)="住宅",'数据-取费表'!B34,0)</f>
        <v>0</v>
      </c>
      <c r="G16" s="1593"/>
      <c r="H16" s="1830" t="s">
        <v>7</v>
      </c>
      <c r="I16" s="1828" t="s">
        <v>1750</v>
      </c>
      <c r="J16" s="793">
        <f ca="1">ROUND(J17+J22+J23+J24,0)</f>
        <v>336</v>
      </c>
      <c r="K16" s="1822" t="s">
        <v>1751</v>
      </c>
      <c r="L16" s="3167"/>
      <c r="M16" s="2515"/>
    </row>
    <row r="17" spans="1:33" s="2064" customFormat="1" ht="18" customHeight="1">
      <c r="A17" s="1649" t="s">
        <v>1888</v>
      </c>
      <c r="B17" s="785" t="s">
        <v>654</v>
      </c>
      <c r="C17" s="53">
        <f ca="1">ROUND(F17*(F43+INDIRECT("'数据-取费表'!S"&amp;$G$1))/10000,0)</f>
        <v>1221</v>
      </c>
      <c r="D17" s="785" t="s">
        <v>1752</v>
      </c>
      <c r="E17" s="785" t="s">
        <v>1753</v>
      </c>
      <c r="F17" s="56">
        <f>'数据-取费表'!B35</f>
        <v>200</v>
      </c>
      <c r="G17" s="1594"/>
      <c r="H17" s="1650" t="s">
        <v>1825</v>
      </c>
      <c r="I17" s="785" t="s">
        <v>657</v>
      </c>
      <c r="J17" s="53">
        <f ca="1">ROUND(IF(项目基本情况!B11="自然人",J5*M17,J18+J19+J20),0)</f>
        <v>124</v>
      </c>
      <c r="K17" s="3165" t="s">
        <v>1754</v>
      </c>
      <c r="L17" s="3166"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145</v>
      </c>
      <c r="D18" s="785" t="s">
        <v>1747</v>
      </c>
      <c r="E18" s="785" t="s">
        <v>1748</v>
      </c>
      <c r="F18" s="810">
        <f>'数据-取费表'!B36</f>
        <v>1.4999999999999999E-2</v>
      </c>
      <c r="G18" s="1594"/>
      <c r="H18" s="1649" t="s">
        <v>1832</v>
      </c>
      <c r="I18" s="785" t="s">
        <v>1756</v>
      </c>
      <c r="J18" s="53">
        <f ca="1">ROUND(J5*M18/1.05,1)</f>
        <v>0</v>
      </c>
      <c r="K18" s="3166"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f ca="1">SUM(C14:C18)</f>
        <v>11417</v>
      </c>
      <c r="D19" s="259" t="s">
        <v>1758</v>
      </c>
      <c r="E19" s="3168"/>
      <c r="F19" s="56"/>
      <c r="G19" s="1593"/>
      <c r="H19" s="1649" t="s">
        <v>1833</v>
      </c>
      <c r="I19" s="785" t="s">
        <v>1759</v>
      </c>
      <c r="J19" s="53">
        <f ca="1">IF(K19="按租金收入计税",ROUND(J5*M19,1),ROUND(C29*F33*0.7,1))</f>
        <v>118.7</v>
      </c>
      <c r="K19" s="812" t="s">
        <v>666</v>
      </c>
      <c r="L19" s="785" t="s">
        <v>1748</v>
      </c>
      <c r="M19" s="810">
        <f>IF(K19="按租金收入计税",'数据-取费表'!B51,'数据-取费表'!B50)</f>
        <v>1.2E-2</v>
      </c>
    </row>
    <row r="20" spans="1:33" s="2064" customFormat="1" ht="18" customHeight="1">
      <c r="A20" s="1650" t="s">
        <v>1890</v>
      </c>
      <c r="B20" s="785" t="s">
        <v>667</v>
      </c>
      <c r="C20" s="53">
        <f ca="1">ROUND(C19*F20,0)</f>
        <v>228</v>
      </c>
      <c r="D20" s="813" t="s">
        <v>1760</v>
      </c>
      <c r="E20" s="785" t="s">
        <v>1748</v>
      </c>
      <c r="F20" s="810">
        <f>'数据-取费表'!B37</f>
        <v>0.02</v>
      </c>
      <c r="G20" s="1594"/>
      <c r="H20" s="1652" t="s">
        <v>1834</v>
      </c>
      <c r="I20" s="342" t="s">
        <v>1761</v>
      </c>
      <c r="J20" s="54">
        <f ca="1">ROUND(M20*M21/10000,0)</f>
        <v>5</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f ca="1">INDIRECT("'数据-取费表'!r"&amp;$G$1)</f>
        <v>33859.07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68"/>
      <c r="F22" s="56"/>
      <c r="G22" s="1593"/>
      <c r="H22" s="1650" t="s">
        <v>1890</v>
      </c>
      <c r="I22" s="785" t="s">
        <v>1769</v>
      </c>
      <c r="J22" s="53">
        <f ca="1">ROUND(J14*M22,0)</f>
        <v>212</v>
      </c>
      <c r="K22" s="3166" t="s">
        <v>1770</v>
      </c>
      <c r="L22" s="785" t="s">
        <v>1748</v>
      </c>
      <c r="M22" s="818">
        <f ca="1">INDIRECT("'数据-取费表'!Ak"&amp;$G$1)</f>
        <v>1.4999999999999999E-2</v>
      </c>
    </row>
    <row r="23" spans="1:33" s="2064" customFormat="1" ht="18" customHeight="1">
      <c r="A23" s="1649" t="s">
        <v>1832</v>
      </c>
      <c r="B23" s="785" t="s">
        <v>2439</v>
      </c>
      <c r="C23" s="53">
        <f ca="1">ROUND(IF('数据-取费表'!B22&lt;=1,(C19+C20)*F24*F23/2,(C19+C20)*(POWER((1+F24),F23/2)-1)),0)</f>
        <v>839</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3166" t="s">
        <v>1772</v>
      </c>
      <c r="L23" s="785" t="s">
        <v>1748</v>
      </c>
      <c r="M23" s="819">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68"/>
      <c r="F25" s="56"/>
      <c r="G25" s="1593"/>
      <c r="H25" s="1830" t="s">
        <v>1777</v>
      </c>
      <c r="I25" s="3036" t="s">
        <v>2828</v>
      </c>
      <c r="J25" s="793">
        <f ca="1">J5-J16</f>
        <v>-336</v>
      </c>
      <c r="K25" s="2572" t="s">
        <v>1778</v>
      </c>
      <c r="L25" s="2573"/>
      <c r="M25" s="2574"/>
    </row>
    <row r="26" spans="1:33" ht="18" customHeight="1">
      <c r="A26" s="1649" t="s">
        <v>1832</v>
      </c>
      <c r="B26" s="785" t="s">
        <v>2440</v>
      </c>
      <c r="C26" s="53">
        <f ca="1">ROUND((C19+C20)*F26,0)</f>
        <v>582</v>
      </c>
      <c r="D26" s="813" t="s">
        <v>1779</v>
      </c>
      <c r="E26" s="796" t="s">
        <v>1780</v>
      </c>
      <c r="F26" s="795">
        <f ca="1">INDIRECT("'数据-取费表'!q"&amp;$G$1)</f>
        <v>0.05</v>
      </c>
      <c r="G26" s="1593"/>
      <c r="H26" s="2526" t="s">
        <v>1781</v>
      </c>
      <c r="I26" s="2232" t="s">
        <v>2833</v>
      </c>
      <c r="J26" s="784">
        <f ca="1">IF(J5&lt;&gt;0,ROUND(J25*(1-((1+M28)/(1+M26))^M27)/(M26-M28),0),0)</f>
        <v>0</v>
      </c>
      <c r="K26" s="815" t="s">
        <v>1782</v>
      </c>
      <c r="L26" s="785" t="s">
        <v>2421</v>
      </c>
      <c r="M26" s="795">
        <f ca="1">INDIRECT("'数据-取费表'!I"&amp;$G$1)</f>
        <v>4.4999999999999998E-2</v>
      </c>
    </row>
    <row r="27" spans="1:33" ht="18" customHeight="1">
      <c r="A27" s="1649" t="s">
        <v>1833</v>
      </c>
      <c r="B27" s="785" t="s">
        <v>687</v>
      </c>
      <c r="C27" s="53">
        <f ca="1">ROUND(F21*F26,4)</f>
        <v>1E-3</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14130</v>
      </c>
      <c r="D29" s="2569"/>
      <c r="E29" s="2570"/>
      <c r="F29" s="2571"/>
      <c r="G29" s="1594"/>
      <c r="H29" s="824" t="s">
        <v>1788</v>
      </c>
      <c r="I29" s="825" t="s">
        <v>1789</v>
      </c>
      <c r="J29" s="826">
        <f ca="1">ROUND(J26/(1+F40)^F41,0)</f>
        <v>0</v>
      </c>
      <c r="K29" s="827" t="s">
        <v>1790</v>
      </c>
      <c r="L29" s="828"/>
      <c r="M29" s="829">
        <f ca="1">INDIRECT("'数据-取费表'!k"&amp;$G$1)</f>
        <v>50960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f ca="1">ROUND(C31+C36+C37+C38,0)</f>
        <v>437</v>
      </c>
      <c r="D30" s="1822" t="s">
        <v>1751</v>
      </c>
      <c r="E30" s="3167"/>
      <c r="F30" s="2515"/>
      <c r="G30" s="2062"/>
      <c r="H30" s="2065"/>
      <c r="I30" s="2066"/>
      <c r="J30" s="2067"/>
      <c r="K30" s="2068"/>
      <c r="L30" s="2069"/>
      <c r="M30" s="2070"/>
    </row>
    <row r="31" spans="1:33" ht="18" customHeight="1">
      <c r="A31" s="1650" t="s">
        <v>1825</v>
      </c>
      <c r="B31" s="785" t="s">
        <v>657</v>
      </c>
      <c r="C31" s="53">
        <f ca="1">ROUND(IF(项目基本情况!B11="自然人",C5*F31,C32+C33+C34),1)</f>
        <v>182</v>
      </c>
      <c r="D31" s="3165" t="s">
        <v>1754</v>
      </c>
      <c r="E31" s="3166"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f ca="1">ROUND(C5*F32/1.05,1)</f>
        <v>58.2</v>
      </c>
      <c r="D32" s="3166"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f ca="1">IF(D33="按租金收入计税",ROUND(C5*F33,1),IF(D33="按房产原值计税",ROUND(C29*F33*0.7,1),INDIRECT("'数据-取费表'!Aj"&amp;$G$1)))</f>
        <v>118.7</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f ca="1">ROUND(F34*F35/10000,1)</f>
        <v>5.0999999999999996</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f ca="1">INDIRECT("'数据-取费表'!r"&amp;$G$1)</f>
        <v>33859.07</v>
      </c>
      <c r="G35" s="2062"/>
      <c r="H35" s="2065"/>
      <c r="I35" s="838" t="s">
        <v>1815</v>
      </c>
      <c r="J35" s="839">
        <f ca="1">ROUND(C13*J36,0)</f>
        <v>1130</v>
      </c>
      <c r="K35" s="2078"/>
      <c r="L35" s="2077"/>
      <c r="M35" s="2077"/>
    </row>
    <row r="36" spans="1:18" ht="18" customHeight="1">
      <c r="A36" s="1650" t="s">
        <v>1890</v>
      </c>
      <c r="B36" s="785" t="s">
        <v>1769</v>
      </c>
      <c r="C36" s="53">
        <f ca="1">ROUND(C29*F36,1)</f>
        <v>212</v>
      </c>
      <c r="D36" s="3166" t="s">
        <v>1804</v>
      </c>
      <c r="E36" s="785" t="s">
        <v>1748</v>
      </c>
      <c r="F36" s="818">
        <f ca="1">INDIRECT("'数据-取费表'!Ak"&amp;$G$1)</f>
        <v>1.4999999999999999E-2</v>
      </c>
      <c r="G36" s="2062"/>
      <c r="H36" s="2077"/>
      <c r="I36" s="840" t="s">
        <v>1816</v>
      </c>
      <c r="J36" s="841">
        <f ca="1">INDIRECT("'数据-取费表'!j"&amp;$G$1)</f>
        <v>0.08</v>
      </c>
      <c r="K36" s="2082"/>
      <c r="L36" s="2077"/>
      <c r="M36" s="2077"/>
    </row>
    <row r="37" spans="1:18" ht="18" customHeight="1">
      <c r="A37" s="1650" t="s">
        <v>1891</v>
      </c>
      <c r="B37" s="785" t="s">
        <v>680</v>
      </c>
      <c r="C37" s="53">
        <f ca="1">ROUND(C13*F37,1)</f>
        <v>21.2</v>
      </c>
      <c r="D37" s="3166" t="s">
        <v>1772</v>
      </c>
      <c r="E37" s="785" t="s">
        <v>1748</v>
      </c>
      <c r="F37" s="819">
        <f ca="1">INDIRECT("'数据-取费表'!Al"&amp;$G$1)</f>
        <v>1.5E-3</v>
      </c>
      <c r="G37" s="2062"/>
      <c r="H37" s="2077"/>
      <c r="I37" s="842" t="s">
        <v>1817</v>
      </c>
      <c r="J37" s="843"/>
      <c r="K37" s="2082"/>
      <c r="L37" s="2077"/>
      <c r="M37" s="2077"/>
    </row>
    <row r="38" spans="1:18" ht="18" customHeight="1" thickBot="1">
      <c r="A38" s="2575" t="s">
        <v>1892</v>
      </c>
      <c r="B38" s="2570" t="s">
        <v>667</v>
      </c>
      <c r="C38" s="2568">
        <f ca="1">ROUND(C5*F38,1)</f>
        <v>22</v>
      </c>
      <c r="D38" s="2569" t="s">
        <v>1775</v>
      </c>
      <c r="E38" s="2570" t="s">
        <v>1748</v>
      </c>
      <c r="F38" s="2566">
        <f ca="1">INDIRECT("'数据-取费表'!Am"&amp;$G$1)</f>
        <v>0.02</v>
      </c>
      <c r="G38" s="2062"/>
      <c r="H38" s="2077"/>
      <c r="I38" s="844" t="s">
        <v>1818</v>
      </c>
      <c r="J38" s="845"/>
      <c r="K38" s="2083"/>
      <c r="L38" s="2077"/>
      <c r="M38" s="2077"/>
    </row>
    <row r="39" spans="1:18" ht="24.6" customHeight="1" thickTop="1">
      <c r="A39" s="1830" t="s">
        <v>1777</v>
      </c>
      <c r="B39" s="3036" t="s">
        <v>2828</v>
      </c>
      <c r="C39" s="793">
        <f ca="1">C5-C30</f>
        <v>664</v>
      </c>
      <c r="D39" s="2572" t="s">
        <v>1778</v>
      </c>
      <c r="E39" s="2573"/>
      <c r="F39" s="2574"/>
      <c r="G39" s="2062"/>
      <c r="H39" s="2077"/>
      <c r="I39" s="838" t="s">
        <v>1819</v>
      </c>
      <c r="J39" s="846">
        <f ca="1">ROUND(J35/C39,3)</f>
        <v>1.702</v>
      </c>
      <c r="K39" s="2083"/>
      <c r="L39" s="2077"/>
      <c r="M39" s="2077"/>
    </row>
    <row r="40" spans="1:18" ht="18" customHeight="1">
      <c r="A40" s="782" t="s">
        <v>1781</v>
      </c>
      <c r="B40" s="2232" t="s">
        <v>2302</v>
      </c>
      <c r="C40" s="784">
        <f ca="1">ROUND(C39*(1-((1+F42)/(1+F40))^F41)/(F40-F42),0)</f>
        <v>17730</v>
      </c>
      <c r="D40" s="815" t="s">
        <v>1782</v>
      </c>
      <c r="E40" s="785" t="s">
        <v>2421</v>
      </c>
      <c r="F40" s="795">
        <f ca="1">INDIRECT("'数据-取费表'!I"&amp;$G$1)</f>
        <v>4.4999999999999998E-2</v>
      </c>
      <c r="G40" s="2062"/>
      <c r="H40" s="2062"/>
      <c r="I40" s="838" t="s">
        <v>1820</v>
      </c>
      <c r="J40" s="846">
        <f ca="1">1-J39</f>
        <v>-0.70199999999999996</v>
      </c>
      <c r="K40" s="2083"/>
      <c r="L40" s="2062"/>
      <c r="M40" s="2062"/>
    </row>
    <row r="41" spans="1:18" ht="18" customHeight="1">
      <c r="A41" s="787"/>
      <c r="B41" s="788"/>
      <c r="C41" s="789"/>
      <c r="D41" s="822" t="s">
        <v>1809</v>
      </c>
      <c r="E41" s="785" t="s">
        <v>1785</v>
      </c>
      <c r="F41" s="823">
        <f ca="1">IF(INDIRECT("'数据-取费表'!af"&amp;$G$1)=0,INDIRECT("'数据-取费表'!ae"&amp;$G$1),INDIRECT("'数据-取费表'!af"&amp;$G$1))</f>
        <v>45.48</v>
      </c>
      <c r="G41" s="2062"/>
      <c r="H41" s="1988"/>
      <c r="I41" s="844" t="s">
        <v>1821</v>
      </c>
      <c r="J41" s="847"/>
      <c r="K41" s="2082"/>
      <c r="L41" s="1988"/>
      <c r="M41" s="1988"/>
    </row>
    <row r="42" spans="1:18" ht="18" customHeight="1">
      <c r="A42" s="791"/>
      <c r="B42" s="792"/>
      <c r="C42" s="793"/>
      <c r="D42" s="817"/>
      <c r="E42" s="785" t="s">
        <v>1787</v>
      </c>
      <c r="F42" s="795">
        <f ca="1">INDIRECT("'数据-取费表'!v"&amp;$G$1)</f>
        <v>0.02</v>
      </c>
      <c r="G42" s="2062"/>
      <c r="H42" s="1988"/>
      <c r="I42" s="848" t="s">
        <v>1822</v>
      </c>
      <c r="J42" s="846">
        <f ca="1">ROUND(C13/C40,3)</f>
        <v>0.79700000000000004</v>
      </c>
      <c r="K42" s="2082"/>
      <c r="L42" s="1988"/>
      <c r="M42" s="1988"/>
    </row>
    <row r="43" spans="1:18" ht="18" customHeight="1" thickBot="1">
      <c r="A43" s="824" t="s">
        <v>1788</v>
      </c>
      <c r="B43" s="825" t="s">
        <v>1811</v>
      </c>
      <c r="C43" s="826">
        <f ca="1">ROUND(C40*10000/F43,0)</f>
        <v>3479</v>
      </c>
      <c r="D43" s="827" t="s">
        <v>1812</v>
      </c>
      <c r="E43" s="828" t="s">
        <v>1813</v>
      </c>
      <c r="F43" s="829">
        <f ca="1">INDIRECT("'数据-取费表'!k"&amp;$G$1)</f>
        <v>50960</v>
      </c>
      <c r="G43" s="2062"/>
      <c r="H43" s="1988"/>
      <c r="I43" s="848" t="s">
        <v>1823</v>
      </c>
      <c r="J43" s="849">
        <f ca="1">1-J42</f>
        <v>0.20299999999999996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-24592</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t="s">
        <v>2991</v>
      </c>
      <c r="K47" s="2388" t="s">
        <v>2351</v>
      </c>
      <c r="L47" s="2389">
        <f ca="1">INDIRECT("'数据-取费表'!d"&amp;$G$1)</f>
        <v>50</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f ca="1">ROUND(F48*F50*F49*(1-F51)/10000,0)</f>
        <v>0</v>
      </c>
      <c r="D48" s="2375" t="s">
        <v>637</v>
      </c>
      <c r="E48" s="2376" t="s">
        <v>2297</v>
      </c>
      <c r="F48" s="2377"/>
      <c r="G48" s="2090"/>
      <c r="I48" s="2383" t="s">
        <v>2346</v>
      </c>
      <c r="J48" s="2390" t="s">
        <v>2352</v>
      </c>
      <c r="K48" s="2391" t="s">
        <v>2353</v>
      </c>
      <c r="L48" s="2392">
        <f ca="1">INDIRECT("'数据-取费表'!f"&amp;$G$1)</f>
        <v>45.48</v>
      </c>
      <c r="O48" s="2422" t="s">
        <v>2381</v>
      </c>
      <c r="P48" s="2423" t="s">
        <v>2407</v>
      </c>
      <c r="Q48" s="2424">
        <f ca="1">C40+J29</f>
        <v>17730</v>
      </c>
      <c r="R48" s="2423" t="s">
        <v>2382</v>
      </c>
    </row>
    <row r="49" spans="1:18" s="2059" customFormat="1" ht="18" customHeight="1" thickBot="1">
      <c r="A49" s="787"/>
      <c r="B49" s="788"/>
      <c r="C49" s="789"/>
      <c r="D49" s="790"/>
      <c r="E49" s="785" t="s">
        <v>1740</v>
      </c>
      <c r="F49" s="786">
        <f ca="1">F7</f>
        <v>1274</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12</v>
      </c>
      <c r="G50" s="2095"/>
      <c r="H50" s="2093"/>
      <c r="I50" s="2383" t="s">
        <v>2348</v>
      </c>
      <c r="J50" s="2396">
        <f>SUMPRODUCT((I63:I65=J47)*(J62:L62=J48)*(J63:L65))</f>
        <v>60</v>
      </c>
      <c r="K50" s="2394" t="s">
        <v>2355</v>
      </c>
      <c r="L50" s="2395"/>
      <c r="O50" s="2425" t="s">
        <v>2385</v>
      </c>
      <c r="P50" s="2423" t="s">
        <v>2409</v>
      </c>
      <c r="Q50" s="2424">
        <f ca="1">C29</f>
        <v>14130</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f ca="1">ROUND(-PV(INDIRECT("'数据-取费表'!h"&amp;$G$1),L48,(C39-C13*J36),0),0)</f>
        <v>-9701</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f ca="1">IF(M47="住宅",J51,IF(D1="——",MIN(J51,L48),IF(D1="土地（套用方法）",MIN(J51,L48-'数据-取费表'!B20))))</f>
        <v>45.48</v>
      </c>
      <c r="K53" s="3498" t="s">
        <v>2968</v>
      </c>
      <c r="L53" s="3499"/>
      <c r="O53" s="2425" t="s">
        <v>2390</v>
      </c>
      <c r="P53" s="2423" t="s">
        <v>2391</v>
      </c>
      <c r="Q53" s="2424">
        <f ca="1">J53</f>
        <v>45.48</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2393</v>
      </c>
      <c r="P54" s="2423" t="s">
        <v>2410</v>
      </c>
      <c r="Q54" s="2424">
        <f ca="1">Q48+Q49</f>
        <v>17730</v>
      </c>
      <c r="R54" s="2427" t="s">
        <v>2394</v>
      </c>
    </row>
    <row r="55" spans="1:18" s="2059" customFormat="1" ht="18" customHeight="1" thickTop="1" thickBot="1">
      <c r="A55" s="798">
        <v>2</v>
      </c>
      <c r="B55" s="799" t="s">
        <v>645</v>
      </c>
      <c r="C55" s="800">
        <f ca="1">C13</f>
        <v>14130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2301</v>
      </c>
      <c r="C56" s="53">
        <f ca="1">C29</f>
        <v>14130</v>
      </c>
      <c r="D56" s="3166"/>
      <c r="E56" s="785"/>
      <c r="F56" s="810"/>
      <c r="I56" s="2403" t="s">
        <v>2359</v>
      </c>
      <c r="J56" s="3149" t="s">
        <v>1679</v>
      </c>
      <c r="K56" s="2383" t="s">
        <v>2364</v>
      </c>
      <c r="L56" s="2392" t="str">
        <f ca="1">IF(L48&lt;J51,"——",L48-J51)</f>
        <v>——</v>
      </c>
      <c r="O56" s="2419" t="s">
        <v>2377</v>
      </c>
      <c r="P56" s="2420" t="s">
        <v>2378</v>
      </c>
      <c r="Q56" s="2421" t="s">
        <v>2379</v>
      </c>
      <c r="R56" s="2420" t="s">
        <v>2380</v>
      </c>
    </row>
    <row r="57" spans="1:18" s="2059" customFormat="1" ht="28.5" customHeight="1" thickBot="1">
      <c r="A57" s="798" t="s">
        <v>7</v>
      </c>
      <c r="B57" s="799" t="s">
        <v>652</v>
      </c>
      <c r="C57" s="800">
        <f ca="1">ROUND(C58+C63+C64+C65,0)</f>
        <v>357</v>
      </c>
      <c r="D57" s="26" t="s">
        <v>1751</v>
      </c>
      <c r="E57" s="3168"/>
      <c r="F57" s="56"/>
      <c r="I57" s="2404" t="s">
        <v>2360</v>
      </c>
      <c r="J57" s="2406" t="str">
        <f ca="1">IF(OR(M47="住宅",J51&lt;L48,J56="是"),"——",J51-L48)</f>
        <v>——</v>
      </c>
      <c r="K57" s="2383" t="s">
        <v>2365</v>
      </c>
      <c r="L57" s="2392" t="str">
        <f ca="1">IF(L48&lt;J51,"——",IF(L55="比较法",L49,IF(L55="基准地价",L50,L51)))</f>
        <v>——</v>
      </c>
      <c r="O57" s="2422" t="s">
        <v>2381</v>
      </c>
      <c r="P57" s="2423" t="s">
        <v>2407</v>
      </c>
      <c r="Q57" s="2424">
        <f ca="1">C40+J29</f>
        <v>17730</v>
      </c>
      <c r="R57" s="2423" t="s">
        <v>2382</v>
      </c>
    </row>
    <row r="58" spans="1:18" s="2059" customFormat="1" ht="28.5" customHeight="1" thickBot="1">
      <c r="A58" s="1650" t="s">
        <v>1825</v>
      </c>
      <c r="B58" s="785" t="s">
        <v>657</v>
      </c>
      <c r="C58" s="53">
        <f ca="1">ROUND(IF(项目基本情况!B11="自然人",C47*F58,C59+C60+C61),1)</f>
        <v>123.8</v>
      </c>
      <c r="D58" s="3165" t="s">
        <v>658</v>
      </c>
      <c r="E58" s="3166"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f ca="1">L60</f>
        <v>0</v>
      </c>
      <c r="R58" s="2427" t="s">
        <v>2416</v>
      </c>
    </row>
    <row r="59" spans="1:18" s="2059" customFormat="1" ht="28.5" customHeight="1" thickBot="1">
      <c r="A59" s="1649" t="s">
        <v>1832</v>
      </c>
      <c r="B59" s="785" t="s">
        <v>661</v>
      </c>
      <c r="C59" s="53">
        <f ca="1">ROUND(C47*F59/1.05,1)</f>
        <v>0</v>
      </c>
      <c r="D59" s="3166"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118.7</v>
      </c>
      <c r="D60" s="3166" t="str">
        <f>D33</f>
        <v>按房产原值计税</v>
      </c>
      <c r="E60" s="785" t="s">
        <v>1748</v>
      </c>
      <c r="F60" s="810">
        <f t="shared" si="0"/>
        <v>1.2E-2</v>
      </c>
      <c r="I60" s="2405" t="s">
        <v>2363</v>
      </c>
      <c r="J60" s="2407" t="str">
        <f ca="1">IF(OR(M47="住宅",J51&lt;L48,J56="是"),"0",ROUND(J59/(1+J52)^J53,0))</f>
        <v>0</v>
      </c>
      <c r="K60" s="2408" t="s">
        <v>2368</v>
      </c>
      <c r="L60" s="2407">
        <f ca="1">IF(OR(M47="住宅",L48&lt;J51),0,ROUND(L57*(L58/L59-1),0))</f>
        <v>0</v>
      </c>
      <c r="O60" s="2425" t="s">
        <v>2386</v>
      </c>
      <c r="P60" s="2423" t="s">
        <v>2395</v>
      </c>
      <c r="Q60" s="2426">
        <f>L52</f>
        <v>0</v>
      </c>
      <c r="R60" s="2427"/>
    </row>
    <row r="61" spans="1:18" s="2059" customFormat="1" ht="18" customHeight="1" thickBot="1">
      <c r="A61" s="1652" t="s">
        <v>1834</v>
      </c>
      <c r="B61" s="342" t="s">
        <v>669</v>
      </c>
      <c r="C61" s="54">
        <f ca="1">ROUND(F61*F62/10000,1)</f>
        <v>5.0999999999999996</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33859.07</v>
      </c>
      <c r="I62" s="2409" t="s">
        <v>2369</v>
      </c>
      <c r="J62" s="2410" t="s">
        <v>2370</v>
      </c>
      <c r="K62" s="2410" t="s">
        <v>2371</v>
      </c>
      <c r="L62" s="2410" t="s">
        <v>2352</v>
      </c>
      <c r="M62" s="3128" t="s">
        <v>2943</v>
      </c>
      <c r="O62" s="2425" t="s">
        <v>2390</v>
      </c>
      <c r="P62" s="2423" t="str">
        <f>K59</f>
        <v>建筑物剩余耐用年限下的土地年期修正系数Kn</v>
      </c>
      <c r="Q62" s="2424" t="e">
        <f ca="1">L59</f>
        <v>#DIV/0!</v>
      </c>
      <c r="R62" s="2427" t="s">
        <v>2399</v>
      </c>
    </row>
    <row r="63" spans="1:18" s="2059" customFormat="1" ht="15.75" thickBot="1">
      <c r="A63" s="1650" t="s">
        <v>1890</v>
      </c>
      <c r="B63" s="785" t="s">
        <v>677</v>
      </c>
      <c r="C63" s="53">
        <f ca="1">ROUND(C56*F63,1)</f>
        <v>212</v>
      </c>
      <c r="D63" s="3166" t="s">
        <v>1804</v>
      </c>
      <c r="E63" s="785" t="s">
        <v>1748</v>
      </c>
      <c r="F63" s="818">
        <f t="shared" ca="1" si="0"/>
        <v>1.4999999999999999E-2</v>
      </c>
      <c r="I63" s="2409" t="s">
        <v>2372</v>
      </c>
      <c r="J63" s="2410">
        <v>70</v>
      </c>
      <c r="K63" s="2410">
        <v>50</v>
      </c>
      <c r="L63" s="2410">
        <v>80</v>
      </c>
      <c r="M63" s="3129">
        <v>0.02</v>
      </c>
      <c r="O63" s="2422" t="s">
        <v>2393</v>
      </c>
      <c r="P63" s="2423" t="s">
        <v>2410</v>
      </c>
      <c r="Q63" s="2424">
        <f ca="1">Q57+Q58</f>
        <v>17730</v>
      </c>
      <c r="R63" s="2427" t="s">
        <v>2394</v>
      </c>
    </row>
    <row r="64" spans="1:18" s="2059" customFormat="1" ht="16.5" thickBot="1">
      <c r="A64" s="1650" t="s">
        <v>1891</v>
      </c>
      <c r="B64" s="785" t="s">
        <v>680</v>
      </c>
      <c r="C64" s="53">
        <f ca="1">ROUND(C55*F64,1)</f>
        <v>21.2</v>
      </c>
      <c r="D64" s="3166" t="s">
        <v>681</v>
      </c>
      <c r="E64" s="785" t="s">
        <v>1748</v>
      </c>
      <c r="F64" s="819">
        <f t="shared" ca="1" si="0"/>
        <v>1.5E-3</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3166" t="s">
        <v>684</v>
      </c>
      <c r="E65" s="785" t="s">
        <v>1748</v>
      </c>
      <c r="F65" s="795">
        <f t="shared" ca="1" si="0"/>
        <v>0.02</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-357</v>
      </c>
      <c r="D66" s="3165" t="s">
        <v>701</v>
      </c>
      <c r="E66" s="3163"/>
      <c r="F66" s="821"/>
      <c r="K66" s="2086"/>
      <c r="O66" s="2422" t="s">
        <v>2381</v>
      </c>
      <c r="P66" s="2423" t="s">
        <v>2407</v>
      </c>
      <c r="Q66" s="2424">
        <f ca="1">C40+J29</f>
        <v>17730</v>
      </c>
      <c r="R66" s="2423" t="s">
        <v>2382</v>
      </c>
    </row>
    <row r="67" spans="1:18" s="2059" customFormat="1" ht="20.25" thickBot="1">
      <c r="A67" s="782" t="s">
        <v>1781</v>
      </c>
      <c r="B67" s="2232" t="s">
        <v>2302</v>
      </c>
      <c r="C67" s="784">
        <f ca="1">ROUND(C66*(1-((1+F69)/(1+F67))^F68)/(F67-F69),0)</f>
        <v>-6862</v>
      </c>
      <c r="D67" s="815" t="s">
        <v>705</v>
      </c>
      <c r="E67" s="785" t="s">
        <v>706</v>
      </c>
      <c r="F67" s="795">
        <f ca="1">F40</f>
        <v>4.4999999999999998E-2</v>
      </c>
      <c r="K67" s="2086"/>
      <c r="O67" s="2422" t="s">
        <v>2383</v>
      </c>
      <c r="P67" s="2423" t="s">
        <v>2414</v>
      </c>
      <c r="Q67" s="2424">
        <f ca="1">L60</f>
        <v>0</v>
      </c>
      <c r="R67" s="2427" t="s">
        <v>2416</v>
      </c>
    </row>
    <row r="68" spans="1:18" ht="21.75" thickBot="1">
      <c r="A68" s="787"/>
      <c r="B68" s="788"/>
      <c r="C68" s="789"/>
      <c r="D68" s="822" t="s">
        <v>1809</v>
      </c>
      <c r="E68" s="785" t="s">
        <v>1785</v>
      </c>
      <c r="F68" s="823">
        <f ca="1">F41</f>
        <v>45.48</v>
      </c>
      <c r="O68" s="2425" t="s">
        <v>2385</v>
      </c>
      <c r="P68" s="2423" t="s">
        <v>2415</v>
      </c>
      <c r="Q68" s="2429">
        <f ca="1">L51</f>
        <v>-9701</v>
      </c>
      <c r="R68" s="2430" t="s">
        <v>2418</v>
      </c>
    </row>
    <row r="69" spans="1:18" ht="20.25" thickBot="1">
      <c r="A69" s="791"/>
      <c r="B69" s="792"/>
      <c r="C69" s="793"/>
      <c r="D69" s="817"/>
      <c r="E69" s="785" t="s">
        <v>711</v>
      </c>
      <c r="F69" s="2371"/>
      <c r="O69" s="2425" t="s">
        <v>2386</v>
      </c>
      <c r="P69" s="2431" t="s">
        <v>2400</v>
      </c>
      <c r="Q69" s="2424">
        <f ca="1">ROUND(Q70-Q71*Q72,0)</f>
        <v>-466</v>
      </c>
      <c r="R69" s="2427"/>
    </row>
    <row r="70" spans="1:18" ht="15.75" thickBot="1">
      <c r="A70" s="824" t="s">
        <v>1788</v>
      </c>
      <c r="B70" s="825" t="s">
        <v>1811</v>
      </c>
      <c r="C70" s="826">
        <f ca="1">ROUND(C67*10000/F70,0)</f>
        <v>-1347</v>
      </c>
      <c r="D70" s="827" t="s">
        <v>1812</v>
      </c>
      <c r="E70" s="828" t="s">
        <v>1813</v>
      </c>
      <c r="F70" s="829">
        <f ca="1">F43</f>
        <v>50960</v>
      </c>
      <c r="O70" s="2425" t="s">
        <v>2401</v>
      </c>
      <c r="P70" s="2431" t="s">
        <v>2402</v>
      </c>
      <c r="Q70" s="2424">
        <f ca="1">C39</f>
        <v>664</v>
      </c>
      <c r="R70" s="2423" t="s">
        <v>2382</v>
      </c>
    </row>
    <row r="71" spans="1:18" ht="15.75" thickBot="1">
      <c r="O71" s="2425" t="s">
        <v>2403</v>
      </c>
      <c r="P71" s="2431" t="s">
        <v>2404</v>
      </c>
      <c r="Q71" s="2424">
        <f ca="1">C13</f>
        <v>14130</v>
      </c>
      <c r="R71" s="2423" t="s">
        <v>2382</v>
      </c>
    </row>
    <row r="72" spans="1:18" ht="15.75" thickBot="1">
      <c r="O72" s="2425" t="s">
        <v>2405</v>
      </c>
      <c r="P72" s="2431" t="s">
        <v>2406</v>
      </c>
      <c r="Q72" s="2426">
        <f ca="1">J36</f>
        <v>0.08</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建筑物剩余耐用年限下的土地年期修正系数Kn</v>
      </c>
      <c r="Q75" s="2424" t="e">
        <f ca="1">L59</f>
        <v>#DIV/0!</v>
      </c>
      <c r="R75" s="2427" t="s">
        <v>2399</v>
      </c>
    </row>
    <row r="76" spans="1:18" ht="15.75" thickBot="1">
      <c r="O76" s="2422" t="s">
        <v>2393</v>
      </c>
      <c r="P76" s="2423" t="s">
        <v>2410</v>
      </c>
      <c r="Q76" s="2424">
        <f ca="1">Q66+Q67</f>
        <v>17730</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7">
      <formula>$L$48&gt;$J$51</formula>
    </cfRule>
  </conditionalFormatting>
  <conditionalFormatting sqref="I55">
    <cfRule type="expression" dxfId="5" priority="6">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8" t="s">
        <v>2066</v>
      </c>
      <c r="B1" s="3248"/>
      <c r="C1" s="3248"/>
      <c r="D1" s="3248"/>
    </row>
    <row r="2" spans="1:4" ht="47.25" customHeight="1">
      <c r="A2" s="3249" t="str">
        <f>"1.权利限制："&amp;项目基本情况!L24&amp;"未设定租赁等其他他项权利。"</f>
        <v>1.权利限制：根据估价对象《不动产权证书》——、《国有土地使用权》复印件，截至估价期日，估价对象已设定抵押。未设定租赁等其他他项权利。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3.估价规划限制条件：详见《建设工程设计方案通知书建筑工程》[2017津南建案申字0008]、《出让合同》[1201122013B00445]。</v>
      </c>
      <c r="B4" s="3248"/>
      <c r="C4" s="3248"/>
      <c r="D4" s="3248"/>
    </row>
    <row r="5" spans="1:4">
      <c r="A5" s="3247" t="s">
        <v>2067</v>
      </c>
      <c r="B5" s="3247"/>
      <c r="C5" s="3247"/>
      <c r="D5" s="3247"/>
    </row>
    <row r="6" spans="1:4">
      <c r="A6" s="3248" t="s">
        <v>2045</v>
      </c>
      <c r="B6" s="3248"/>
      <c r="C6" s="3248"/>
      <c r="D6" s="3248"/>
    </row>
    <row r="7" spans="1:4" ht="33" customHeight="1">
      <c r="A7" s="3248" t="s">
        <v>2579</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国有土地使用权》复印件，截至估价期日，估价对象已设定抵押。上述抵押权设定日期为2013年10月30日，权利人为兴业国际信托有限公司，权利范围为全部，权利价值为25000。</v>
      </c>
      <c r="B11" s="3250"/>
      <c r="C11" s="3250"/>
      <c r="D11" s="3250"/>
    </row>
    <row r="12" spans="1:4" ht="168" customHeight="1">
      <c r="A12" s="3247" t="s">
        <v>2069</v>
      </c>
      <c r="B12" s="3247"/>
      <c r="C12" s="3247"/>
      <c r="D12" s="3247"/>
    </row>
    <row r="13" spans="1:4">
      <c r="A13" s="3251" t="s">
        <v>2752</v>
      </c>
      <c r="B13" s="3251"/>
      <c r="C13" s="3251"/>
      <c r="D13" s="3251"/>
    </row>
    <row r="14" spans="1:4">
      <c r="A14" s="3250" t="str">
        <f>IF(项目基本情况!B8="抵押","综上，"&amp;结果表!K47,"——")</f>
        <v>综上，本次评估估价师知悉的法定优先受偿款为人民币25000万元整。</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2708</v>
      </c>
      <c r="B17" s="3248"/>
      <c r="C17" s="3248"/>
      <c r="D17" s="3248"/>
    </row>
    <row r="18" spans="1:4">
      <c r="A18" s="3248" t="s">
        <v>2700</v>
      </c>
      <c r="B18" s="3248"/>
      <c r="C18" s="3248"/>
      <c r="D18" s="3248"/>
    </row>
    <row r="19" spans="1:4">
      <c r="A19" s="2894" t="s">
        <v>2701</v>
      </c>
      <c r="B19" s="2894" t="s">
        <v>2702</v>
      </c>
      <c r="C19" s="2894" t="s">
        <v>2703</v>
      </c>
      <c r="D19" s="2894" t="s">
        <v>2704</v>
      </c>
    </row>
    <row r="20" spans="1:4">
      <c r="A20" s="2894" t="str">
        <f>项目基本情况!B4</f>
        <v>吴薇</v>
      </c>
      <c r="B20" s="2894">
        <f ca="1">项目基本情况!C4</f>
        <v>2002110125</v>
      </c>
      <c r="C20" s="2896"/>
      <c r="D20" s="1801" t="s">
        <v>2709</v>
      </c>
    </row>
    <row r="21" spans="1:4">
      <c r="A21" s="2894" t="str">
        <f>项目基本情况!D4</f>
        <v>刘梅</v>
      </c>
      <c r="B21" s="2894">
        <f ca="1">项目基本情况!E4</f>
        <v>2008110059</v>
      </c>
      <c r="C21" s="2896"/>
      <c r="D21" s="1801" t="s">
        <v>2710</v>
      </c>
    </row>
    <row r="23" spans="1:4">
      <c r="A23" s="3248" t="s">
        <v>2705</v>
      </c>
      <c r="B23" s="3248"/>
      <c r="C23" s="3248"/>
      <c r="D23" s="3248"/>
    </row>
    <row r="24" spans="1:4">
      <c r="A24" s="2894" t="s">
        <v>2701</v>
      </c>
      <c r="B24" s="2894" t="s">
        <v>2706</v>
      </c>
      <c r="C24" s="2894" t="s">
        <v>2703</v>
      </c>
      <c r="D24" s="2894" t="s">
        <v>2704</v>
      </c>
    </row>
    <row r="25" spans="1:4">
      <c r="A25" s="2897" t="s">
        <v>2707</v>
      </c>
      <c r="B25" s="2894" t="s">
        <v>952</v>
      </c>
      <c r="C25" s="2896"/>
      <c r="D25" s="1801" t="s">
        <v>2710</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A12" sqref="A12"/>
    </sheetView>
  </sheetViews>
  <sheetFormatPr defaultRowHeight="13.5"/>
  <cols>
    <col min="1" max="1" width="10.125" customWidth="1"/>
  </cols>
  <sheetData>
    <row r="1" spans="1:3">
      <c r="A1" s="3175" t="s">
        <v>3123</v>
      </c>
      <c r="B1">
        <v>10600</v>
      </c>
      <c r="C1">
        <v>265000</v>
      </c>
    </row>
    <row r="2" spans="1:3">
      <c r="A2" s="3175" t="s">
        <v>3124</v>
      </c>
      <c r="B2">
        <v>11500</v>
      </c>
      <c r="C2">
        <v>260000</v>
      </c>
    </row>
    <row r="3" spans="1:3">
      <c r="A3" s="3175" t="s">
        <v>3125</v>
      </c>
      <c r="B3">
        <v>9000</v>
      </c>
      <c r="C3">
        <v>133777</v>
      </c>
    </row>
    <row r="17" spans="1:4">
      <c r="A17" s="3175" t="s">
        <v>3155</v>
      </c>
      <c r="B17">
        <v>15000</v>
      </c>
      <c r="C17" s="3221">
        <v>189023</v>
      </c>
      <c r="D17">
        <v>1.6</v>
      </c>
    </row>
    <row r="18" spans="1:4">
      <c r="A18" s="3175" t="s">
        <v>3156</v>
      </c>
      <c r="B18">
        <v>15500</v>
      </c>
      <c r="C18">
        <v>2510000</v>
      </c>
      <c r="D18">
        <v>1.01</v>
      </c>
    </row>
    <row r="19" spans="1:4">
      <c r="A19" s="3175" t="s">
        <v>3157</v>
      </c>
      <c r="B19">
        <v>14000</v>
      </c>
      <c r="C19">
        <v>172700</v>
      </c>
      <c r="D19">
        <v>1.2</v>
      </c>
    </row>
  </sheetData>
  <phoneticPr fontId="2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872</v>
      </c>
    </row>
    <row r="13" spans="1:7">
      <c r="A13" s="1172" t="s">
        <v>52</v>
      </c>
    </row>
    <row r="15" spans="1:7" ht="14.25">
      <c r="A15" s="3259" t="s">
        <v>53</v>
      </c>
      <c r="B15" s="3260" t="s">
        <v>846</v>
      </c>
      <c r="C15" s="3256"/>
    </row>
    <row r="16" spans="1:7" ht="14.25">
      <c r="A16" s="3259"/>
      <c r="B16" s="3257" t="s">
        <v>54</v>
      </c>
      <c r="C16" s="1173" t="s">
        <v>53</v>
      </c>
    </row>
    <row r="17" spans="1:3" ht="14.25">
      <c r="A17" s="3259"/>
      <c r="B17" s="3257"/>
      <c r="C17" s="1173" t="s">
        <v>55</v>
      </c>
    </row>
    <row r="18" spans="1:3" ht="14.25">
      <c r="A18" s="3259"/>
      <c r="B18" s="3257"/>
      <c r="C18" s="1173" t="s">
        <v>56</v>
      </c>
    </row>
    <row r="19" spans="1:3" ht="14.25">
      <c r="A19" s="3259"/>
      <c r="B19" s="3255" t="s">
        <v>57</v>
      </c>
      <c r="C19" s="3256"/>
    </row>
    <row r="20" spans="1:3" ht="14.25">
      <c r="A20" s="1174" t="s">
        <v>58</v>
      </c>
      <c r="B20" s="1175"/>
      <c r="C20" s="1176"/>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7" t="s">
        <v>837</v>
      </c>
    </row>
    <row r="25" spans="1:3" ht="14.25">
      <c r="A25" s="3258"/>
      <c r="B25" s="3262"/>
      <c r="C25" s="1177" t="s">
        <v>838</v>
      </c>
    </row>
    <row r="26" spans="1:3" ht="14.25">
      <c r="A26" s="3258"/>
      <c r="B26" s="3262"/>
      <c r="C26" s="1177" t="s">
        <v>839</v>
      </c>
    </row>
    <row r="27" spans="1:3" ht="14.25">
      <c r="A27" s="3258"/>
      <c r="B27" s="3262"/>
      <c r="C27" s="1177" t="s">
        <v>840</v>
      </c>
    </row>
    <row r="28" spans="1:3" ht="14.25">
      <c r="A28" s="3258"/>
      <c r="B28" s="3262"/>
      <c r="C28" s="1177" t="s">
        <v>841</v>
      </c>
    </row>
    <row r="29" spans="1:3" ht="14.25">
      <c r="A29" s="3258"/>
      <c r="B29" s="3262"/>
      <c r="C29" s="1177" t="s">
        <v>842</v>
      </c>
    </row>
    <row r="30" spans="1:3" ht="14.25">
      <c r="A30" s="3258"/>
      <c r="B30" s="3262"/>
      <c r="C30" s="1177" t="s">
        <v>843</v>
      </c>
    </row>
    <row r="31" spans="1:3" ht="14.25">
      <c r="A31" s="3258"/>
      <c r="B31" s="3262"/>
      <c r="C31" s="1177" t="s">
        <v>844</v>
      </c>
    </row>
    <row r="32" spans="1:3" ht="14.25">
      <c r="A32" s="3258"/>
      <c r="B32" s="3262"/>
      <c r="C32" s="1177" t="s">
        <v>1647</v>
      </c>
    </row>
    <row r="33" spans="1:3" ht="14.25">
      <c r="A33" s="3258"/>
      <c r="B33" s="3252" t="s">
        <v>1653</v>
      </c>
      <c r="C33" s="1177" t="s">
        <v>1648</v>
      </c>
    </row>
    <row r="34" spans="1:3" ht="14.25">
      <c r="A34" s="3258"/>
      <c r="B34" s="3253"/>
      <c r="C34" s="1182" t="s">
        <v>1649</v>
      </c>
    </row>
    <row r="35" spans="1:3" ht="14.25">
      <c r="A35" s="3258"/>
      <c r="B35" s="3253"/>
      <c r="C35" s="1183" t="s">
        <v>1650</v>
      </c>
    </row>
    <row r="36" spans="1:3" ht="14.25">
      <c r="A36" s="3258"/>
      <c r="B36" s="3253"/>
      <c r="C36" s="1183" t="s">
        <v>1651</v>
      </c>
    </row>
    <row r="37" spans="1:3" ht="14.25">
      <c r="A37" s="3258"/>
      <c r="B37" s="3254"/>
      <c r="C37" s="1184" t="s">
        <v>1652</v>
      </c>
    </row>
    <row r="38" spans="1:3">
      <c r="A38" s="1178" t="s">
        <v>845</v>
      </c>
    </row>
    <row r="41" spans="1:3">
      <c r="A41" s="1178" t="s">
        <v>68</v>
      </c>
    </row>
    <row r="42" spans="1:3" ht="14.25">
      <c r="A42" s="1179" t="s">
        <v>853</v>
      </c>
    </row>
    <row r="43" spans="1:3" ht="14.25">
      <c r="A43" s="1180" t="s">
        <v>69</v>
      </c>
    </row>
    <row r="44" spans="1:3" ht="14.25">
      <c r="A44" s="1179" t="s">
        <v>852</v>
      </c>
    </row>
    <row r="45" spans="1:3" ht="14.25">
      <c r="A45" s="1181" t="s">
        <v>854</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43194</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2">
        <v>43849</v>
      </c>
      <c r="D4" s="2343" t="s">
        <v>1915</v>
      </c>
      <c r="E4" s="2343">
        <f ca="1">IF(F4&lt;B2,"已过期",96010014)</f>
        <v>96010014</v>
      </c>
      <c r="F4" s="3033">
        <v>47118</v>
      </c>
    </row>
    <row r="5" spans="1:6" ht="20.25" customHeight="1">
      <c r="A5" s="2343" t="s">
        <v>1916</v>
      </c>
      <c r="B5" s="2343">
        <f ca="1">IF(C5&lt;B2,"已过期",1119970074)</f>
        <v>1119970074</v>
      </c>
      <c r="C5" s="3032">
        <v>43849</v>
      </c>
      <c r="D5" s="2343" t="s">
        <v>1916</v>
      </c>
      <c r="E5" s="2343">
        <f ca="1">IF(F5&lt;B2,"已过期",2002110027)</f>
        <v>2002110027</v>
      </c>
      <c r="F5" s="3033">
        <v>46752</v>
      </c>
    </row>
    <row r="6" spans="1:6" ht="20.25" customHeight="1">
      <c r="A6" s="2343" t="s">
        <v>1917</v>
      </c>
      <c r="B6" s="2343">
        <f ca="1">IF(C6&lt;B2,"已过期",1119970111)</f>
        <v>1119970111</v>
      </c>
      <c r="C6" s="3032">
        <v>43849</v>
      </c>
      <c r="D6" s="2343" t="s">
        <v>1917</v>
      </c>
      <c r="E6" s="2343">
        <f ca="1">IF(F6&lt;B2,"已过期",94010078)</f>
        <v>94010078</v>
      </c>
      <c r="F6" s="3033">
        <v>46387</v>
      </c>
    </row>
    <row r="7" spans="1:6" ht="20.25" customHeight="1">
      <c r="A7" s="2343" t="s">
        <v>1918</v>
      </c>
      <c r="B7" s="2343">
        <f ca="1">IF(C7&lt;B2,"已过期",1120050019)</f>
        <v>1120050019</v>
      </c>
      <c r="C7" s="3032">
        <v>43359</v>
      </c>
      <c r="D7" s="2343" t="s">
        <v>1918</v>
      </c>
      <c r="E7" s="2343">
        <f ca="1">IF(F7&lt;B2,"已过期",2002110030)</f>
        <v>2002110030</v>
      </c>
      <c r="F7" s="3033">
        <v>46387</v>
      </c>
    </row>
    <row r="8" spans="1:6" ht="20.25" customHeight="1">
      <c r="A8" s="2343" t="s">
        <v>1919</v>
      </c>
      <c r="B8" s="2343">
        <f ca="1">IF(C8&lt;B2,"已过期",1120000080)</f>
        <v>1120000080</v>
      </c>
      <c r="C8" s="3032">
        <v>43849</v>
      </c>
      <c r="D8" s="2343" t="s">
        <v>1919</v>
      </c>
      <c r="E8" s="2343">
        <f ca="1">IF(F8&lt;B2,"已过期",2000110082)</f>
        <v>2000110082</v>
      </c>
      <c r="F8" s="3033">
        <v>46387</v>
      </c>
    </row>
    <row r="9" spans="1:6" ht="20.25" customHeight="1">
      <c r="A9" s="2343" t="s">
        <v>1920</v>
      </c>
      <c r="B9" s="2343">
        <f ca="1">IF(C9&lt;B2,"已过期",1419970001)</f>
        <v>1419970001</v>
      </c>
      <c r="C9" s="3032">
        <v>43867</v>
      </c>
      <c r="D9" s="2343" t="s">
        <v>1920</v>
      </c>
      <c r="E9" s="2343">
        <f ca="1">IF(F9&lt;B2,"已过期",2002110125)</f>
        <v>2002110125</v>
      </c>
      <c r="F9" s="3033">
        <v>47118</v>
      </c>
    </row>
    <row r="10" spans="1:6" ht="20.25" customHeight="1">
      <c r="A10" s="2343" t="s">
        <v>1921</v>
      </c>
      <c r="B10" s="2343">
        <f ca="1">IF(C10&lt;B2,"已过期",1120060040)</f>
        <v>1120060040</v>
      </c>
      <c r="C10" s="3032">
        <v>43483</v>
      </c>
      <c r="D10" s="2343" t="s">
        <v>1921</v>
      </c>
      <c r="E10" s="2343">
        <f ca="1">IF(F10&lt;B2,"已过期",2004110096)</f>
        <v>2004110096</v>
      </c>
      <c r="F10" s="3033">
        <v>47118</v>
      </c>
    </row>
    <row r="11" spans="1:6" ht="20.25" customHeight="1">
      <c r="A11" s="2343" t="s">
        <v>1922</v>
      </c>
      <c r="B11" s="2343">
        <f ca="1">IF(C11&lt;B2,"已过期",1120100036)</f>
        <v>1120100036</v>
      </c>
      <c r="C11" s="3032">
        <v>43622</v>
      </c>
      <c r="D11" s="2343" t="s">
        <v>1922</v>
      </c>
      <c r="E11" s="2343">
        <f ca="1">IF(F11&lt;B2,"已过期",2010110070)</f>
        <v>2010110070</v>
      </c>
      <c r="F11" s="3033">
        <v>47907</v>
      </c>
    </row>
    <row r="12" spans="1:6" ht="20.25" customHeight="1">
      <c r="A12" s="2343"/>
      <c r="B12" s="2343"/>
      <c r="C12" s="3032"/>
      <c r="D12" s="2343"/>
      <c r="E12" s="2343"/>
      <c r="F12" s="2343"/>
    </row>
    <row r="13" spans="1:6" ht="20.25" customHeight="1">
      <c r="A13" s="2343" t="s">
        <v>1923</v>
      </c>
      <c r="B13" s="2343">
        <f ca="1">IF(C13&lt;B2,"已过期",1120070131)</f>
        <v>1120070131</v>
      </c>
      <c r="C13" s="3032">
        <v>43814</v>
      </c>
      <c r="D13" s="2343" t="s">
        <v>1923</v>
      </c>
      <c r="E13" s="2343">
        <v>2014110011</v>
      </c>
      <c r="F13" s="3033">
        <v>49302</v>
      </c>
    </row>
    <row r="14" spans="1:6" ht="20.25" customHeight="1">
      <c r="A14" s="2343" t="s">
        <v>1924</v>
      </c>
      <c r="B14" s="2343">
        <f ca="1">IF(C14&lt;B2,"已过期",1120130020)</f>
        <v>1120130020</v>
      </c>
      <c r="C14" s="3032">
        <v>43622</v>
      </c>
      <c r="D14" s="2343"/>
      <c r="E14" s="2343"/>
      <c r="F14" s="2343"/>
    </row>
    <row r="15" spans="1:6" ht="20.25" customHeight="1">
      <c r="A15" s="2343" t="s">
        <v>2578</v>
      </c>
      <c r="B15" s="2343">
        <v>1120070085</v>
      </c>
      <c r="C15" s="3032">
        <v>43814</v>
      </c>
      <c r="D15" s="2343" t="s">
        <v>2578</v>
      </c>
      <c r="E15" s="2343">
        <v>2004110128</v>
      </c>
      <c r="F15" s="3033">
        <v>47118</v>
      </c>
    </row>
    <row r="16" spans="1:6" ht="20.25" customHeight="1">
      <c r="A16" s="2343" t="s">
        <v>1925</v>
      </c>
      <c r="B16" s="2343">
        <f ca="1">IF(C16&lt;B2,"已过期",1120140022)</f>
        <v>1120140022</v>
      </c>
      <c r="C16" s="3032">
        <v>44029</v>
      </c>
      <c r="D16" s="2343" t="s">
        <v>1925</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1926</v>
      </c>
      <c r="E21" s="2343">
        <f ca="1">IF(F21&lt;B2,"已过期",2011110090)</f>
        <v>2011110090</v>
      </c>
      <c r="F21" s="3033">
        <v>48302</v>
      </c>
    </row>
    <row r="22" spans="1:7" ht="20.25" customHeight="1">
      <c r="A22" s="2343" t="s">
        <v>1927</v>
      </c>
      <c r="B22" s="2343">
        <f ca="1">IF(C22&lt;B2,"已过期",1120020033)</f>
        <v>1120020033</v>
      </c>
      <c r="C22" s="3032">
        <v>43304</v>
      </c>
      <c r="D22" s="2343" t="s">
        <v>1927</v>
      </c>
      <c r="E22" s="2343">
        <f ca="1">IF(F22&lt;B2,"已过期",2000110137)</f>
        <v>2000110137</v>
      </c>
      <c r="F22" s="3033">
        <v>46387</v>
      </c>
    </row>
    <row r="23" spans="1:7" ht="20.25" customHeight="1">
      <c r="A23" s="2343" t="s">
        <v>1928</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63" t="s">
        <v>1929</v>
      </c>
      <c r="B25" s="3263"/>
      <c r="C25" s="3263"/>
      <c r="D25" s="3263"/>
      <c r="E25" s="3263"/>
      <c r="F25" s="3263"/>
      <c r="G25" s="3263"/>
    </row>
    <row r="26" spans="1:7" ht="20.25" customHeight="1">
      <c r="A26" s="3264" t="s">
        <v>1930</v>
      </c>
      <c r="B26" s="3264"/>
      <c r="C26" s="3264"/>
      <c r="D26" s="3264" t="s">
        <v>1931</v>
      </c>
      <c r="E26" s="3264"/>
      <c r="F26" s="3264"/>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天津市津南区八里台镇出让国有建设用地使用权抵押价格预评估</v>
      </c>
      <c r="AX2" s="2922"/>
      <c r="AZ2" s="2922"/>
      <c r="BA2" s="2923"/>
      <c r="BC2" s="2923"/>
    </row>
    <row r="3" spans="1:55" s="2924" customFormat="1">
      <c r="A3" s="2903" t="s">
        <v>2667</v>
      </c>
      <c r="B3" s="2906" t="str">
        <f>'预评函-封皮'!B40</f>
        <v>天津滨涪置业有限公司</v>
      </c>
    </row>
    <row r="4" spans="1:55" s="2905" customFormat="1">
      <c r="A4" s="2903" t="s">
        <v>2668</v>
      </c>
      <c r="B4" s="2904" t="str">
        <f>'预评函-封皮'!B46</f>
        <v>吴薇、刘梅</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康正预评字2017-1-1113-P01DYGJ2号</v>
      </c>
    </row>
    <row r="6" spans="1:55" s="2927" customFormat="1" ht="15" thickTop="1">
      <c r="A6" s="2919" t="s">
        <v>2711</v>
      </c>
      <c r="B6" s="2920" t="str">
        <f>'预评函-1'!A4</f>
        <v>受贵公司委托，我公司对天津市津南区八里台镇出让国有建设用地使用权抵押价格进行了预评估。</v>
      </c>
      <c r="AM6" s="2928"/>
    </row>
    <row r="7" spans="1:55" s="2902" customFormat="1">
      <c r="A7" s="2903" t="s">
        <v>2663</v>
      </c>
      <c r="B7" s="2904" t="str">
        <f>'预评函-1'!A6</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2017年12月20日（评估专业人员勘察现场之日）</v>
      </c>
    </row>
    <row r="11" spans="1:55" s="2902" customFormat="1">
      <c r="A11" s="2903" t="s">
        <v>2671</v>
      </c>
      <c r="B11" s="2904" t="str">
        <f>'预评函-1'!A14</f>
        <v>根据《房地所有权证》[房地证津字第112051300149号]，本次评估估价对象证载（地类）用途为城镇住宅用地。</v>
      </c>
    </row>
    <row r="12" spans="1:55" s="2902" customFormat="1">
      <c r="A12" s="2903" t="s">
        <v>2672</v>
      </c>
      <c r="B12" s="2904" t="str">
        <f>'预评函-1'!A15</f>
        <v>本次评估设定用途即为证载用途住宅。</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16" spans="1:55" s="2902" customFormat="1">
      <c r="A16" s="2903" t="s">
        <v>2675</v>
      </c>
      <c r="B16" s="2904" t="str">
        <f>'预评函-1'!A22</f>
        <v>本次估价对象为出让国有建设用地使用权，《房地所有权证》[房地证津字第112051300149号]证载土地终止日期为住宅2083年6月5日地下车库2063年6月5日。截至估价期日，出让国有建设用地使用权剩余土地使用年限为。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估价期日：2017年12月20日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城镇住宅用地</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163507.1</v>
      </c>
    </row>
    <row r="44" spans="1:2">
      <c r="A44" s="2903" t="s">
        <v>2746</v>
      </c>
      <c r="B44" s="2904" t="str">
        <f>'预评函-2'!O3</f>
        <v>规划建筑面积/㎡</v>
      </c>
    </row>
    <row r="45" spans="1:2">
      <c r="A45" s="2903" t="s">
        <v>2728</v>
      </c>
      <c r="B45" s="2904">
        <f>'预评函-2'!O5</f>
        <v>294706.12</v>
      </c>
    </row>
    <row r="46" spans="1:2">
      <c r="A46" s="2903" t="s">
        <v>2729</v>
      </c>
      <c r="B46" s="2904">
        <f ca="1">'预评函-2'!P5</f>
        <v>13063</v>
      </c>
    </row>
    <row r="47" spans="1:2">
      <c r="A47" s="2903" t="s">
        <v>2730</v>
      </c>
      <c r="B47" s="2904">
        <f ca="1">'预评函-2'!Q5</f>
        <v>7248</v>
      </c>
    </row>
    <row r="48" spans="1:2">
      <c r="A48" s="2903" t="s">
        <v>2731</v>
      </c>
      <c r="B48" s="2904">
        <f ca="1">'预评函-2'!R5</f>
        <v>213593</v>
      </c>
    </row>
    <row r="49" spans="1:2">
      <c r="A49" s="2903" t="s">
        <v>2747</v>
      </c>
      <c r="B49" s="2904" t="str">
        <f>'预评函-2'!A6</f>
        <v>抵押价格</v>
      </c>
    </row>
    <row r="50" spans="1:2">
      <c r="A50" s="2903" t="s">
        <v>2732</v>
      </c>
      <c r="B50" s="2904">
        <f ca="1">'预评函-2'!R6</f>
        <v>188593</v>
      </c>
    </row>
    <row r="51" spans="1:2">
      <c r="A51" s="2903" t="s">
        <v>2748</v>
      </c>
      <c r="B51" s="2904" t="str">
        <f>'预评函-2'!A7</f>
        <v>抵押担保权已注销时的抵押价格</v>
      </c>
    </row>
    <row r="52" spans="1:2">
      <c r="A52" s="2903" t="s">
        <v>2733</v>
      </c>
      <c r="B52" s="2904">
        <f ca="1">'预评函-2'!R7</f>
        <v>213593</v>
      </c>
    </row>
    <row r="53" spans="1:2">
      <c r="A53" s="2903" t="s">
        <v>2749</v>
      </c>
      <c r="B53" s="2904">
        <f>'预评函-2'!A8</f>
        <v>0</v>
      </c>
    </row>
    <row r="54" spans="1:2" s="2918" customFormat="1" ht="15" thickBot="1">
      <c r="A54" s="2925" t="s">
        <v>2734</v>
      </c>
      <c r="B54" s="2926" t="str">
        <f>'预评函-2'!R8</f>
        <v>——</v>
      </c>
    </row>
    <row r="55" spans="1:2" ht="15" thickTop="1">
      <c r="A55" s="2914" t="s">
        <v>2684</v>
      </c>
      <c r="B55" s="2915" t="str">
        <f>'预评函-3'!A2</f>
        <v>1.权利限制：根据估价对象《不动产权证书》——、《国有土地使用权》复印件，截至估价期日，估价对象已设定抵押。未设定租赁等其他他项权利。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3.估价规划限制条件：详见《建设工程设计方案通知书建筑工程》[2017津南建案申字0008]、《出让合同》[1201122013B00445]。</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国有土地使用权》复印件，截至估价期日，估价对象已设定抵押。上述抵押权设定日期为2013年10月30日，权利人为兴业国际信托有限公司，权利范围为全部，权利价值为25000。</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综上，本次评估估价师知悉的法定优先受偿款为人民币25000万元整。</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吴薇</v>
      </c>
    </row>
    <row r="70" spans="1:2">
      <c r="A70" s="2903" t="s">
        <v>2696</v>
      </c>
      <c r="B70" s="2910">
        <f ca="1">'预评函-3'!B20</f>
        <v>2002110125</v>
      </c>
    </row>
    <row r="71" spans="1:2">
      <c r="A71" s="2903" t="s">
        <v>2697</v>
      </c>
      <c r="B71" s="2904" t="str">
        <f>'预评函-3'!A21</f>
        <v>刘梅</v>
      </c>
    </row>
    <row r="72" spans="1:2" s="2918" customFormat="1" ht="15" thickBot="1">
      <c r="A72" s="2925" t="s">
        <v>2697</v>
      </c>
      <c r="B72" s="2931">
        <f ca="1">'预评函-3'!B21</f>
        <v>2008110059</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5" sqref="Z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5"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7" t="s">
        <v>880</v>
      </c>
      <c r="Q2" s="9" t="s">
        <v>75</v>
      </c>
      <c r="R2" s="1007"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2545</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7" t="s">
        <v>761</v>
      </c>
      <c r="Q4" s="9" t="s">
        <v>92</v>
      </c>
      <c r="R4" s="1007"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7" t="s">
        <v>547</v>
      </c>
      <c r="Q5" s="9" t="s">
        <v>97</v>
      </c>
      <c r="R5" s="1007" t="s">
        <v>2547</v>
      </c>
      <c r="S5" s="9" t="s">
        <v>97</v>
      </c>
      <c r="T5" s="9" t="s">
        <v>98</v>
      </c>
      <c r="U5" s="9" t="s">
        <v>97</v>
      </c>
      <c r="W5" s="9" t="s">
        <v>878</v>
      </c>
    </row>
    <row r="6" spans="1:23">
      <c r="A6" s="8" t="s">
        <v>99</v>
      </c>
      <c r="B6" s="1150" t="s">
        <v>1641</v>
      </c>
      <c r="C6" s="1554" t="s">
        <v>1714</v>
      </c>
      <c r="F6" s="9" t="s">
        <v>71</v>
      </c>
      <c r="H6" s="9" t="s">
        <v>72</v>
      </c>
      <c r="I6" s="9" t="s">
        <v>100</v>
      </c>
      <c r="K6" s="9" t="s">
        <v>101</v>
      </c>
      <c r="L6" s="9" t="s">
        <v>101</v>
      </c>
      <c r="M6" s="9" t="s">
        <v>101</v>
      </c>
      <c r="N6" s="9" t="s">
        <v>101</v>
      </c>
      <c r="O6" s="9" t="s">
        <v>101</v>
      </c>
      <c r="P6" s="1007" t="s">
        <v>881</v>
      </c>
      <c r="Q6" s="9" t="s">
        <v>101</v>
      </c>
      <c r="R6" s="1007"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2957</v>
      </c>
      <c r="C18" s="1555"/>
    </row>
    <row r="19" spans="1:3">
      <c r="A19" s="8" t="s">
        <v>120</v>
      </c>
      <c r="B19" s="3140" t="s">
        <v>2965</v>
      </c>
      <c r="C19" s="1555"/>
    </row>
    <row r="20" spans="1:3">
      <c r="A20" s="8" t="s">
        <v>121</v>
      </c>
      <c r="B20" s="8" t="s">
        <v>2988</v>
      </c>
      <c r="C20" s="1555"/>
    </row>
    <row r="21" spans="1:3">
      <c r="A21" s="8" t="s">
        <v>122</v>
      </c>
      <c r="B21" s="8" t="s">
        <v>2992</v>
      </c>
      <c r="C21" s="1555"/>
    </row>
    <row r="22" spans="1:3">
      <c r="A22" s="8" t="s">
        <v>123</v>
      </c>
      <c r="B22" s="8" t="s">
        <v>2993</v>
      </c>
      <c r="C22" s="1555"/>
    </row>
    <row r="23" spans="1:3">
      <c r="A23" s="8" t="s">
        <v>124</v>
      </c>
      <c r="B23" s="8" t="s">
        <v>3031</v>
      </c>
      <c r="C23" s="1555"/>
    </row>
    <row r="24" spans="1:3">
      <c r="A24" s="8" t="s">
        <v>12</v>
      </c>
      <c r="B24" s="8" t="s">
        <v>2994</v>
      </c>
      <c r="C24" s="1555"/>
    </row>
    <row r="25" spans="1:3">
      <c r="A25" s="8" t="s">
        <v>125</v>
      </c>
      <c r="B25" s="8" t="s">
        <v>3120</v>
      </c>
      <c r="C25" s="1555"/>
    </row>
    <row r="26" spans="1:3">
      <c r="A26" s="8" t="s">
        <v>126</v>
      </c>
      <c r="B26" s="3140" t="s">
        <v>3121</v>
      </c>
      <c r="C26" s="1555"/>
    </row>
    <row r="27" spans="1:3">
      <c r="A27" s="3140" t="s">
        <v>3086</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滨涪置业有限公司拟使用天津市津南区八里台镇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65"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c r="D53" s="1769"/>
      <c r="E53" s="1769"/>
    </row>
    <row r="54" spans="1:5">
      <c r="A54" s="3265"/>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5"/>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5"/>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5"/>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20"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预评函-封皮</vt:lpstr>
      <vt:lpstr>预评函-1</vt:lpstr>
      <vt:lpstr>预评函-1 (储备)</vt:lpstr>
      <vt:lpstr>预评函-2</vt:lpstr>
      <vt:lpstr>预评函-3</vt:lpstr>
      <vt:lpstr>使用说明</vt:lpstr>
      <vt:lpstr>估价师及机构信息</vt:lpstr>
      <vt:lpstr>致函链接</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不动产收益法-综合楼</vt:lpstr>
      <vt:lpstr>不动产收益法-商业</vt:lpstr>
      <vt:lpstr>土地案例</vt:lpstr>
      <vt:lpstr>典型户型修正-洋房</vt:lpstr>
      <vt:lpstr>不动产收益法-底商</vt:lpstr>
      <vt:lpstr>不动产收益法-公寓</vt:lpstr>
      <vt:lpstr>不动产比较法-中高层</vt:lpstr>
      <vt:lpstr>不动产比较法-商业</vt:lpstr>
      <vt:lpstr>不动产比较法-办公</vt:lpstr>
      <vt:lpstr>不动产比较法-工业</vt:lpstr>
      <vt:lpstr>不动产比较法-车位</vt:lpstr>
      <vt:lpstr>不动产比较法-仓储</vt:lpstr>
      <vt:lpstr>存贷款利率</vt:lpstr>
      <vt:lpstr>不动产比较法-联排</vt:lpstr>
      <vt:lpstr>典型户型修正-叠拼</vt:lpstr>
      <vt:lpstr>不动产收益法-车位</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'典型户型修正-叠拼'!一修多修正项2</vt:lpstr>
      <vt:lpstr>一修多修正项2</vt:lpstr>
      <vt:lpstr>'典型户型修正-叠拼'!一修多修正项3</vt:lpstr>
      <vt:lpstr>一修多修正项3</vt:lpstr>
      <vt:lpstr>'典型户型修正-叠拼'!一修多修正项4</vt:lpstr>
      <vt:lpstr>一修多修正项4</vt:lpstr>
      <vt:lpstr>'典型户型修正-叠拼'!一修多修正项5</vt:lpstr>
      <vt:lpstr>一修多修正项5</vt:lpstr>
      <vt:lpstr>'典型户型修正-叠拼'!一修多修正项6</vt:lpstr>
      <vt:lpstr>一修多修正项6</vt:lpstr>
      <vt:lpstr>'典型户型修正-叠拼'!一修多修正项7</vt:lpstr>
      <vt:lpstr>一修多修正项7</vt:lpstr>
      <vt:lpstr>'典型户型修正-叠拼'!一修多修正项8</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2018-04-04T08:18:42Z</dcterms:modified>
</cp:coreProperties>
</file>