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Administrator\Desktop\审测算\崔丽新\"/>
    </mc:Choice>
  </mc:AlternateContent>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收益法 (元)" sheetId="67"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租金" sheetId="79" r:id="rId45"/>
    <sheet name="案例"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2" hidden="1">'比较法-住宅'!$A$1:$L$49</definedName>
    <definedName name="_xlnm._FilterDatabase" localSheetId="44" hidden="1">'比较法-租金'!$A$1:$L$49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4">'比较法-租金'!$B$88:$M$88</definedName>
    <definedName name="住宅朝向">'比较法-住宅'!$B$88:$M$88</definedName>
    <definedName name="住宅房型" localSheetId="44">'比较法-租金'!$B$118:$M$118</definedName>
    <definedName name="住宅房型">'比较法-住宅'!$B$118:$M$118</definedName>
    <definedName name="住宅公共部分装修" localSheetId="44">'比较法-租金'!$B$109:$M$109</definedName>
    <definedName name="住宅公共部分装修">'比较法-住宅'!$B$109:$M$109</definedName>
    <definedName name="住宅基础设施水平" localSheetId="44">'比较法-租金'!$B$116:$M$116</definedName>
    <definedName name="住宅基础设施水平">'比较法-住宅'!$B$116:$M$116</definedName>
    <definedName name="住宅建筑结构" localSheetId="44">'比较法-租金'!$B$105:$M$105</definedName>
    <definedName name="住宅建筑结构">'比较法-住宅'!$B$105:$M$105</definedName>
    <definedName name="住宅建筑类型" localSheetId="44">'比较法-租金'!$B$100:$M$100</definedName>
    <definedName name="住宅建筑类型">'比较法-住宅'!$B$100:$M$100</definedName>
    <definedName name="住宅建筑品质" localSheetId="44">'比较法-租金'!$B$107:$M$107</definedName>
    <definedName name="住宅建筑品质">'比较法-住宅'!$B$107:$M$107</definedName>
    <definedName name="住宅交易情况" localSheetId="44">'比较法-租金'!$A$61:$M$61</definedName>
    <definedName name="住宅交易情况">'比较法-住宅'!$A$61:$M$61</definedName>
    <definedName name="住宅楼层" localSheetId="44">'比较法-租金'!$B$86:$M$86</definedName>
    <definedName name="住宅楼层">'比较法-住宅'!$B$86:$M$86</definedName>
    <definedName name="住宅内部装修" localSheetId="44">'比较法-租金'!$B$122:$M$122</definedName>
    <definedName name="住宅内部装修">'比较法-住宅'!$B$122:$M$122</definedName>
    <definedName name="住宅物业管理" localSheetId="44">'比较法-租金'!$B$114:$M$114</definedName>
    <definedName name="住宅物业管理">'比较法-住宅'!$B$114:$M$114</definedName>
    <definedName name="住宅用途" localSheetId="44">'比较法-租金'!$B$63:$M$63</definedName>
    <definedName name="住宅用途">'比较法-住宅'!$B$63:$M$63</definedName>
    <definedName name="住宅主力户型面积" localSheetId="44">'比较法-租金'!$B$120:$M$120</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D91" i="21" l="1"/>
  <c r="E91" i="21" s="1"/>
  <c r="E91" i="79" s="1"/>
  <c r="I47" i="79"/>
  <c r="G47" i="79"/>
  <c r="E47" i="79"/>
  <c r="I33" i="79"/>
  <c r="G33" i="79"/>
  <c r="E33" i="79"/>
  <c r="D91" i="79" l="1"/>
  <c r="O35" i="78"/>
  <c r="O27" i="78"/>
  <c r="O16" i="78"/>
  <c r="O7" i="78"/>
  <c r="C145" i="79"/>
  <c r="K139" i="79" s="1"/>
  <c r="J142" i="79"/>
  <c r="J140" i="79"/>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s="1"/>
  <c r="G106" i="79" s="1"/>
  <c r="H106" i="79" s="1"/>
  <c r="I106" i="79" s="1"/>
  <c r="J106" i="79" s="1"/>
  <c r="K106" i="79" s="1"/>
  <c r="L106" i="79" s="1"/>
  <c r="M106" i="79" s="1"/>
  <c r="D104" i="79"/>
  <c r="E104" i="79" s="1"/>
  <c r="F104" i="79" s="1"/>
  <c r="G104" i="79" s="1"/>
  <c r="H104" i="79" s="1"/>
  <c r="M102" i="79"/>
  <c r="L102" i="79"/>
  <c r="K102" i="79"/>
  <c r="J102" i="79"/>
  <c r="I102" i="79"/>
  <c r="H102" i="79"/>
  <c r="G102" i="79"/>
  <c r="F102" i="79"/>
  <c r="E102" i="79"/>
  <c r="D102" i="79"/>
  <c r="C102" i="79"/>
  <c r="D101" i="79"/>
  <c r="E101" i="79" s="1"/>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D69" i="79"/>
  <c r="E69" i="79" s="1"/>
  <c r="M67" i="79"/>
  <c r="L67" i="79"/>
  <c r="K67" i="79"/>
  <c r="J67" i="79"/>
  <c r="I67" i="79"/>
  <c r="H67" i="79"/>
  <c r="G67" i="79"/>
  <c r="F67" i="79"/>
  <c r="E67" i="79"/>
  <c r="D67" i="79"/>
  <c r="C67" i="79"/>
  <c r="D66" i="79"/>
  <c r="E66" i="79" s="1"/>
  <c r="F66" i="79" s="1"/>
  <c r="G66" i="79" s="1"/>
  <c r="H66" i="79" s="1"/>
  <c r="I66" i="79" s="1"/>
  <c r="C63" i="79"/>
  <c r="E59" i="79"/>
  <c r="F59" i="79" s="1"/>
  <c r="G59" i="79" s="1"/>
  <c r="H59" i="79" s="1"/>
  <c r="I59" i="79" s="1"/>
  <c r="D59" i="79"/>
  <c r="P49" i="79"/>
  <c r="P48" i="79"/>
  <c r="P47" i="79"/>
  <c r="I54" i="79"/>
  <c r="J54" i="79" s="1"/>
  <c r="G54" i="79"/>
  <c r="H54" i="79" s="1"/>
  <c r="E54" i="79"/>
  <c r="F54"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Q10" i="79"/>
  <c r="Z10" i="79" s="1"/>
  <c r="J10" i="79"/>
  <c r="AC10" i="79" s="1"/>
  <c r="H10" i="79"/>
  <c r="AB10" i="79" s="1"/>
  <c r="F10" i="79"/>
  <c r="AA10" i="79" s="1"/>
  <c r="Q9" i="79"/>
  <c r="Z9" i="79" s="1"/>
  <c r="J9" i="79"/>
  <c r="AC9" i="79" s="1"/>
  <c r="H9" i="79"/>
  <c r="AB9" i="79" s="1"/>
  <c r="F9" i="79"/>
  <c r="AA9" i="79" s="1"/>
  <c r="J8" i="79"/>
  <c r="AC8" i="79" s="1"/>
  <c r="H8" i="79"/>
  <c r="AB8" i="79" s="1"/>
  <c r="F8" i="79"/>
  <c r="AA8" i="79" s="1"/>
  <c r="I47" i="21"/>
  <c r="G47" i="21"/>
  <c r="E47" i="21"/>
  <c r="I33" i="21"/>
  <c r="G33" i="21"/>
  <c r="E33" i="21"/>
  <c r="E104" i="21"/>
  <c r="F104" i="21" s="1"/>
  <c r="G104" i="21" s="1"/>
  <c r="H104" i="21" s="1"/>
  <c r="D104" i="21"/>
  <c r="I7" i="21"/>
  <c r="G7" i="21"/>
  <c r="E7" i="21"/>
  <c r="B7" i="4"/>
  <c r="D2" i="79"/>
  <c r="F69" i="79" l="1"/>
  <c r="G69" i="79" s="1"/>
  <c r="H69" i="79" s="1"/>
  <c r="I69" i="79" s="1"/>
  <c r="J69" i="79" s="1"/>
  <c r="K69" i="79" s="1"/>
  <c r="L69" i="79" s="1"/>
  <c r="M69" i="79" s="1"/>
  <c r="H11" i="79"/>
  <c r="AB11" i="79" s="1"/>
  <c r="J11" i="79"/>
  <c r="AC11" i="79" s="1"/>
  <c r="F11" i="79"/>
  <c r="AA11" i="79" s="1"/>
  <c r="U8" i="79"/>
  <c r="K145" i="79"/>
  <c r="U9" i="79"/>
  <c r="S10" i="79"/>
  <c r="W10" i="79"/>
  <c r="S8" i="79"/>
  <c r="W8" i="79"/>
  <c r="S9" i="79"/>
  <c r="W9" i="79"/>
  <c r="U10" i="79"/>
  <c r="W11" i="79"/>
  <c r="U12" i="79"/>
  <c r="S13" i="79"/>
  <c r="W13" i="79"/>
  <c r="U14" i="79"/>
  <c r="U15" i="79"/>
  <c r="U17" i="79"/>
  <c r="U19" i="79"/>
  <c r="U21" i="79"/>
  <c r="U23" i="79"/>
  <c r="AA25" i="79"/>
  <c r="S25" i="79"/>
  <c r="U25" i="79"/>
  <c r="W26" i="79"/>
  <c r="U11" i="79"/>
  <c r="S12" i="79"/>
  <c r="W12" i="79"/>
  <c r="U13" i="79"/>
  <c r="S14" i="79"/>
  <c r="W14" i="79"/>
  <c r="S15" i="79"/>
  <c r="W15" i="79"/>
  <c r="S17" i="79"/>
  <c r="W17" i="79"/>
  <c r="S19" i="79"/>
  <c r="W19" i="79"/>
  <c r="S21" i="79"/>
  <c r="W21" i="79"/>
  <c r="S23" i="79"/>
  <c r="W23" i="79"/>
  <c r="S26" i="79"/>
  <c r="W25" i="79"/>
  <c r="U26" i="79"/>
  <c r="S27" i="79"/>
  <c r="W27" i="79"/>
  <c r="U28" i="79"/>
  <c r="S29" i="79"/>
  <c r="W29" i="79"/>
  <c r="U30" i="79"/>
  <c r="S31" i="79"/>
  <c r="W31" i="79"/>
  <c r="U32" i="79"/>
  <c r="U34" i="79"/>
  <c r="S35" i="79"/>
  <c r="W35" i="79"/>
  <c r="U36" i="79"/>
  <c r="U38" i="79"/>
  <c r="S39" i="79"/>
  <c r="W39" i="79"/>
  <c r="U40" i="79"/>
  <c r="S41" i="79"/>
  <c r="W41" i="79"/>
  <c r="U42" i="79"/>
  <c r="S43" i="79"/>
  <c r="W43" i="79"/>
  <c r="U44" i="79"/>
  <c r="S45" i="79"/>
  <c r="W45" i="79"/>
  <c r="U46" i="79"/>
  <c r="R47" i="79"/>
  <c r="V47" i="79"/>
  <c r="U27" i="79"/>
  <c r="S28" i="79"/>
  <c r="W28" i="79"/>
  <c r="U29" i="79"/>
  <c r="S30" i="79"/>
  <c r="W30" i="79"/>
  <c r="U31" i="79"/>
  <c r="S32" i="79"/>
  <c r="W32" i="79"/>
  <c r="S34" i="79"/>
  <c r="W34" i="79"/>
  <c r="U35" i="79"/>
  <c r="S36" i="79"/>
  <c r="W36" i="79"/>
  <c r="S38" i="79"/>
  <c r="W38" i="79"/>
  <c r="U39" i="79"/>
  <c r="S40" i="79"/>
  <c r="W40" i="79"/>
  <c r="U41" i="79"/>
  <c r="S42" i="79"/>
  <c r="W42" i="79"/>
  <c r="U43" i="79"/>
  <c r="S44" i="79"/>
  <c r="W44" i="79"/>
  <c r="U45" i="79"/>
  <c r="S46" i="79"/>
  <c r="W46" i="79"/>
  <c r="T47" i="79"/>
  <c r="K141" i="79"/>
  <c r="K143" i="79"/>
  <c r="K144" i="79"/>
  <c r="N6" i="1"/>
  <c r="C37" i="79" s="1"/>
  <c r="I37" i="79" l="1"/>
  <c r="J37" i="79" s="1"/>
  <c r="E37" i="79"/>
  <c r="F37" i="79" s="1"/>
  <c r="G37" i="79"/>
  <c r="H37" i="79" s="1"/>
  <c r="S11" i="79"/>
  <c r="E121" i="21"/>
  <c r="F121" i="21" s="1"/>
  <c r="G121" i="21" s="1"/>
  <c r="D121" i="21"/>
  <c r="T11" i="31"/>
  <c r="T9" i="31"/>
  <c r="T7" i="31"/>
  <c r="D7" i="31"/>
  <c r="E7" i="31"/>
  <c r="C7" i="31"/>
  <c r="T5" i="31"/>
  <c r="D4" i="31"/>
  <c r="E4" i="31"/>
  <c r="C4" i="31"/>
  <c r="A26" i="31"/>
  <c r="A27" i="31"/>
  <c r="A28" i="31"/>
  <c r="A29" i="31"/>
  <c r="A30" i="31"/>
  <c r="A31" i="31"/>
  <c r="A32" i="31"/>
  <c r="A33" i="31"/>
  <c r="A34" i="31"/>
  <c r="A35" i="31"/>
  <c r="A36" i="31"/>
  <c r="A25" i="31"/>
  <c r="B25" i="31"/>
  <c r="B26" i="31"/>
  <c r="B27" i="31"/>
  <c r="B28" i="31"/>
  <c r="B29" i="31"/>
  <c r="B30" i="31"/>
  <c r="B31" i="31"/>
  <c r="B32" i="31"/>
  <c r="B33" i="31"/>
  <c r="B34" i="31"/>
  <c r="B35" i="31"/>
  <c r="B36" i="31"/>
  <c r="B24" i="31"/>
  <c r="E37" i="21"/>
  <c r="C37" i="21"/>
  <c r="G37" i="21" s="1"/>
  <c r="D59" i="21"/>
  <c r="E59" i="21" s="1"/>
  <c r="F59" i="21" s="1"/>
  <c r="G59" i="21" s="1"/>
  <c r="H59" i="21" s="1"/>
  <c r="I59" i="21" s="1"/>
  <c r="Y6" i="1"/>
  <c r="F19" i="6"/>
  <c r="D3" i="4"/>
  <c r="S37" i="79" l="1"/>
  <c r="AA37" i="79"/>
  <c r="I37" i="21"/>
  <c r="AB37" i="79"/>
  <c r="U37" i="79"/>
  <c r="W37" i="79"/>
  <c r="AC37" i="79"/>
  <c r="H121" i="21"/>
  <c r="I121" i="21" s="1"/>
  <c r="I4" i="31" s="1"/>
  <c r="G4" i="31"/>
  <c r="H4" i="31"/>
  <c r="F4" i="31"/>
  <c r="D7" i="71"/>
  <c r="AH5" i="71" l="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13" i="76"/>
  <c r="B13" i="76"/>
  <c r="E8" i="76"/>
  <c r="E11" i="76"/>
  <c r="E12" i="76"/>
  <c r="B9" i="76"/>
  <c r="B8" i="76"/>
  <c r="B7" i="76"/>
  <c r="E10" i="76"/>
  <c r="B10" i="76"/>
  <c r="B12" i="76"/>
  <c r="E9" i="76"/>
  <c r="B11"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5" i="73"/>
  <c r="F3" i="73"/>
  <c r="D6" i="73"/>
  <c r="F4" i="73"/>
  <c r="F6" i="73"/>
  <c r="I1" i="73" l="1"/>
  <c r="B39" i="1" s="1"/>
  <c r="D5" i="73"/>
  <c r="D7" i="73"/>
  <c r="D3"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B65" i="71" s="1"/>
  <c r="B64" i="71" s="1"/>
  <c r="F65" i="71"/>
  <c r="F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Q35" i="71"/>
  <c r="F36" i="71" s="1"/>
  <c r="P35" i="71"/>
  <c r="E36" i="71" s="1"/>
  <c r="O35" i="71"/>
  <c r="C36" i="71" s="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O27" i="71"/>
  <c r="C28" i="71" s="1"/>
  <c r="N27" i="71"/>
  <c r="B28" i="71" s="1"/>
  <c r="D27" i="71"/>
  <c r="Q26" i="71"/>
  <c r="P26" i="71"/>
  <c r="O26" i="71"/>
  <c r="N26" i="71"/>
  <c r="Q25" i="71"/>
  <c r="P25" i="71"/>
  <c r="O25" i="71"/>
  <c r="N25" i="71"/>
  <c r="Q24" i="71"/>
  <c r="P24" i="71"/>
  <c r="O24" i="71"/>
  <c r="N24" i="71"/>
  <c r="Q23" i="71"/>
  <c r="F24" i="71" s="1"/>
  <c r="F25" i="71" s="1"/>
  <c r="F26" i="71" s="1"/>
  <c r="V26" i="71" s="1"/>
  <c r="P23" i="71"/>
  <c r="E24" i="71" s="1"/>
  <c r="O23" i="71"/>
  <c r="C24" i="71" s="1"/>
  <c r="N23" i="71"/>
  <c r="B24" i="71" s="1"/>
  <c r="D23" i="71"/>
  <c r="Q22" i="71"/>
  <c r="P22" i="71"/>
  <c r="O22" i="71"/>
  <c r="N22" i="71"/>
  <c r="Q21" i="71"/>
  <c r="AB21" i="71" s="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5" i="71"/>
  <c r="X6" i="71"/>
  <c r="B25" i="71"/>
  <c r="B26" i="71" s="1"/>
  <c r="S26" i="71" s="1"/>
  <c r="E25" i="71"/>
  <c r="E26" i="71" s="1"/>
  <c r="U26" i="71" s="1"/>
  <c r="B29" i="71"/>
  <c r="B30" i="71" s="1"/>
  <c r="S30" i="71" s="1"/>
  <c r="E29" i="71"/>
  <c r="E30" i="71" s="1"/>
  <c r="U30" i="71" s="1"/>
  <c r="F37" i="71"/>
  <c r="F38" i="71" s="1"/>
  <c r="V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C21" i="71" s="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6" i="71" l="1"/>
  <c r="AB5"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D83" i="21"/>
  <c r="F21" i="21" s="1"/>
  <c r="AA21" i="21" s="1"/>
  <c r="D81" i="21"/>
  <c r="H19" i="21" s="1"/>
  <c r="G20" i="20"/>
  <c r="B86" i="43" s="1"/>
  <c r="C22" i="20"/>
  <c r="AO9" i="1"/>
  <c r="AO12" i="1"/>
  <c r="AO11" i="1"/>
  <c r="AO10" i="1"/>
  <c r="AO13"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79" s="1"/>
  <c r="C58" i="79" s="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s="1"/>
  <c r="AX262" i="3"/>
  <c r="AW262" i="3"/>
  <c r="AV262" i="3"/>
  <c r="AC262" i="3"/>
  <c r="H262" i="3"/>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s="1"/>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R37" i="31" s="1"/>
  <c r="S37" i="31" s="1"/>
  <c r="C38" i="31"/>
  <c r="R38" i="31" s="1"/>
  <c r="S38" i="31" s="1"/>
  <c r="C39" i="31"/>
  <c r="R39" i="31" s="1"/>
  <c r="S39" i="31" s="1"/>
  <c r="C40" i="31"/>
  <c r="R40" i="31" s="1"/>
  <c r="S40" i="31" s="1"/>
  <c r="C41" i="31"/>
  <c r="R41" i="31" s="1"/>
  <c r="S41"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79" s="1"/>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C25" i="39"/>
  <c r="C27" i="39"/>
  <c r="C21" i="39"/>
  <c r="H11" i="39"/>
  <c r="S40" i="39"/>
  <c r="C15" i="39"/>
  <c r="H32" i="33"/>
  <c r="AB32" i="33"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AB11" i="35"/>
  <c r="J10" i="36"/>
  <c r="AC10" i="36" s="1"/>
  <c r="AB26" i="33"/>
  <c r="AB30" i="21"/>
  <c r="AA14" i="37"/>
  <c r="W31" i="34"/>
  <c r="W13" i="36"/>
  <c r="W11" i="36"/>
  <c r="AB46" i="34"/>
  <c r="AA14" i="34"/>
  <c r="AB45" i="33"/>
  <c r="U31"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BA552" i="3"/>
  <c r="BA548" i="3"/>
  <c r="BA546" i="3"/>
  <c r="BA544" i="3"/>
  <c r="BA542" i="3"/>
  <c r="AZ542" i="3" s="1"/>
  <c r="BA540" i="3"/>
  <c r="AZ540" i="3" s="1"/>
  <c r="BA538" i="3"/>
  <c r="BA536" i="3"/>
  <c r="BA534" i="3"/>
  <c r="AZ534" i="3" s="1"/>
  <c r="BA532" i="3"/>
  <c r="BA530" i="3"/>
  <c r="BA528" i="3"/>
  <c r="AZ528" i="3" s="1"/>
  <c r="BA526" i="3"/>
  <c r="AZ526" i="3" s="1"/>
  <c r="BA524" i="3"/>
  <c r="BA522" i="3"/>
  <c r="BA520" i="3"/>
  <c r="BA518" i="3"/>
  <c r="BA516" i="3"/>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s="1"/>
  <c r="AZ571" i="3" s="1"/>
  <c r="BQ569" i="3"/>
  <c r="BL569" i="3" s="1"/>
  <c r="BQ567" i="3"/>
  <c r="BL567" i="3" s="1"/>
  <c r="BQ565" i="3"/>
  <c r="BL565" i="3" s="1"/>
  <c r="AZ565" i="3" s="1"/>
  <c r="BQ563" i="3"/>
  <c r="BL563" i="3"/>
  <c r="BQ561" i="3"/>
  <c r="BL561" i="3"/>
  <c r="AZ561" i="3" s="1"/>
  <c r="BQ559" i="3"/>
  <c r="BL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BQ497" i="3"/>
  <c r="BL497" i="3" s="1"/>
  <c r="AZ497" i="3" s="1"/>
  <c r="BQ495" i="3"/>
  <c r="BL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494" i="3"/>
  <c r="AZ502" i="3"/>
  <c r="AZ514" i="3"/>
  <c r="AZ522" i="3"/>
  <c r="AZ530" i="3"/>
  <c r="AZ546" i="3"/>
  <c r="G546" i="3"/>
  <c r="G524" i="3"/>
  <c r="G303" i="3"/>
  <c r="BL304" i="3"/>
  <c r="G305" i="3"/>
  <c r="BL306" i="3"/>
  <c r="BA308" i="3"/>
  <c r="BA309" i="3"/>
  <c r="BL309" i="3"/>
  <c r="AZ309" i="3" s="1"/>
  <c r="G310" i="3"/>
  <c r="BA311" i="3"/>
  <c r="G319" i="3"/>
  <c r="BL320" i="3"/>
  <c r="G321" i="3"/>
  <c r="BL322" i="3"/>
  <c r="BA324" i="3"/>
  <c r="AZ324" i="3" s="1"/>
  <c r="BA325" i="3"/>
  <c r="AZ325" i="3" s="1"/>
  <c r="BL325" i="3"/>
  <c r="G326" i="3"/>
  <c r="BA327" i="3"/>
  <c r="G335" i="3"/>
  <c r="BL336" i="3"/>
  <c r="G337" i="3"/>
  <c r="BL338" i="3"/>
  <c r="BA340" i="3"/>
  <c r="BA341" i="3"/>
  <c r="BL341" i="3"/>
  <c r="AZ341" i="3" s="1"/>
  <c r="BA343" i="3"/>
  <c r="BA345" i="3"/>
  <c r="BL355" i="3"/>
  <c r="G356" i="3"/>
  <c r="BL357" i="3"/>
  <c r="BA359" i="3"/>
  <c r="AZ359" i="3" s="1"/>
  <c r="BA360" i="3"/>
  <c r="BL360" i="3"/>
  <c r="AZ360" i="3" s="1"/>
  <c r="G361" i="3"/>
  <c r="BA362" i="3"/>
  <c r="G370" i="3"/>
  <c r="BL371" i="3"/>
  <c r="G372" i="3"/>
  <c r="BL373" i="3"/>
  <c r="BA375" i="3"/>
  <c r="AZ375" i="3" s="1"/>
  <c r="BA376" i="3"/>
  <c r="BL376" i="3"/>
  <c r="G377" i="3"/>
  <c r="BA378" i="3"/>
  <c r="BL378" i="3"/>
  <c r="G379" i="3"/>
  <c r="BA380" i="3"/>
  <c r="AZ380" i="3" s="1"/>
  <c r="G388" i="3"/>
  <c r="BL389" i="3"/>
  <c r="G390" i="3"/>
  <c r="BL391" i="3"/>
  <c r="BA393" i="3"/>
  <c r="AZ393" i="3" s="1"/>
  <c r="BA394" i="3"/>
  <c r="BL394" i="3"/>
  <c r="G113" i="3"/>
  <c r="BA115" i="3"/>
  <c r="BL116" i="3"/>
  <c r="AZ116" i="3"/>
  <c r="G117" i="3"/>
  <c r="BA119" i="3"/>
  <c r="BL120" i="3"/>
  <c r="G121" i="3"/>
  <c r="BA123" i="3"/>
  <c r="AZ123" i="3" s="1"/>
  <c r="BL124" i="3"/>
  <c r="G125" i="3"/>
  <c r="BA127" i="3"/>
  <c r="AZ127" i="3" s="1"/>
  <c r="BL128" i="3"/>
  <c r="AZ128" i="3" s="1"/>
  <c r="G129" i="3"/>
  <c r="BA131" i="3"/>
  <c r="AZ131" i="3" s="1"/>
  <c r="BL132" i="3"/>
  <c r="AZ132" i="3" s="1"/>
  <c r="G133" i="3"/>
  <c r="BA135" i="3"/>
  <c r="BL136" i="3"/>
  <c r="G137" i="3"/>
  <c r="BA139" i="3"/>
  <c r="BL140" i="3"/>
  <c r="AZ140" i="3" s="1"/>
  <c r="G141" i="3"/>
  <c r="BA143" i="3"/>
  <c r="BL144" i="3"/>
  <c r="G145" i="3"/>
  <c r="BA147" i="3"/>
  <c r="BL148" i="3"/>
  <c r="G149" i="3"/>
  <c r="BA151" i="3"/>
  <c r="AZ151" i="3" s="1"/>
  <c r="BL152" i="3"/>
  <c r="G153" i="3"/>
  <c r="BA155" i="3"/>
  <c r="AZ155" i="3" s="1"/>
  <c r="BL156" i="3"/>
  <c r="G157" i="3"/>
  <c r="BA159" i="3"/>
  <c r="AZ159" i="3" s="1"/>
  <c r="BL160" i="3"/>
  <c r="AZ160" i="3" s="1"/>
  <c r="G161" i="3"/>
  <c r="BA163" i="3"/>
  <c r="BL164" i="3"/>
  <c r="G165" i="3"/>
  <c r="BA167" i="3"/>
  <c r="AZ167" i="3" s="1"/>
  <c r="BL168" i="3"/>
  <c r="G169" i="3"/>
  <c r="BA171" i="3"/>
  <c r="AZ171" i="3" s="1"/>
  <c r="BL172" i="3"/>
  <c r="G173" i="3"/>
  <c r="BA175" i="3"/>
  <c r="AZ175" i="3"/>
  <c r="BL176" i="3"/>
  <c r="G177" i="3"/>
  <c r="BA179" i="3"/>
  <c r="BL180" i="3"/>
  <c r="G181" i="3"/>
  <c r="BA183" i="3"/>
  <c r="AZ183" i="3" s="1"/>
  <c r="BL184" i="3"/>
  <c r="G185" i="3"/>
  <c r="BA187" i="3"/>
  <c r="AZ187" i="3" s="1"/>
  <c r="BL188" i="3"/>
  <c r="G189" i="3"/>
  <c r="BA191" i="3"/>
  <c r="AZ191" i="3" s="1"/>
  <c r="BL192" i="3"/>
  <c r="AZ192" i="3" s="1"/>
  <c r="G193" i="3"/>
  <c r="BA195" i="3"/>
  <c r="BL196" i="3"/>
  <c r="G197" i="3"/>
  <c r="BA199" i="3"/>
  <c r="BL200" i="3"/>
  <c r="G201" i="3"/>
  <c r="BA203" i="3"/>
  <c r="AZ203" i="3" s="1"/>
  <c r="BL204" i="3"/>
  <c r="AZ51" i="3"/>
  <c r="AZ55" i="3"/>
  <c r="AZ79" i="3"/>
  <c r="AZ83" i="3"/>
  <c r="AZ136" i="3"/>
  <c r="AZ144" i="3"/>
  <c r="AZ176" i="3"/>
  <c r="AZ85" i="3"/>
  <c r="AZ89" i="3"/>
  <c r="AZ105"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BL351" i="3"/>
  <c r="G352" i="3"/>
  <c r="G354" i="3"/>
  <c r="BA355" i="3"/>
  <c r="AZ355" i="3" s="1"/>
  <c r="BA356" i="3"/>
  <c r="AZ356" i="3" s="1"/>
  <c r="BL356" i="3"/>
  <c r="G357" i="3"/>
  <c r="G360" i="3"/>
  <c r="BL361" i="3"/>
  <c r="BA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AZ390" i="3" s="1"/>
  <c r="G391" i="3"/>
  <c r="G394" i="3"/>
  <c r="AZ158" i="3"/>
  <c r="AZ174" i="3"/>
  <c r="AZ190" i="3"/>
  <c r="AZ500" i="3"/>
  <c r="BA16" i="3"/>
  <c r="AZ16" i="3" s="1"/>
  <c r="BL303" i="3"/>
  <c r="G304" i="3"/>
  <c r="BA306" i="3"/>
  <c r="AZ306" i="3"/>
  <c r="BL307" i="3"/>
  <c r="AZ307" i="3"/>
  <c r="G308" i="3"/>
  <c r="BA310" i="3"/>
  <c r="AZ310" i="3" s="1"/>
  <c r="BL311" i="3"/>
  <c r="G312" i="3"/>
  <c r="BA314" i="3"/>
  <c r="AZ314" i="3" s="1"/>
  <c r="BL315" i="3"/>
  <c r="G316" i="3"/>
  <c r="BA318" i="3"/>
  <c r="AZ318" i="3" s="1"/>
  <c r="BL319" i="3"/>
  <c r="G320" i="3"/>
  <c r="BA322" i="3"/>
  <c r="BL323" i="3"/>
  <c r="G324" i="3"/>
  <c r="BA326" i="3"/>
  <c r="BL327" i="3"/>
  <c r="AZ327" i="3" s="1"/>
  <c r="G328" i="3"/>
  <c r="BA330" i="3"/>
  <c r="BL331" i="3"/>
  <c r="G332" i="3"/>
  <c r="BA334" i="3"/>
  <c r="AZ334" i="3" s="1"/>
  <c r="BL335" i="3"/>
  <c r="G336" i="3"/>
  <c r="BA338" i="3"/>
  <c r="AZ338" i="3" s="1"/>
  <c r="BL339" i="3"/>
  <c r="AZ339" i="3" s="1"/>
  <c r="G340" i="3"/>
  <c r="BL343" i="3"/>
  <c r="G344" i="3"/>
  <c r="G348" i="3"/>
  <c r="G355" i="3"/>
  <c r="AZ209" i="3"/>
  <c r="AZ303" i="3"/>
  <c r="AZ335" i="3"/>
  <c r="G342" i="3"/>
  <c r="BL345" i="3"/>
  <c r="AZ345" i="3" s="1"/>
  <c r="G346" i="3"/>
  <c r="BL349" i="3"/>
  <c r="BL352" i="3"/>
  <c r="G353" i="3"/>
  <c r="BA357" i="3"/>
  <c r="AZ357" i="3"/>
  <c r="BL358" i="3"/>
  <c r="AZ358" i="3"/>
  <c r="G359" i="3"/>
  <c r="BA361" i="3"/>
  <c r="AZ361" i="3" s="1"/>
  <c r="BL362" i="3"/>
  <c r="G363" i="3"/>
  <c r="BA365" i="3"/>
  <c r="AZ365" i="3" s="1"/>
  <c r="BL366" i="3"/>
  <c r="G367" i="3"/>
  <c r="BA369" i="3"/>
  <c r="AZ369" i="3" s="1"/>
  <c r="BL370" i="3"/>
  <c r="G371" i="3"/>
  <c r="BA373" i="3"/>
  <c r="BL374" i="3"/>
  <c r="AZ374" i="3" s="1"/>
  <c r="G375" i="3"/>
  <c r="BA377" i="3"/>
  <c r="AZ377" i="3" s="1"/>
  <c r="AZ229" i="3"/>
  <c r="AZ370" i="3"/>
  <c r="BA379" i="3"/>
  <c r="AZ379" i="3" s="1"/>
  <c r="BL380" i="3"/>
  <c r="G381" i="3"/>
  <c r="BA383" i="3"/>
  <c r="BL384" i="3"/>
  <c r="G385" i="3"/>
  <c r="BA387" i="3"/>
  <c r="AZ387" i="3"/>
  <c r="BL388" i="3"/>
  <c r="G389" i="3"/>
  <c r="BA391" i="3"/>
  <c r="AZ391" i="3"/>
  <c r="BL392" i="3"/>
  <c r="G393" i="3"/>
  <c r="BO5" i="3"/>
  <c r="BM5" i="3"/>
  <c r="BJ5" i="3"/>
  <c r="BH5" i="3"/>
  <c r="BF5" i="3"/>
  <c r="BD5" i="3"/>
  <c r="AZ317" i="3"/>
  <c r="BQ5" i="3"/>
  <c r="AC5" i="3"/>
  <c r="AZ549" i="3"/>
  <c r="AZ506" i="3"/>
  <c r="AZ496" i="3"/>
  <c r="G548" i="3"/>
  <c r="G538" i="3"/>
  <c r="G520" i="3"/>
  <c r="G502" i="3"/>
  <c r="BS5" i="3"/>
  <c r="BP5" i="3"/>
  <c r="BN5" i="3"/>
  <c r="AZ343" i="3"/>
  <c r="BK5" i="3"/>
  <c r="BI5" i="3"/>
  <c r="BG5" i="3"/>
  <c r="BE5" i="3"/>
  <c r="BC5" i="3"/>
  <c r="G17" i="3"/>
  <c r="BA17" i="3"/>
  <c r="BT5" i="3"/>
  <c r="AZ352" i="3"/>
  <c r="BA15" i="3"/>
  <c r="BB5" i="3"/>
  <c r="BR5" i="3"/>
  <c r="AZ384" i="3"/>
  <c r="AZ396" i="3"/>
  <c r="AZ394" i="3"/>
  <c r="AZ509" i="3"/>
  <c r="G509" i="3"/>
  <c r="BL493" i="3"/>
  <c r="AZ493" i="3" s="1"/>
  <c r="AZ376" i="3"/>
  <c r="U36" i="40"/>
  <c r="N4" i="43"/>
  <c r="F36" i="43"/>
  <c r="F81" i="43"/>
  <c r="H83" i="43" s="1"/>
  <c r="H113" i="43"/>
  <c r="F48" i="43"/>
  <c r="H52" i="43" s="1"/>
  <c r="N7" i="43"/>
  <c r="F70" i="43"/>
  <c r="H73" i="43" s="1"/>
  <c r="M6" i="43"/>
  <c r="M11" i="43"/>
  <c r="E17" i="43"/>
  <c r="F39" i="43"/>
  <c r="I17" i="43"/>
  <c r="F35" i="43"/>
  <c r="J17" i="43"/>
  <c r="F6" i="1"/>
  <c r="U17" i="39"/>
  <c r="S14" i="35"/>
  <c r="U43" i="21"/>
  <c r="AC35" i="21"/>
  <c r="U10" i="21"/>
  <c r="G8" i="1"/>
  <c r="G9" i="1"/>
  <c r="G10" i="1"/>
  <c r="F48" i="9"/>
  <c r="O52" i="9" s="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27" i="3"/>
  <c r="AZ130" i="3"/>
  <c r="AZ58"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AZ373" i="3" l="1"/>
  <c r="AZ330" i="3"/>
  <c r="AZ322" i="3"/>
  <c r="AZ319" i="3"/>
  <c r="AZ351" i="3"/>
  <c r="AZ378" i="3"/>
  <c r="AZ495" i="3"/>
  <c r="AZ499" i="3"/>
  <c r="AZ503" i="3"/>
  <c r="AZ553" i="3"/>
  <c r="AZ559" i="3"/>
  <c r="AZ567" i="3"/>
  <c r="AZ518" i="3"/>
  <c r="AZ538" i="3"/>
  <c r="AZ552" i="3"/>
  <c r="AZ560" i="3"/>
  <c r="AZ568" i="3"/>
  <c r="AZ576" i="3"/>
  <c r="AZ584" i="3"/>
  <c r="W29" i="33"/>
  <c r="S45" i="33"/>
  <c r="AC30" i="34"/>
  <c r="W11" i="35"/>
  <c r="S11" i="36"/>
  <c r="AA29" i="35"/>
  <c r="AZ366" i="3"/>
  <c r="AZ124" i="3"/>
  <c r="AZ308" i="3"/>
  <c r="BL585" i="3"/>
  <c r="F9" i="34"/>
  <c r="F9" i="36"/>
  <c r="AA9" i="36" s="1"/>
  <c r="G578" i="3"/>
  <c r="G574" i="3"/>
  <c r="BL398" i="3"/>
  <c r="G399" i="3"/>
  <c r="G402" i="3"/>
  <c r="G404" i="3"/>
  <c r="BA405" i="3"/>
  <c r="AZ405" i="3" s="1"/>
  <c r="BL405" i="3"/>
  <c r="BL407" i="3"/>
  <c r="G408" i="3"/>
  <c r="G413" i="3"/>
  <c r="BL414" i="3"/>
  <c r="G415" i="3"/>
  <c r="G418" i="3"/>
  <c r="G420" i="3"/>
  <c r="BA421" i="3"/>
  <c r="BL421" i="3"/>
  <c r="BL423" i="3"/>
  <c r="G424" i="3"/>
  <c r="BA425" i="3"/>
  <c r="BL425" i="3"/>
  <c r="BA426" i="3"/>
  <c r="AZ426" i="3" s="1"/>
  <c r="BA427" i="3"/>
  <c r="AZ427" i="3" s="1"/>
  <c r="BL429" i="3"/>
  <c r="G430" i="3"/>
  <c r="BA431" i="3"/>
  <c r="BL431" i="3"/>
  <c r="BA432" i="3"/>
  <c r="AZ432" i="3" s="1"/>
  <c r="BA434" i="3"/>
  <c r="BL434" i="3"/>
  <c r="BL436" i="3"/>
  <c r="G437" i="3"/>
  <c r="G439" i="3"/>
  <c r="G440" i="3"/>
  <c r="BA441" i="3"/>
  <c r="BL441" i="3"/>
  <c r="BA443" i="3"/>
  <c r="BL443" i="3"/>
  <c r="BA444" i="3"/>
  <c r="AZ444" i="3" s="1"/>
  <c r="BA446" i="3"/>
  <c r="BL446" i="3"/>
  <c r="BA447" i="3"/>
  <c r="AZ447" i="3" s="1"/>
  <c r="BA448" i="3"/>
  <c r="AZ448" i="3" s="1"/>
  <c r="BA450" i="3"/>
  <c r="BL450" i="3"/>
  <c r="BL452" i="3"/>
  <c r="G453" i="3"/>
  <c r="G455" i="3"/>
  <c r="BL456" i="3"/>
  <c r="G457" i="3"/>
  <c r="G459" i="3"/>
  <c r="G462" i="3"/>
  <c r="G466" i="3"/>
  <c r="BL467" i="3"/>
  <c r="G468" i="3"/>
  <c r="G470" i="3"/>
  <c r="BL471" i="3"/>
  <c r="G472" i="3"/>
  <c r="BA473" i="3"/>
  <c r="BL473" i="3"/>
  <c r="BA475" i="3"/>
  <c r="AZ475" i="3" s="1"/>
  <c r="BA477" i="3"/>
  <c r="BL477" i="3"/>
  <c r="BA478" i="3"/>
  <c r="AZ478" i="3" s="1"/>
  <c r="BA479" i="3"/>
  <c r="AZ479" i="3" s="1"/>
  <c r="BA481" i="3"/>
  <c r="BL481" i="3"/>
  <c r="BA482" i="3"/>
  <c r="AZ482" i="3" s="1"/>
  <c r="BA483" i="3"/>
  <c r="AZ483" i="3" s="1"/>
  <c r="BL484" i="3"/>
  <c r="G485" i="3"/>
  <c r="BA486" i="3"/>
  <c r="BL486" i="3"/>
  <c r="BL488" i="3"/>
  <c r="G489" i="3"/>
  <c r="BA490" i="3"/>
  <c r="BL490" i="3"/>
  <c r="BL492" i="3"/>
  <c r="G307" i="3"/>
  <c r="BL308" i="3"/>
  <c r="G311" i="3"/>
  <c r="BA319" i="3"/>
  <c r="BA323" i="3"/>
  <c r="AZ323" i="3" s="1"/>
  <c r="BL330" i="3"/>
  <c r="G331" i="3"/>
  <c r="BA333" i="3"/>
  <c r="AZ333" i="3" s="1"/>
  <c r="G339" i="3"/>
  <c r="BL340" i="3"/>
  <c r="AZ340" i="3" s="1"/>
  <c r="G343" i="3"/>
  <c r="BA348" i="3"/>
  <c r="AZ348" i="3" s="1"/>
  <c r="BA349" i="3"/>
  <c r="AZ349" i="3" s="1"/>
  <c r="BL363" i="3"/>
  <c r="AZ363" i="3" s="1"/>
  <c r="G364" i="3"/>
  <c r="BA366" i="3"/>
  <c r="BL368" i="3"/>
  <c r="G369" i="3"/>
  <c r="G384" i="3"/>
  <c r="BL385" i="3"/>
  <c r="G396" i="3"/>
  <c r="G209" i="3"/>
  <c r="G212" i="3"/>
  <c r="BA213" i="3"/>
  <c r="BL213" i="3"/>
  <c r="BA215" i="3"/>
  <c r="BL215" i="3"/>
  <c r="BA216" i="3"/>
  <c r="AZ216" i="3" s="1"/>
  <c r="BA218" i="3"/>
  <c r="AZ218" i="3" s="1"/>
  <c r="BL218" i="3"/>
  <c r="BA219" i="3"/>
  <c r="AZ219" i="3" s="1"/>
  <c r="BL221" i="3"/>
  <c r="G222" i="3"/>
  <c r="BL223" i="3"/>
  <c r="G224" i="3"/>
  <c r="G227" i="3"/>
  <c r="G231" i="3"/>
  <c r="BL232" i="3"/>
  <c r="G233" i="3"/>
  <c r="BA234" i="3"/>
  <c r="BL234" i="3"/>
  <c r="BL236" i="3"/>
  <c r="G237" i="3"/>
  <c r="BA238" i="3"/>
  <c r="BL238" i="3"/>
  <c r="BA239" i="3"/>
  <c r="AZ239" i="3" s="1"/>
  <c r="BA240" i="3"/>
  <c r="AZ240" i="3" s="1"/>
  <c r="BA241" i="3"/>
  <c r="AZ241" i="3" s="1"/>
  <c r="BA243" i="3"/>
  <c r="AZ243" i="3" s="1"/>
  <c r="BL243" i="3"/>
  <c r="BA244" i="3"/>
  <c r="AZ244" i="3" s="1"/>
  <c r="BA245" i="3"/>
  <c r="AZ245" i="3" s="1"/>
  <c r="BL247" i="3"/>
  <c r="G248" i="3"/>
  <c r="BL249" i="3"/>
  <c r="G250" i="3"/>
  <c r="G252" i="3"/>
  <c r="BL253" i="3"/>
  <c r="G254" i="3"/>
  <c r="BL254" i="3"/>
  <c r="BA255" i="3"/>
  <c r="AZ255" i="3" s="1"/>
  <c r="BA256" i="3"/>
  <c r="AZ256" i="3" s="1"/>
  <c r="BA257" i="3"/>
  <c r="AZ257" i="3" s="1"/>
  <c r="BA259" i="3"/>
  <c r="BL259" i="3"/>
  <c r="BA260" i="3"/>
  <c r="AZ260" i="3" s="1"/>
  <c r="BA261" i="3"/>
  <c r="AZ261" i="3" s="1"/>
  <c r="BA263" i="3"/>
  <c r="BL263" i="3"/>
  <c r="BA264" i="3"/>
  <c r="AZ264" i="3" s="1"/>
  <c r="BA265" i="3"/>
  <c r="AZ265" i="3" s="1"/>
  <c r="BL267" i="3"/>
  <c r="G268" i="3"/>
  <c r="BL269" i="3"/>
  <c r="G270" i="3"/>
  <c r="G272" i="3"/>
  <c r="BL273" i="3"/>
  <c r="G274" i="3"/>
  <c r="G276" i="3"/>
  <c r="BA277" i="3"/>
  <c r="BL277" i="3"/>
  <c r="BA278" i="3"/>
  <c r="AZ278" i="3" s="1"/>
  <c r="BA279" i="3"/>
  <c r="AZ279" i="3" s="1"/>
  <c r="BA280" i="3"/>
  <c r="AZ280" i="3" s="1"/>
  <c r="BL282" i="3"/>
  <c r="G283" i="3"/>
  <c r="BA284" i="3"/>
  <c r="AZ284" i="3" s="1"/>
  <c r="BL284" i="3"/>
  <c r="BA285" i="3"/>
  <c r="AZ285" i="3" s="1"/>
  <c r="BA287" i="3"/>
  <c r="BL287" i="3"/>
  <c r="BL289" i="3"/>
  <c r="G290" i="3"/>
  <c r="G292" i="3"/>
  <c r="BA293" i="3"/>
  <c r="AZ293" i="3" s="1"/>
  <c r="BL293" i="3"/>
  <c r="BA294" i="3"/>
  <c r="AZ294" i="3" s="1"/>
  <c r="BA295" i="3"/>
  <c r="AZ295" i="3" s="1"/>
  <c r="BA296" i="3"/>
  <c r="AZ296" i="3" s="1"/>
  <c r="BL298" i="3"/>
  <c r="G299" i="3"/>
  <c r="BA300" i="3"/>
  <c r="BL300" i="3"/>
  <c r="BA301" i="3"/>
  <c r="AZ301" i="3" s="1"/>
  <c r="BA302" i="3"/>
  <c r="AZ302" i="3" s="1"/>
  <c r="BA113" i="3"/>
  <c r="AZ113" i="3" s="1"/>
  <c r="BA114" i="3"/>
  <c r="AZ114" i="3" s="1"/>
  <c r="BL115" i="3"/>
  <c r="AZ115" i="3" s="1"/>
  <c r="BL118" i="3"/>
  <c r="G119" i="3"/>
  <c r="BA120" i="3"/>
  <c r="AZ120" i="3" s="1"/>
  <c r="BA122" i="3"/>
  <c r="BL122" i="3"/>
  <c r="BA124" i="3"/>
  <c r="G134" i="3"/>
  <c r="G136" i="3"/>
  <c r="BL137" i="3"/>
  <c r="G138" i="3"/>
  <c r="G140" i="3"/>
  <c r="BL141" i="3"/>
  <c r="G142" i="3"/>
  <c r="G144" i="3"/>
  <c r="BL145" i="3"/>
  <c r="G146" i="3"/>
  <c r="BL147" i="3"/>
  <c r="AZ147" i="3" s="1"/>
  <c r="G148" i="3"/>
  <c r="BA150" i="3"/>
  <c r="AZ150" i="3" s="1"/>
  <c r="BL150" i="3"/>
  <c r="BA152" i="3"/>
  <c r="AZ152" i="3" s="1"/>
  <c r="G155" i="3"/>
  <c r="G158" i="3"/>
  <c r="BA161" i="3"/>
  <c r="BL161" i="3"/>
  <c r="BL163" i="3"/>
  <c r="AZ163" i="3" s="1"/>
  <c r="G164" i="3"/>
  <c r="BA166" i="3"/>
  <c r="BL166" i="3"/>
  <c r="BA168" i="3"/>
  <c r="AZ168" i="3" s="1"/>
  <c r="G171" i="3"/>
  <c r="G174" i="3"/>
  <c r="BA177" i="3"/>
  <c r="AZ177" i="3" s="1"/>
  <c r="BL177" i="3"/>
  <c r="BL179" i="3"/>
  <c r="AZ179" i="3" s="1"/>
  <c r="G180" i="3"/>
  <c r="BA182" i="3"/>
  <c r="AZ182" i="3" s="1"/>
  <c r="BL182" i="3"/>
  <c r="BA184" i="3"/>
  <c r="AZ184" i="3" s="1"/>
  <c r="G187" i="3"/>
  <c r="G190" i="3"/>
  <c r="BA193" i="3"/>
  <c r="BL193" i="3"/>
  <c r="BL195" i="3"/>
  <c r="AZ195" i="3" s="1"/>
  <c r="G196" i="3"/>
  <c r="BA197" i="3"/>
  <c r="BL197" i="3"/>
  <c r="BL199" i="3"/>
  <c r="AZ199" i="3" s="1"/>
  <c r="G200" i="3"/>
  <c r="BA202" i="3"/>
  <c r="BL202" i="3"/>
  <c r="BA204" i="3"/>
  <c r="AZ204" i="3" s="1"/>
  <c r="BA205" i="3"/>
  <c r="AZ205" i="3" s="1"/>
  <c r="BA206" i="3"/>
  <c r="AZ206" i="3" s="1"/>
  <c r="BL18" i="3"/>
  <c r="G19" i="3"/>
  <c r="BA21" i="3"/>
  <c r="AZ21" i="3" s="1"/>
  <c r="BL21" i="3"/>
  <c r="D58" i="79"/>
  <c r="E58" i="79" s="1"/>
  <c r="F58" i="79" s="1"/>
  <c r="G58" i="79" s="1"/>
  <c r="H58" i="79" s="1"/>
  <c r="I58" i="79" s="1"/>
  <c r="J58" i="79" s="1"/>
  <c r="K58" i="79" s="1"/>
  <c r="L58" i="79" s="1"/>
  <c r="M58" i="79" s="1"/>
  <c r="N58" i="79" s="1"/>
  <c r="O58" i="79" s="1"/>
  <c r="H7" i="79"/>
  <c r="F7" i="79"/>
  <c r="G22" i="3"/>
  <c r="BA23" i="3"/>
  <c r="G24" i="3"/>
  <c r="BA25" i="3"/>
  <c r="AZ25" i="3" s="1"/>
  <c r="BL27" i="3"/>
  <c r="G28" i="3"/>
  <c r="BL29" i="3"/>
  <c r="G30" i="3"/>
  <c r="BA31" i="3"/>
  <c r="G32" i="3"/>
  <c r="BL34" i="3"/>
  <c r="BL36" i="3"/>
  <c r="BA38" i="3"/>
  <c r="G39" i="3"/>
  <c r="BA41" i="3"/>
  <c r="G42" i="3"/>
  <c r="G45" i="3"/>
  <c r="G47" i="3"/>
  <c r="G49" i="3"/>
  <c r="BA50" i="3"/>
  <c r="G51" i="3"/>
  <c r="BA52" i="3"/>
  <c r="AZ52" i="3" s="1"/>
  <c r="BA53" i="3"/>
  <c r="AZ53" i="3" s="1"/>
  <c r="BA54" i="3"/>
  <c r="G55" i="3"/>
  <c r="BA56" i="3"/>
  <c r="AZ56" i="3" s="1"/>
  <c r="BA57" i="3"/>
  <c r="G58" i="3"/>
  <c r="BA59" i="3"/>
  <c r="G60" i="3"/>
  <c r="BL61" i="3"/>
  <c r="G62" i="3"/>
  <c r="G64" i="3"/>
  <c r="BA65" i="3"/>
  <c r="BL65" i="3"/>
  <c r="BA67" i="3"/>
  <c r="BL67" i="3"/>
  <c r="BA68" i="3"/>
  <c r="AZ68" i="3" s="1"/>
  <c r="BA69" i="3"/>
  <c r="AZ69" i="3" s="1"/>
  <c r="BA71" i="3"/>
  <c r="BL71" i="3"/>
  <c r="BL73" i="3"/>
  <c r="G74" i="3"/>
  <c r="BL75" i="3"/>
  <c r="G76" i="3"/>
  <c r="G78" i="3"/>
  <c r="G81" i="3"/>
  <c r="G85" i="3"/>
  <c r="G87" i="3"/>
  <c r="G89" i="3"/>
  <c r="G92" i="3"/>
  <c r="BL93" i="3"/>
  <c r="G94" i="3"/>
  <c r="BA95" i="3"/>
  <c r="BL95" i="3"/>
  <c r="BA96" i="3"/>
  <c r="AZ96" i="3" s="1"/>
  <c r="BA97" i="3"/>
  <c r="AZ97" i="3" s="1"/>
  <c r="BL99" i="3"/>
  <c r="G100" i="3"/>
  <c r="G102" i="3"/>
  <c r="G105" i="3"/>
  <c r="BA107" i="3"/>
  <c r="BL107" i="3"/>
  <c r="BL108" i="3"/>
  <c r="G109" i="3"/>
  <c r="BL110" i="3"/>
  <c r="G111" i="3"/>
  <c r="U34" i="21"/>
  <c r="S34" i="21"/>
  <c r="G13" i="1"/>
  <c r="BA19" i="3"/>
  <c r="BL19" i="3"/>
  <c r="BA22" i="3"/>
  <c r="AZ22" i="3" s="1"/>
  <c r="BA24" i="3"/>
  <c r="BL24" i="3"/>
  <c r="BL28" i="3"/>
  <c r="BA30" i="3"/>
  <c r="AZ30" i="3" s="1"/>
  <c r="BL30" i="3"/>
  <c r="BA32" i="3"/>
  <c r="AZ32" i="3" s="1"/>
  <c r="BL32" i="3"/>
  <c r="BA34" i="3"/>
  <c r="AZ34" i="3" s="1"/>
  <c r="BA36" i="3"/>
  <c r="AZ36" i="3" s="1"/>
  <c r="BA37" i="3"/>
  <c r="AZ37" i="3" s="1"/>
  <c r="BA39" i="3"/>
  <c r="BL39" i="3"/>
  <c r="BA40" i="3"/>
  <c r="AZ40" i="3" s="1"/>
  <c r="BA42" i="3"/>
  <c r="AZ42" i="3" s="1"/>
  <c r="BL42" i="3"/>
  <c r="BL44" i="3"/>
  <c r="BA46" i="3"/>
  <c r="BL46" i="3"/>
  <c r="BL48" i="3"/>
  <c r="H11" i="21"/>
  <c r="U11" i="21" s="1"/>
  <c r="F11" i="21"/>
  <c r="S11" i="21" s="1"/>
  <c r="S42" i="21"/>
  <c r="U35" i="21"/>
  <c r="S40" i="21"/>
  <c r="E8" i="6"/>
  <c r="F27" i="6" s="1"/>
  <c r="F29" i="6"/>
  <c r="A15" i="62"/>
  <c r="B61" i="72" s="1"/>
  <c r="AZ521" i="3"/>
  <c r="AZ581" i="3"/>
  <c r="W12" i="34"/>
  <c r="AC12" i="34"/>
  <c r="U12" i="35"/>
  <c r="AB12" i="35"/>
  <c r="AB34" i="35"/>
  <c r="U34" i="35"/>
  <c r="G28" i="6"/>
  <c r="AZ326" i="3"/>
  <c r="AZ311" i="3"/>
  <c r="AZ372" i="3"/>
  <c r="AZ347" i="3"/>
  <c r="AZ344" i="3"/>
  <c r="AZ337" i="3"/>
  <c r="AZ320" i="3"/>
  <c r="AZ313" i="3"/>
  <c r="AZ305" i="3"/>
  <c r="AZ362" i="3"/>
  <c r="AZ569" i="3"/>
  <c r="AZ577" i="3"/>
  <c r="AZ557" i="3"/>
  <c r="AZ516" i="3"/>
  <c r="AZ524" i="3"/>
  <c r="AZ532" i="3"/>
  <c r="AZ536" i="3"/>
  <c r="AZ544" i="3"/>
  <c r="AZ554" i="3"/>
  <c r="AZ558" i="3"/>
  <c r="AZ582" i="3"/>
  <c r="S44" i="33"/>
  <c r="AA44" i="33"/>
  <c r="AB9" i="36"/>
  <c r="U9" i="36"/>
  <c r="J12" i="21"/>
  <c r="AC12" i="21" s="1"/>
  <c r="F12" i="34"/>
  <c r="J23" i="35"/>
  <c r="J36" i="35"/>
  <c r="H12" i="36"/>
  <c r="H24" i="36"/>
  <c r="AB24" i="36" s="1"/>
  <c r="H39" i="40"/>
  <c r="G582" i="3"/>
  <c r="G566" i="3"/>
  <c r="G552" i="3"/>
  <c r="BA551" i="3"/>
  <c r="G551" i="3"/>
  <c r="BL550" i="3"/>
  <c r="BA550" i="3"/>
  <c r="BL548" i="3"/>
  <c r="AZ548" i="3" s="1"/>
  <c r="G526"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L586" i="3"/>
  <c r="AZ585" i="3"/>
  <c r="AZ402" i="3"/>
  <c r="AZ418" i="3"/>
  <c r="AZ434" i="3"/>
  <c r="AZ443" i="3"/>
  <c r="AZ445" i="3"/>
  <c r="AZ446" i="3"/>
  <c r="AZ449" i="3"/>
  <c r="AZ450" i="3"/>
  <c r="AZ459" i="3"/>
  <c r="AZ461" i="3"/>
  <c r="AZ462" i="3"/>
  <c r="AZ476" i="3"/>
  <c r="AZ477" i="3"/>
  <c r="AZ480" i="3"/>
  <c r="AZ481" i="3"/>
  <c r="AZ316" i="3"/>
  <c r="AZ332" i="3"/>
  <c r="AZ395" i="3"/>
  <c r="AZ211" i="3"/>
  <c r="AZ220" i="3"/>
  <c r="AZ226" i="3"/>
  <c r="AZ230" i="3"/>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AZ258" i="3"/>
  <c r="AZ262" i="3"/>
  <c r="BL198" i="3"/>
  <c r="AZ198" i="3" s="1"/>
  <c r="BA200" i="3"/>
  <c r="AZ200" i="3" s="1"/>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AZ70" i="3"/>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E59" i="43"/>
  <c r="B57" i="43" s="1"/>
  <c r="C24" i="43"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14" i="74"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S2" i="43" s="1"/>
  <c r="F105" i="43"/>
  <c r="J106" i="43"/>
  <c r="N104" i="43"/>
  <c r="N107" i="43"/>
  <c r="E56" i="40"/>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58" i="21" s="1"/>
  <c r="D58" i="21" s="1"/>
  <c r="C7" i="40"/>
  <c r="C63" i="40" s="1"/>
  <c r="M47" i="9"/>
  <c r="G19" i="43"/>
  <c r="M20"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F36" i="67"/>
  <c r="F8" i="15"/>
  <c r="F36" i="15"/>
  <c r="L48" i="67"/>
  <c r="M8" i="67"/>
  <c r="M24" i="15"/>
  <c r="F37" i="67"/>
  <c r="M9" i="67"/>
  <c r="F38" i="15"/>
  <c r="F6" i="15"/>
  <c r="F43" i="67"/>
  <c r="F16" i="15"/>
  <c r="M23" i="67"/>
  <c r="G1" i="73"/>
  <c r="F16" i="67"/>
  <c r="M29" i="15"/>
  <c r="F43" i="15"/>
  <c r="J15" i="15"/>
  <c r="F13" i="67"/>
  <c r="M22" i="15"/>
  <c r="F9" i="67"/>
  <c r="M28" i="15"/>
  <c r="F42" i="15"/>
  <c r="F40" i="15"/>
  <c r="M9" i="15"/>
  <c r="M24" i="67"/>
  <c r="M6" i="67"/>
  <c r="L48" i="15"/>
  <c r="F26" i="15"/>
  <c r="U12" i="39" l="1"/>
  <c r="AB7" i="79"/>
  <c r="U7" i="79"/>
  <c r="AA9" i="34"/>
  <c r="S9" i="34"/>
  <c r="AZ95" i="3"/>
  <c r="AZ71" i="3"/>
  <c r="AZ67" i="3"/>
  <c r="AZ65" i="3"/>
  <c r="S7" i="79"/>
  <c r="AA7" i="79"/>
  <c r="J7" i="79"/>
  <c r="AZ202" i="3"/>
  <c r="AZ193" i="3"/>
  <c r="AZ166" i="3"/>
  <c r="AZ161" i="3"/>
  <c r="AZ122" i="3"/>
  <c r="AZ300" i="3"/>
  <c r="AZ287" i="3"/>
  <c r="AZ277" i="3"/>
  <c r="AZ263" i="3"/>
  <c r="AZ259" i="3"/>
  <c r="AZ215" i="3"/>
  <c r="AZ486" i="3"/>
  <c r="AZ431" i="3"/>
  <c r="AZ425" i="3"/>
  <c r="AZ421" i="3"/>
  <c r="AZ46" i="3"/>
  <c r="AZ39" i="3"/>
  <c r="AZ24" i="3"/>
  <c r="AB11" i="21"/>
  <c r="AC15" i="21"/>
  <c r="C109" i="43"/>
  <c r="T10" i="1"/>
  <c r="F103" i="43"/>
  <c r="I116" i="43"/>
  <c r="J116" i="43" s="1"/>
  <c r="K116" i="43" s="1"/>
  <c r="L116" i="43" s="1"/>
  <c r="M116" i="43" s="1"/>
  <c r="B118" i="43"/>
  <c r="C118" i="43" s="1"/>
  <c r="G118" i="43"/>
  <c r="H118" i="43" s="1"/>
  <c r="D116" i="43"/>
  <c r="E116" i="43" s="1"/>
  <c r="F116" i="43" s="1"/>
  <c r="G116" i="43" s="1"/>
  <c r="H116" i="43" s="1"/>
  <c r="C103" i="43"/>
  <c r="C107" i="43"/>
  <c r="F102" i="43"/>
  <c r="E65" i="39"/>
  <c r="E4" i="4"/>
  <c r="B5" i="62" s="1"/>
  <c r="B73" i="72" s="1"/>
  <c r="C4" i="4"/>
  <c r="C7" i="43"/>
  <c r="AC36" i="35"/>
  <c r="W36" i="35"/>
  <c r="S12" i="34"/>
  <c r="AA12" i="34"/>
  <c r="U39" i="40"/>
  <c r="AB39" i="40"/>
  <c r="U12" i="36"/>
  <c r="AB12" i="36"/>
  <c r="AC23" i="35"/>
  <c r="W23" i="35"/>
  <c r="C10" i="15"/>
  <c r="C53" i="15"/>
  <c r="C53" i="67"/>
  <c r="J53" i="67"/>
  <c r="I54" i="67"/>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M20" i="6"/>
  <c r="I20" i="6" s="1"/>
  <c r="G16" i="1"/>
  <c r="H10" i="40" s="1"/>
  <c r="U10" i="40" s="1"/>
  <c r="L56" i="67"/>
  <c r="J57" i="67"/>
  <c r="J55" i="67" s="1"/>
  <c r="J58" i="67" s="1"/>
  <c r="Q50" i="67" s="1"/>
  <c r="F71" i="67"/>
  <c r="F64" i="67"/>
  <c r="F65" i="67"/>
  <c r="F71" i="15"/>
  <c r="C27" i="15"/>
  <c r="F64" i="15"/>
  <c r="F51" i="15"/>
  <c r="J57" i="15"/>
  <c r="J55" i="15" s="1"/>
  <c r="J58" i="15" s="1"/>
  <c r="Q50" i="15" s="1"/>
  <c r="F68" i="15"/>
  <c r="F66" i="15"/>
  <c r="AP7" i="1"/>
  <c r="C36" i="69" s="1"/>
  <c r="M7" i="1"/>
  <c r="O7" i="1" s="1"/>
  <c r="Q16" i="1"/>
  <c r="F27" i="69" s="1"/>
  <c r="H16" i="1"/>
  <c r="AB45" i="21"/>
  <c r="W32" i="21"/>
  <c r="AC32" i="21"/>
  <c r="AB9" i="21"/>
  <c r="U9" i="21"/>
  <c r="AA32" i="21"/>
  <c r="S32" i="21"/>
  <c r="W9" i="21"/>
  <c r="AC9" i="21"/>
  <c r="AB32" i="21"/>
  <c r="U32" i="21"/>
  <c r="AA10" i="21"/>
  <c r="S10" i="21"/>
  <c r="J15" i="67"/>
  <c r="F40" i="67"/>
  <c r="M26" i="67"/>
  <c r="F42" i="67"/>
  <c r="F38" i="67"/>
  <c r="F6" i="67"/>
  <c r="C17" i="15"/>
  <c r="F31" i="67"/>
  <c r="F7" i="67"/>
  <c r="M28" i="67"/>
  <c r="C76" i="67"/>
  <c r="M22" i="67"/>
  <c r="L47" i="67"/>
  <c r="F37" i="15"/>
  <c r="F59" i="67"/>
  <c r="C16" i="15"/>
  <c r="M23" i="15"/>
  <c r="F26" i="67"/>
  <c r="M8" i="15"/>
  <c r="F8" i="67"/>
  <c r="L47" i="15"/>
  <c r="F13" i="15"/>
  <c r="C16" i="67"/>
  <c r="C76" i="15"/>
  <c r="F7" i="15"/>
  <c r="F9" i="15"/>
  <c r="M6" i="15"/>
  <c r="M29" i="67"/>
  <c r="M26" i="15"/>
  <c r="F31" i="15"/>
  <c r="M17" i="67"/>
  <c r="F65" i="15" l="1"/>
  <c r="M59" i="67"/>
  <c r="L58" i="67"/>
  <c r="Q60" i="67" s="1"/>
  <c r="N59" i="67"/>
  <c r="L59" i="67" s="1"/>
  <c r="Q61" i="67" s="1"/>
  <c r="Q71" i="67"/>
  <c r="M7" i="15"/>
  <c r="J6" i="15" s="1"/>
  <c r="J10" i="15" s="1"/>
  <c r="F50" i="15"/>
  <c r="C6" i="15"/>
  <c r="C5" i="15" s="1"/>
  <c r="C32" i="15" s="1"/>
  <c r="F50" i="67"/>
  <c r="M7" i="67"/>
  <c r="Q71" i="15"/>
  <c r="C6" i="67"/>
  <c r="C10" i="67" s="1"/>
  <c r="L58" i="15"/>
  <c r="Q73" i="15" s="1"/>
  <c r="N59" i="15"/>
  <c r="M59" i="15"/>
  <c r="F66" i="67"/>
  <c r="F51" i="67"/>
  <c r="F70" i="67"/>
  <c r="C27" i="67"/>
  <c r="F68" i="67"/>
  <c r="C33" i="79"/>
  <c r="C33" i="21"/>
  <c r="W7" i="79"/>
  <c r="AC7" i="79"/>
  <c r="AQ7" i="1"/>
  <c r="E66" i="39"/>
  <c r="K16" i="1"/>
  <c r="B29" i="1" s="1"/>
  <c r="C8" i="68" s="1"/>
  <c r="M19" i="6"/>
  <c r="AR6" i="1"/>
  <c r="K4" i="4"/>
  <c r="B46" i="48" s="1"/>
  <c r="B4" i="72" s="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T6" i="1"/>
  <c r="F7" i="36"/>
  <c r="S7" i="36" s="1"/>
  <c r="H7" i="37"/>
  <c r="U7" i="37" s="1"/>
  <c r="H6" i="3"/>
  <c r="AC6" i="3"/>
  <c r="E6" i="6"/>
  <c r="D19" i="11"/>
  <c r="C19" i="11" s="1"/>
  <c r="C20" i="11" s="1"/>
  <c r="C17" i="4"/>
  <c r="B4" i="52" s="1"/>
  <c r="B43" i="72" s="1"/>
  <c r="D37" i="11"/>
  <c r="D14" i="12"/>
  <c r="D17" i="12" s="1"/>
  <c r="C17" i="12" s="1"/>
  <c r="D3" i="37"/>
  <c r="M18" i="9"/>
  <c r="B118" i="9"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L18" i="9" s="1"/>
  <c r="M27" i="6"/>
  <c r="H10" i="39"/>
  <c r="J10" i="39"/>
  <c r="C49" i="15"/>
  <c r="M16" i="1"/>
  <c r="N16" i="1" s="1"/>
  <c r="Q73" i="67"/>
  <c r="F27" i="11"/>
  <c r="C49" i="67"/>
  <c r="F1" i="67"/>
  <c r="Q52" i="67"/>
  <c r="F59" i="15"/>
  <c r="M17" i="15"/>
  <c r="Q60" i="15" l="1"/>
  <c r="Q74" i="67"/>
  <c r="F33" i="21"/>
  <c r="H33" i="21"/>
  <c r="J33" i="21"/>
  <c r="H33" i="79"/>
  <c r="J33" i="79"/>
  <c r="F33" i="79"/>
  <c r="Q61" i="15"/>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AC33" i="79" l="1"/>
  <c r="V48" i="79" s="1"/>
  <c r="I48" i="79" s="1"/>
  <c r="W33" i="79"/>
  <c r="W33" i="21"/>
  <c r="AC33" i="21"/>
  <c r="AA33" i="21"/>
  <c r="S33" i="21"/>
  <c r="V48" i="21"/>
  <c r="I48" i="21" s="1"/>
  <c r="AA33" i="79"/>
  <c r="R48" i="79" s="1"/>
  <c r="S33" i="79"/>
  <c r="U33" i="79"/>
  <c r="AB33" i="79"/>
  <c r="T48" i="79" s="1"/>
  <c r="G48" i="79" s="1"/>
  <c r="AB33" i="21"/>
  <c r="T48" i="21" s="1"/>
  <c r="G48" i="21" s="1"/>
  <c r="U33" i="21"/>
  <c r="R25" i="6"/>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R50" i="34"/>
  <c r="E49" i="34"/>
  <c r="G70" i="39"/>
  <c r="H27" i="6"/>
  <c r="R19" i="6"/>
  <c r="C35" i="11"/>
  <c r="C38" i="11"/>
  <c r="C14" i="12"/>
  <c r="C23" i="12"/>
  <c r="E6" i="76"/>
  <c r="G52" i="79" l="1"/>
  <c r="H52" i="79" s="1"/>
  <c r="G53" i="79"/>
  <c r="H53" i="79" s="1"/>
  <c r="I52" i="79"/>
  <c r="J52" i="79" s="1"/>
  <c r="E48" i="79"/>
  <c r="I53" i="79" s="1"/>
  <c r="J53" i="79" s="1"/>
  <c r="R49" i="79"/>
  <c r="D31" i="6"/>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M21" i="67"/>
  <c r="M21" i="15"/>
  <c r="B6" i="76"/>
  <c r="F35" i="15"/>
  <c r="F35" i="67"/>
  <c r="C49" i="79" l="1"/>
  <c r="C48" i="79"/>
  <c r="E53" i="79"/>
  <c r="F53" i="79" s="1"/>
  <c r="E52" i="79"/>
  <c r="F52" i="79" s="1"/>
  <c r="I5" i="6"/>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B2" i="79" l="1"/>
  <c r="B3" i="79"/>
  <c r="C25" i="68"/>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67"/>
  <c r="M27" i="67"/>
  <c r="M27" i="15"/>
  <c r="F41" i="15"/>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AO8" i="1"/>
  <c r="E2" i="69"/>
  <c r="B8" i="70" l="1"/>
  <c r="B7" i="70"/>
  <c r="B6" i="70"/>
  <c r="C46" i="15"/>
  <c r="B2" i="69"/>
  <c r="B3" i="69" s="1"/>
  <c r="B2" i="68"/>
  <c r="B3" i="67"/>
  <c r="D2" i="21"/>
  <c r="D2" i="33"/>
  <c r="E2" i="68"/>
  <c r="D2" i="36"/>
  <c r="D2" i="35"/>
  <c r="D2" i="37"/>
  <c r="D2" i="34"/>
  <c r="F20" i="31"/>
  <c r="B2" i="36" l="1"/>
  <c r="B3" i="36" s="1"/>
  <c r="B2" i="35"/>
  <c r="B3" i="35" s="1"/>
  <c r="B2" i="37"/>
  <c r="B3" i="37" s="1"/>
  <c r="B2" i="34"/>
  <c r="B3" i="34" s="1"/>
  <c r="B2" i="21"/>
  <c r="B2" i="70"/>
  <c r="B3" i="70" s="1"/>
  <c r="B3" i="68"/>
  <c r="C19" i="9"/>
  <c r="D19" i="9"/>
  <c r="D20" i="9"/>
  <c r="C21" i="9" l="1"/>
  <c r="C102" i="9"/>
  <c r="B3" i="21"/>
  <c r="G19" i="9"/>
  <c r="D102" i="9"/>
  <c r="D22" i="9"/>
  <c r="D21" i="9"/>
  <c r="D103" i="9"/>
  <c r="C20" i="9"/>
  <c r="C103" i="9" l="1"/>
  <c r="G20" i="9"/>
  <c r="R24" i="31" s="1"/>
  <c r="S24" i="31" s="1"/>
  <c r="C32" i="9"/>
  <c r="G21" i="9"/>
  <c r="D34" i="9"/>
  <c r="R26" i="31" l="1"/>
  <c r="S26" i="31" s="1"/>
  <c r="R34" i="31"/>
  <c r="S34" i="31" s="1"/>
  <c r="R29" i="31"/>
  <c r="S29" i="31" s="1"/>
  <c r="R28" i="31"/>
  <c r="S28" i="31" s="1"/>
  <c r="R36" i="31"/>
  <c r="S36" i="31" s="1"/>
  <c r="R31" i="31"/>
  <c r="S31" i="31" s="1"/>
  <c r="R30" i="31"/>
  <c r="S30" i="31" s="1"/>
  <c r="R25" i="31"/>
  <c r="S25" i="31" s="1"/>
  <c r="R33" i="31"/>
  <c r="S33" i="31" s="1"/>
  <c r="R32" i="31"/>
  <c r="S32" i="31" s="1"/>
  <c r="R27" i="31"/>
  <c r="S27" i="31" s="1"/>
  <c r="R35" i="31"/>
  <c r="S35" i="31" s="1"/>
  <c r="J7" i="33"/>
  <c r="W7" i="33" s="1"/>
  <c r="F7" i="33"/>
  <c r="S7" i="33" s="1"/>
  <c r="H7" i="33"/>
  <c r="AB7" i="33" s="1"/>
  <c r="T48" i="33" s="1"/>
  <c r="G48" i="33" s="1"/>
  <c r="S22" i="31" l="1"/>
  <c r="G52" i="33"/>
  <c r="H52" i="33" s="1"/>
  <c r="AA7" i="33"/>
  <c r="R48" i="33" s="1"/>
  <c r="U7" i="33"/>
  <c r="AC7" i="33"/>
  <c r="V48" i="33" s="1"/>
  <c r="I48" i="33" s="1"/>
  <c r="B20" i="31" l="1"/>
  <c r="D14" i="74"/>
  <c r="H14" i="74" s="1"/>
  <c r="R22" i="31"/>
  <c r="B21" i="31" s="1"/>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H107" i="9" s="1"/>
  <c r="I118" i="9"/>
  <c r="C105" i="9" s="1"/>
  <c r="H119" i="9"/>
  <c r="H5" i="52" s="1"/>
  <c r="F4" i="52"/>
  <c r="B51" i="72" s="1"/>
  <c r="F119" i="9"/>
  <c r="F5" i="52" s="1"/>
  <c r="B53" i="72" s="1"/>
  <c r="H4" i="52"/>
  <c r="D4" i="52"/>
  <c r="B47" i="72" s="1"/>
  <c r="M48" i="9" l="1"/>
  <c r="H109" i="9"/>
  <c r="D45" i="9"/>
  <c r="D53" i="9" s="1"/>
  <c r="I4" i="52"/>
  <c r="D5" i="53"/>
  <c r="B20" i="72" s="1"/>
  <c r="H102" i="9"/>
  <c r="D7" i="53" s="1"/>
  <c r="B21" i="72" s="1"/>
  <c r="E118" i="9"/>
  <c r="E4" i="52" s="1"/>
  <c r="B48" i="72" s="1"/>
  <c r="D122" i="9"/>
  <c r="H108" i="9"/>
  <c r="D15" i="53" s="1"/>
  <c r="B31" i="72" s="1"/>
  <c r="D13" i="53"/>
  <c r="E14" i="74"/>
  <c r="B5" i="74"/>
  <c r="F14" i="74"/>
  <c r="M49" i="9" l="1"/>
  <c r="H110" i="9"/>
  <c r="D18" i="53" s="1"/>
  <c r="B35" i="72" s="1"/>
  <c r="D16" i="53"/>
  <c r="D124" i="9"/>
  <c r="C93" i="9"/>
  <c r="C86" i="9" s="1"/>
  <c r="D52" i="9"/>
  <c r="C78" i="9"/>
  <c r="C73" i="9" s="1"/>
  <c r="C85" i="9"/>
  <c r="C72" i="9"/>
  <c r="D55" i="9"/>
  <c r="M53" i="9" s="1"/>
  <c r="C64" i="9"/>
  <c r="C63" i="9" s="1"/>
  <c r="D6" i="53"/>
  <c r="B22" i="72" s="1"/>
  <c r="D5" i="74"/>
  <c r="C5" i="74"/>
  <c r="D14" i="53"/>
  <c r="B32" i="72" s="1"/>
  <c r="B30" i="72"/>
  <c r="G14" i="74"/>
  <c r="B6" i="74" s="1"/>
  <c r="D123" i="9"/>
  <c r="D9" i="52" s="1"/>
  <c r="D8" i="52"/>
  <c r="D10" i="52" l="1"/>
  <c r="B7" i="74"/>
  <c r="D125" i="9"/>
  <c r="D11" i="52" s="1"/>
  <c r="B34" i="72"/>
  <c r="D17" i="53"/>
  <c r="B36" i="72" s="1"/>
  <c r="L68" i="9"/>
  <c r="M68" i="9" s="1"/>
  <c r="L66" i="9"/>
  <c r="M66" i="9" s="1"/>
  <c r="L63" i="9"/>
  <c r="M63" i="9" s="1"/>
  <c r="L65" i="9"/>
  <c r="M65" i="9" s="1"/>
  <c r="L64" i="9"/>
  <c r="M64" i="9" s="1"/>
  <c r="L67" i="9"/>
  <c r="M67" i="9" s="1"/>
  <c r="C95" i="9"/>
  <c r="C67" i="9"/>
  <c r="C68" i="9" s="1"/>
  <c r="D54" i="9" s="1"/>
  <c r="C79" i="9"/>
  <c r="D6" i="74"/>
  <c r="C6" i="74"/>
  <c r="M69" i="9" l="1"/>
  <c r="N69" i="9" s="1"/>
  <c r="D7" i="74"/>
  <c r="C7" i="74"/>
  <c r="C96" i="9"/>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<sst xmlns="http://schemas.openxmlformats.org/spreadsheetml/2006/main" count="7848" uniqueCount="3142">
  <si>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</si>
  <si>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</si>
  <si>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</si>
  <si>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</si>
  <si>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</si>
  <si>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</si>
  <si>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</si>
  <si>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</si>
  <si>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</si>
  <si>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</si>
  <si>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</si>
  <si>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</si>
  <si>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</si>
  <si>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</si>
  <si>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</si>
  <si>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</si>
  <si>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</si>
  <si>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</si>
  <si>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</si>
  <si>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</si>
  <si>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</si>
  <si>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</si>
  <si>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</si>
  <si>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</si>
  <si>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</si>
  <si>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</si>
  <si>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</si>
  <si>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</si>
  <si>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</si>
  <si>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</si>
  <si>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</si>
  <si>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</si>
  <si>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</si>
  <si>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</si>
  <si>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</si>
  <si>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</si>
  <si>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</si>
  <si>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</si>
  <si>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</si>
  <si>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</si>
  <si>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</si>
  <si>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</si>
  <si>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</si>
  <si>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</si>
  <si>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</si>
  <si>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</si>
  <si>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</si>
  <si>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</si>
  <si>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</si>
  <si>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</si>
  <si>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</si>
  <si>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</si>
  <si>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</si>
  <si>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</si>
  <si>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</si>
  <si>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</si>
  <si>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</si>
  <si>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</si>
  <si>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</si>
  <si>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</si>
  <si>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</si>
  <si>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</si>
  <si>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</si>
  <si>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</si>
  <si>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</si>
  <si>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</si>
  <si>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</si>
  <si>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</si>
  <si>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</si>
  <si>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</si>
  <si>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</si>
  <si>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</si>
  <si>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</si>
  <si>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</si>
  <si>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</si>
  <si>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</si>
  <si>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</si>
  <si>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</si>
  <si>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</si>
  <si>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</si>
  <si>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</si>
  <si>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</si>
  <si>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</si>
  <si>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</si>
  <si>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</si>
  <si>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</si>
  <si>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</si>
  <si>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</si>
  <si>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</si>
  <si>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</si>
  <si>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</si>
  <si>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</si>
  <si>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</si>
  <si>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</si>
  <si>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</si>
  <si>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</si>
  <si>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</si>
  <si>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</si>
  <si>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</si>
  <si>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</si>
  <si>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</si>
  <si>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</si>
  <si>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</si>
  <si>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</si>
  <si>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</si>
  <si>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</si>
  <si>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</si>
  <si>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</si>
  <si>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</si>
  <si>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</si>
  <si>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</si>
  <si>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</si>
  <si>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</si>
  <si>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</si>
  <si>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</si>
  <si>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</si>
  <si>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</si>
  <si>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</si>
  <si>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</si>
  <si>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</si>
  <si>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</si>
  <si>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</si>
  <si>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</si>
  <si>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</si>
  <si>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</si>
  <si>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</si>
  <si>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</si>
  <si>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</si>
  <si>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</si>
  <si>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</si>
  <si>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</si>
  <si>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</si>
  <si>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</si>
  <si>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</si>
  <si>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</si>
  <si>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</si>
  <si>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</si>
  <si>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</si>
  <si>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</si>
  <si>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</si>
  <si>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</si>
  <si>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</si>
  <si>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</si>
  <si>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</si>
  <si>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</si>
  <si>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</si>
  <si>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</si>
  <si>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</si>
  <si>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</si>
  <si>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</si>
  <si>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</si>
  <si>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</si>
  <si>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</si>
  <si>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</si>
  <si>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</si>
  <si>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</si>
  <si>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</si>
  <si>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</si>
  <si>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</si>
  <si>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</si>
  <si>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</si>
  <si>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</si>
  <si>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</si>
  <si>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</si>
  <si>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</si>
  <si>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</si>
  <si>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</si>
  <si>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</si>
  <si>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</si>
  <si>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</si>
  <si>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</si>
  <si>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</si>
  <si>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</si>
  <si>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</si>
  <si>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</si>
  <si>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</si>
  <si>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</si>
  <si>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</si>
  <si>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</si>
  <si>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</si>
  <si>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</si>
  <si>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</si>
  <si>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</si>
  <si>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</si>
  <si>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</si>
  <si>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</si>
  <si>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</si>
  <si>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</si>
  <si>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</si>
  <si>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</si>
  <si>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</si>
  <si>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</si>
  <si>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</si>
  <si>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</si>
  <si>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</si>
  <si>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</si>
  <si>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</si>
  <si>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</si>
  <si>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</si>
  <si>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</si>
  <si>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</si>
  <si>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</si>
  <si>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</si>
  <si>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</si>
  <si>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</si>
  <si>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</si>
  <si>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</si>
  <si>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</si>
  <si>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</si>
  <si>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</si>
  <si>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</si>
  <si>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</si>
  <si>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</si>
  <si>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</si>
  <si>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</si>
  <si>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</si>
  <si>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</si>
  <si>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</si>
  <si>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</si>
  <si>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</si>
  <si>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</si>
  <si>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</si>
  <si>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</si>
  <si>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</si>
  <si>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</si>
  <si>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</si>
  <si>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</si>
  <si>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</si>
  <si>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</si>
  <si>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</si>
  <si>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</si>
  <si>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</si>
  <si>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</si>
  <si>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</si>
  <si>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</si>
  <si>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</si>
  <si>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</si>
  <si>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</si>
  <si>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</si>
  <si>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</si>
  <si>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</si>
  <si>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</si>
  <si>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</si>
  <si>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</si>
  <si>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</si>
  <si>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</si>
  <si>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</si>
  <si>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</si>
  <si>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</si>
  <si>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</si>
  <si>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</si>
  <si>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</si>
  <si>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</si>
  <si>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</si>
  <si>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</si>
  <si>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</si>
  <si>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</si>
  <si>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</si>
  <si>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</si>
  <si>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</si>
  <si>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</si>
  <si>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</si>
  <si>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</si>
  <si>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</si>
  <si>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</si>
  <si>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</si>
  <si>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</si>
  <si>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</si>
  <si>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</si>
  <si>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</si>
  <si>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</si>
  <si>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</si>
  <si>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</si>
  <si>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</si>
  <si>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</si>
  <si>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</si>
  <si>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</si>
  <si>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</si>
  <si>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</si>
  <si>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</si>
  <si>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</si>
  <si>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</si>
  <si>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</si>
  <si>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</si>
  <si>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</si>
  <si>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</si>
  <si>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</si>
  <si>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</si>
  <si>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</si>
  <si>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</si>
  <si>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</si>
  <si>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</si>
  <si>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</si>
  <si>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</si>
  <si>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</si>
  <si>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</si>
  <si>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</si>
  <si>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</si>
  <si>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</si>
  <si>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</si>
  <si>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</si>
  <si>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</si>
  <si>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</si>
  <si>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</si>
  <si>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</si>
  <si>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</si>
  <si>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</si>
  <si>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</si>
  <si>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</si>
  <si>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</si>
  <si>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</si>
  <si>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</si>
  <si>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</si>
  <si>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</si>
  <si>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</si>
  <si>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</si>
  <si>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</si>
  <si>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</si>
  <si>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</si>
  <si>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</si>
  <si>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</si>
  <si>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</si>
  <si>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</si>
  <si>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</si>
  <si>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</si>
  <si>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</si>
  <si>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</si>
  <si>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</si>
  <si>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</si>
  <si>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</si>
  <si>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</si>
  <si>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</si>
  <si>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</si>
  <si>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</si>
  <si>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</si>
  <si>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</si>
  <si>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</si>
  <si>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</si>
  <si>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</si>
  <si>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</si>
  <si>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</si>
  <si>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</si>
  <si>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</si>
  <si>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</si>
  <si>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</si>
  <si>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</si>
  <si>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</si>
  <si>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</si>
  <si>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</si>
  <si>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</si>
  <si>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</si>
  <si>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</si>
  <si>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</si>
  <si>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</si>
  <si>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</si>
  <si>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</si>
  <si>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</si>
  <si>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</si>
  <si>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</si>
  <si>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</si>
  <si>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</si>
  <si>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</si>
  <si>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</si>
  <si>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</si>
  <si>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</si>
  <si>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</si>
  <si>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</si>
  <si>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</si>
  <si>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</si>
  <si>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</si>
  <si>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</si>
  <si>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</si>
  <si>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</si>
  <si>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</si>
  <si>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</si>
  <si>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</si>
  <si>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</si>
  <si>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</si>
  <si>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</si>
  <si>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</si>
  <si>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</si>
  <si>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</si>
  <si>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</si>
  <si>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</si>
  <si>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</si>
  <si>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</si>
  <si>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</si>
  <si>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</si>
  <si>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</si>
  <si>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</si>
  <si>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</si>
  <si>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</si>
  <si>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</si>
  <si>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</si>
  <si>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</si>
  <si>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</si>
  <si>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</si>
  <si>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</si>
  <si>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</si>
  <si>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</si>
  <si>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</si>
  <si>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</si>
  <si>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</si>
  <si>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</si>
  <si>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</si>
  <si>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</si>
  <si>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</si>
  <si>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</si>
  <si>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</si>
  <si>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</si>
  <si>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</si>
  <si>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</si>
  <si>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</si>
  <si>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</si>
  <si>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</si>
  <si>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</si>
  <si>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</si>
  <si>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</si>
  <si>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</si>
  <si>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</si>
  <si>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</si>
  <si>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</si>
  <si>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</si>
  <si>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</si>
  <si>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</si>
  <si>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</si>
  <si>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</si>
  <si>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</si>
  <si>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</si>
  <si>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</si>
  <si>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</si>
  <si>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</si>
  <si>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</si>
  <si>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</si>
  <si>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</si>
  <si>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</si>
  <si>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</si>
  <si>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</si>
  <si>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</si>
  <si>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</si>
  <si>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</si>
  <si>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</si>
  <si>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</si>
  <si>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</si>
  <si>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</si>
  <si>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</si>
  <si>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</si>
  <si>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</si>
  <si>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</si>
  <si>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</si>
  <si>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</si>
  <si>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</si>
  <si>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</si>
  <si>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</si>
  <si>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</si>
  <si>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</si>
  <si>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</si>
  <si>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</si>
  <si>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</si>
  <si>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</si>
  <si>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</si>
  <si>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</si>
  <si>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</si>
  <si>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</si>
  <si>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</si>
  <si>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</si>
  <si>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</si>
  <si>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</si>
  <si>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</si>
  <si>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</si>
  <si>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</si>
  <si>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</si>
  <si>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</si>
  <si>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</si>
  <si>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</si>
  <si>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</si>
  <si>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</si>
  <si>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</si>
  <si>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</si>
  <si>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</si>
  <si>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</si>
  <si>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</si>
  <si>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</si>
  <si>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</si>
  <si>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</si>
  <si>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</si>
  <si>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</si>
  <si>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</si>
  <si>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</si>
  <si>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</si>
  <si>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</si>
  <si>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</si>
  <si>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</si>
  <si>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</si>
  <si>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</si>
  <si>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</si>
  <si>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</si>
  <si>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</si>
  <si>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</si>
  <si>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</si>
  <si>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</si>
  <si>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</si>
  <si>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</si>
  <si>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</si>
  <si>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</si>
  <si>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</si>
  <si>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</si>
  <si>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</si>
  <si>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</si>
  <si>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</si>
  <si>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</si>
  <si>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</si>
  <si>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</si>
  <si>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</si>
  <si>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</si>
  <si>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</si>
  <si>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</si>
  <si>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</si>
  <si>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</si>
  <si>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</si>
  <si>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</si>
  <si>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</si>
  <si>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</si>
  <si>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</si>
  <si>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</si>
  <si>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</si>
  <si>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</si>
  <si>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</si>
  <si>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</si>
  <si>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</si>
  <si>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</si>
  <si>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</si>
  <si>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</si>
  <si>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</si>
  <si>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</si>
  <si>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</si>
  <si>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</si>
  <si>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</si>
  <si>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</si>
  <si>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</si>
  <si>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</si>
  <si>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</si>
  <si>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</si>
  <si>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</si>
  <si>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</si>
  <si>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</si>
  <si>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</si>
  <si>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</si>
  <si>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</si>
  <si>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</si>
  <si>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</si>
  <si>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</si>
  <si>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</si>
  <si>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</si>
  <si>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</si>
  <si>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</si>
  <si>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</si>
  <si>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</si>
  <si>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</si>
  <si>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</si>
  <si>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</si>
  <si>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</si>
  <si>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</si>
  <si>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</si>
  <si>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</si>
  <si>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</si>
  <si>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</si>
  <si>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</si>
  <si>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</si>
  <si>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</si>
  <si>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</si>
  <si>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</si>
  <si>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</si>
  <si>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</si>
  <si>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</si>
  <si>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</si>
  <si>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</si>
  <si>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</si>
  <si>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</si>
  <si>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</si>
  <si>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</si>
  <si>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</si>
  <si>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</si>
  <si>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</si>
  <si>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</si>
  <si>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</si>
  <si>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</si>
  <si>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</si>
  <si>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</si>
  <si>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</si>
  <si>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</si>
  <si>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</si>
  <si>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</si>
  <si>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</si>
  <si>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</si>
  <si>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</si>
  <si>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</si>
  <si>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</si>
  <si>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</si>
  <si>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</si>
  <si>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</si>
  <si>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</si>
  <si>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</si>
  <si>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</si>
  <si>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</si>
  <si>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</si>
  <si>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</si>
  <si>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</si>
  <si>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</si>
  <si>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</si>
  <si>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</si>
  <si>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</si>
  <si>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</si>
  <si>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</si>
  <si>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</si>
  <si>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</si>
  <si>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</si>
  <si>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</si>
  <si>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</si>
  <si>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</si>
  <si>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</si>
  <si>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</si>
  <si>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</si>
  <si>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</si>
  <si>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</si>
  <si>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</si>
  <si>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</si>
  <si>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</si>
  <si>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</si>
  <si>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</si>
  <si>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</si>
  <si>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</si>
  <si>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</si>
  <si>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</si>
  <si>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</si>
  <si>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</si>
  <si>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</si>
  <si>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</si>
  <si>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</si>
  <si>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</si>
  <si>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</si>
  <si>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</si>
  <si>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</si>
  <si>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</si>
  <si>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</si>
  <si>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</si>
  <si>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</si>
  <si>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</si>
  <si>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</si>
  <si>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</si>
  <si>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</si>
  <si>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</si>
  <si>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</si>
  <si>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</si>
  <si>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</si>
  <si>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</si>
  <si>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</si>
  <si>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</si>
  <si>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</si>
  <si>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</si>
  <si>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</si>
  <si>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</si>
  <si>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</si>
  <si>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</si>
  <si>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</si>
  <si>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</si>
  <si>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</si>
  <si>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</si>
  <si>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</si>
  <si>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</si>
  <si>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</si>
  <si>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</si>
  <si>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</si>
  <si>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</si>
  <si>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</si>
  <si>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</si>
  <si>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</si>
  <si>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</si>
  <si>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</si>
  <si>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</si>
  <si>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</si>
  <si>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</si>
  <si>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</si>
  <si>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</si>
  <si>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</si>
  <si>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</si>
  <si>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</si>
  <si>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</si>
  <si>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</si>
  <si>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</si>
  <si>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</si>
  <si>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</si>
  <si>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</si>
  <si>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</si>
  <si>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</si>
  <si>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</si>
  <si>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</si>
  <si>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</si>
  <si>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</si>
  <si>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</si>
  <si>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</si>
  <si>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</si>
  <si>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</si>
  <si>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</si>
  <si>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</si>
  <si>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</si>
  <si>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</si>
  <si>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</si>
  <si>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</si>
  <si>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</si>
  <si>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</si>
  <si>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</si>
  <si>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</si>
  <si>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</si>
  <si>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</si>
  <si>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</si>
  <si>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</si>
  <si>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</si>
  <si>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</si>
  <si>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</si>
  <si>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</si>
  <si>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</si>
  <si>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</si>
  <si>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</si>
  <si>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</si>
  <si>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</si>
  <si>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</si>
  <si>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</si>
  <si>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</si>
  <si>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</si>
  <si>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</si>
  <si>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</si>
  <si>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</si>
  <si>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</si>
  <si>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</si>
  <si>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</si>
  <si>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</si>
  <si>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</si>
  <si>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</si>
  <si>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</si>
  <si>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</si>
  <si>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</si>
  <si>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</si>
  <si>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</si>
  <si>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</si>
  <si>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</si>
  <si>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</si>
  <si>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</si>
  <si>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</si>
  <si>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</si>
  <si>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</si>
  <si>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</si>
  <si>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</si>
  <si>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</si>
  <si>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</si>
  <si>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</si>
  <si>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</si>
  <si>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</si>
  <si>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</si>
  <si>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</si>
  <si>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</si>
  <si>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</si>
  <si>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</si>
  <si>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</si>
  <si>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</si>
  <si>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</si>
  <si>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</si>
  <si>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</si>
  <si>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</si>
  <si>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</si>
  <si>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</si>
  <si>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</si>
  <si>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</si>
  <si>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</si>
  <si>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</si>
  <si>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</si>
  <si>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</si>
  <si>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</si>
  <si>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</si>
  <si>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</si>
  <si>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</si>
  <si>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</si>
  <si>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</si>
  <si>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</si>
  <si>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</si>
  <si>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</si>
  <si>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</si>
  <si>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</si>
  <si>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</si>
  <si>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</si>
  <si>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</si>
  <si>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</si>
  <si>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</si>
  <si>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</si>
  <si>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</si>
  <si>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</si>
  <si>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</si>
  <si>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</si>
  <si>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</si>
  <si>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</si>
  <si>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</si>
  <si>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</si>
  <si>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</si>
  <si>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</si>
  <si>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</si>
  <si>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</si>
  <si>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</si>
  <si>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</si>
  <si>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</si>
  <si>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</si>
  <si>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</si>
  <si>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</si>
  <si>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</si>
  <si>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</si>
  <si>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</si>
  <si>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</si>
  <si>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</si>
  <si>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</si>
  <si>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</si>
  <si>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</si>
  <si>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</si>
  <si>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</si>
  <si>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</si>
  <si>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</si>
  <si>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</si>
  <si>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</si>
  <si>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</si>
  <si>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</si>
  <si>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</si>
  <si>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</si>
  <si>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</si>
  <si>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</si>
  <si>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</si>
  <si>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</si>
  <si>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</si>
  <si>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</si>
  <si>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</si>
  <si>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</si>
  <si>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</si>
  <si>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</si>
  <si>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</si>
  <si>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</si>
  <si>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</si>
  <si>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</si>
  <si>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</si>
  <si>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</si>
  <si>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</si>
  <si>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</si>
  <si>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</si>
  <si>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</si>
  <si>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</si>
  <si>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</si>
  <si>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</si>
  <si>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</si>
  <si>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</si>
  <si>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</si>
  <si>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</si>
  <si>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</si>
  <si>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</si>
  <si>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</si>
  <si>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</si>
  <si>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</si>
  <si>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</si>
  <si>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</si>
  <si>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</si>
  <si>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</si>
  <si>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</si>
  <si>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</si>
  <si>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</si>
  <si>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</si>
  <si>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</si>
  <si>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</si>
  <si>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</si>
  <si>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</si>
  <si>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</si>
  <si>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</si>
  <si>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</si>
  <si>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</si>
  <si>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</si>
  <si>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</si>
  <si>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</si>
  <si>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</si>
  <si>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</si>
  <si>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</si>
  <si>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</si>
  <si>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</si>
  <si>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</si>
  <si>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</si>
  <si>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</si>
  <si>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</si>
  <si>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</si>
  <si>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</si>
  <si>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</si>
  <si>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</si>
  <si>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</si>
  <si>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</si>
  <si>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</si>
  <si>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</si>
  <si>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</si>
  <si>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</si>
  <si>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</si>
  <si>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</si>
  <si>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</si>
  <si>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</si>
  <si>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</si>
  <si>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</si>
  <si>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</si>
  <si>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</si>
  <si>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</si>
  <si>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</si>
  <si>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</si>
  <si>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</si>
  <si>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</si>
  <si>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</si>
  <si>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</si>
  <si>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</si>
  <si>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</si>
  <si>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</si>
  <si>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</si>
  <si>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</si>
  <si>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</si>
  <si>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</si>
  <si>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</si>
  <si>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</si>
  <si>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</si>
  <si>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</si>
  <si>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</si>
  <si>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</si>
  <si>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</si>
  <si>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</si>
  <si>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</si>
  <si>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</si>
  <si>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</si>
  <si>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</si>
  <si>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</si>
  <si>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</si>
  <si>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</si>
  <si>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</si>
  <si>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</si>
  <si>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</si>
  <si>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</si>
  <si>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</si>
  <si>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</si>
  <si>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</si>
  <si>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</si>
  <si>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</si>
  <si>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</si>
  <si>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</si>
  <si>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</si>
  <si>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</si>
  <si>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</si>
  <si>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</si>
  <si>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</si>
  <si>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</si>
  <si>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</si>
  <si>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</si>
  <si>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</si>
  <si>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</si>
  <si>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</si>
  <si>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</si>
  <si>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</si>
  <si>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</si>
  <si>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</si>
  <si>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</si>
  <si>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</si>
  <si>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</si>
  <si>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</si>
  <si>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</si>
  <si>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</si>
  <si>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</si>
  <si>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</si>
  <si>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</si>
  <si>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</si>
  <si>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</si>
  <si>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</si>
  <si>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</si>
  <si>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</si>
  <si>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</si>
  <si>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</si>
  <si>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</si>
  <si>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</si>
  <si>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</si>
  <si>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</si>
  <si>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</si>
  <si>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</si>
  <si>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</si>
  <si>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</si>
  <si>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</si>
  <si>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</si>
  <si>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</si>
  <si>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</si>
  <si>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</si>
  <si>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</si>
  <si>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</si>
  <si>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</si>
  <si>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</si>
  <si>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</si>
  <si>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</si>
  <si>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</si>
  <si>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</si>
  <si>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</si>
  <si>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</si>
  <si>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</si>
  <si>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</si>
  <si>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</si>
  <si>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</si>
  <si>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</si>
  <si>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</si>
  <si>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</si>
  <si>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</si>
  <si>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</si>
  <si>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</si>
  <si>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</si>
  <si>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</si>
  <si>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</si>
  <si>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</si>
  <si>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</si>
  <si>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</si>
  <si>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</si>
  <si>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</si>
  <si>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</si>
  <si>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</si>
  <si>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</si>
  <si>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</si>
  <si>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</si>
  <si>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</si>
  <si>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</si>
  <si>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</si>
  <si>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</si>
  <si>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</si>
  <si>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</si>
  <si>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</si>
  <si>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</si>
  <si>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</si>
  <si>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</si>
  <si>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</si>
  <si>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</si>
  <si>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</si>
  <si>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</si>
  <si>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</si>
  <si>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</si>
  <si>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</si>
  <si>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</si>
  <si>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</si>
  <si>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</si>
  <si>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</si>
  <si>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</si>
  <si>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</si>
  <si>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</si>
  <si>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</si>
  <si>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</si>
  <si>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</si>
  <si>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</si>
  <si>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</si>
  <si>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</si>
  <si>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</si>
  <si>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</si>
  <si>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</si>
  <si>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</si>
  <si>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</si>
  <si>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</si>
  <si>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</si>
  <si>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</si>
  <si>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</si>
  <si>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</si>
  <si>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</si>
  <si>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</si>
  <si>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</si>
  <si>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</si>
  <si>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</si>
  <si>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</si>
  <si>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</si>
  <si>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</si>
  <si>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</si>
  <si>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</si>
  <si>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</si>
  <si>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</si>
  <si>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</si>
  <si>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</si>
  <si>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</si>
  <si>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</si>
  <si>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</si>
  <si>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</si>
  <si>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</si>
  <si>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</si>
  <si>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</si>
  <si>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</si>
  <si>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</si>
  <si>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</si>
  <si>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</si>
  <si>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</si>
  <si>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</si>
  <si>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</si>
  <si>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</si>
  <si>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</si>
  <si>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</si>
  <si>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</si>
  <si>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</si>
  <si>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</si>
  <si>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</si>
  <si>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</si>
  <si>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</si>
  <si>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</si>
  <si>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</si>
  <si>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</si>
  <si>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</si>
  <si>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</si>
  <si>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</si>
  <si>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</si>
  <si>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</si>
  <si>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</si>
  <si>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</si>
  <si>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</si>
  <si>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</si>
  <si>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</si>
  <si>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</si>
  <si>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</si>
  <si>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</si>
  <si>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</si>
  <si>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</si>
  <si>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</si>
  <si>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</si>
  <si>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</si>
  <si>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</si>
  <si>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</si>
  <si>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</si>
  <si>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</si>
  <si>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</si>
  <si>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</si>
  <si>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</si>
  <si>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</si>
  <si>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</si>
  <si>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</si>
  <si>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</si>
  <si>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</si>
  <si>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</si>
  <si>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</si>
  <si>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</si>
  <si>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</si>
  <si>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</si>
  <si>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</si>
  <si>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</si>
  <si>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</si>
  <si>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</si>
  <si>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</si>
  <si>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</si>
  <si>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</si>
  <si>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</si>
  <si>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</si>
  <si>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</si>
  <si>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</si>
  <si>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</si>
  <si>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</si>
  <si>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</si>
  <si>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</si>
  <si>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</si>
  <si>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</si>
  <si>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</si>
  <si>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</si>
  <si>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</si>
  <si>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</si>
  <si>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</si>
  <si>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</si>
  <si>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</si>
  <si>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</si>
  <si>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</si>
  <si>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</si>
  <si>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</si>
  <si>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</si>
  <si>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</si>
  <si>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</si>
  <si>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</si>
  <si>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</si>
  <si>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</si>
  <si>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</si>
  <si>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</si>
  <si>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</si>
  <si>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</si>
  <si>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</si>
  <si>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</si>
  <si>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</si>
  <si>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</si>
  <si>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</si>
  <si>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</si>
  <si>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</si>
  <si>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</si>
  <si>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</si>
  <si>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</si>
  <si>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</si>
  <si>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</si>
  <si>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</si>
  <si>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</si>
  <si>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</si>
  <si>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</si>
  <si>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</si>
  <si>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</si>
  <si>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</si>
  <si>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</si>
  <si>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</si>
  <si>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</si>
  <si>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</si>
  <si>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</si>
  <si>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</si>
  <si>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</si>
  <si>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</si>
  <si>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</si>
  <si>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</si>
  <si>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</si>
  <si>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</si>
  <si>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</si>
  <si>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</si>
  <si>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</si>
  <si>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</si>
  <si>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</si>
  <si>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</si>
  <si>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</si>
  <si>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</si>
  <si>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</si>
  <si>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</si>
  <si>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</si>
  <si>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</si>
  <si>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</si>
  <si>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</si>
  <si>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</si>
  <si>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</si>
  <si>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</si>
  <si>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</si>
  <si>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</si>
  <si>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</si>
  <si>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</si>
  <si>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</si>
  <si>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</si>
  <si>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</si>
  <si>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</si>
  <si>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</si>
  <si>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</si>
  <si>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</si>
  <si>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</si>
  <si>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</si>
  <si>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</si>
  <si>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</si>
  <si>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</si>
  <si>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</si>
  <si>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</si>
  <si>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</si>
  <si>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</si>
  <si>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</si>
  <si>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</si>
  <si>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</si>
  <si>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</si>
  <si>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</si>
  <si>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</si>
  <si>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</si>
  <si>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</si>
  <si>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</si>
  <si>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</si>
  <si>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</si>
  <si>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</si>
  <si>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</si>
  <si>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</si>
  <si>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</si>
  <si>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</si>
  <si>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</si>
  <si>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</si>
  <si>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</si>
  <si>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</si>
  <si>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</si>
  <si>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</si>
  <si>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</si>
  <si>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</si>
  <si>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</si>
  <si>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</si>
  <si>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</si>
  <si>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</si>
  <si>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</si>
  <si>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</si>
  <si>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</si>
  <si>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</si>
  <si>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</si>
  <si>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</si>
  <si>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</si>
  <si>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</si>
  <si>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</si>
  <si>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</si>
  <si>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</si>
  <si>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</si>
  <si>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</si>
  <si>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</si>
  <si>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</si>
  <si>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</si>
  <si>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</si>
  <si>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</si>
  <si>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</si>
  <si>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</si>
  <si>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</si>
  <si>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</si>
  <si>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</si>
  <si>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</si>
  <si>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</si>
  <si>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</si>
  <si>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</si>
  <si>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</si>
  <si>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</si>
  <si>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</si>
  <si>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</si>
  <si>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</si>
  <si>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</si>
  <si>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</si>
  <si>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</si>
  <si>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</si>
  <si>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</si>
  <si>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</si>
  <si>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</si>
  <si>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</si>
  <si>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</si>
  <si>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</si>
  <si>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</si>
  <si>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</si>
  <si>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</si>
  <si>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</si>
  <si>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</si>
  <si>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</si>
  <si>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</si>
  <si>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</si>
  <si>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</si>
  <si>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</si>
  <si>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</si>
  <si>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</si>
  <si>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</si>
  <si>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</si>
  <si>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</si>
  <si>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</si>
  <si>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</si>
  <si>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</si>
  <si>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</si>
  <si>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</si>
  <si>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</si>
  <si>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</si>
  <si>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</si>
  <si>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</si>
  <si>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</si>
  <si>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</si>
  <si>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</si>
  <si>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</si>
  <si>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</si>
  <si>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</si>
  <si>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</si>
  <si>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</si>
  <si>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</si>
  <si>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</si>
  <si>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</si>
  <si>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</si>
  <si>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</si>
  <si>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</si>
  <si>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</si>
  <si>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</si>
  <si>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</si>
  <si>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</si>
  <si>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</si>
  <si>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</si>
  <si>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</si>
  <si>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</si>
  <si>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</si>
  <si>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</si>
  <si>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</si>
  <si>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</si>
  <si>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</si>
  <si>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</si>
  <si>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</si>
  <si>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</si>
  <si>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</si>
  <si>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</si>
  <si>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</si>
  <si>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</si>
  <si>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</si>
  <si>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</si>
  <si>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</si>
  <si>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</si>
  <si>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</si>
  <si>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</si>
  <si>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</si>
  <si>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</si>
  <si>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</si>
  <si>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</si>
  <si>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</si>
  <si>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</si>
  <si>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</si>
  <si>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</si>
  <si>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</si>
  <si>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</si>
  <si>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</si>
  <si>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</si>
  <si>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</si>
  <si>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</si>
  <si>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</si>
  <si>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</si>
  <si>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</si>
  <si>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</si>
  <si>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</si>
  <si>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</si>
  <si>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</si>
  <si>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</si>
  <si>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</si>
  <si>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</si>
  <si>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</si>
  <si>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</si>
  <si>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</si>
  <si>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</si>
  <si>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</si>
  <si>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</si>
  <si>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</si>
  <si>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</si>
  <si>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</si>
  <si>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</si>
  <si>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</si>
  <si>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</si>
  <si>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</si>
  <si>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</si>
  <si>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</si>
  <si>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</si>
  <si>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</si>
  <si>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</si>
  <si>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</si>
  <si>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</si>
  <si>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</si>
  <si>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</si>
  <si>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</si>
  <si>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</si>
  <si>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</si>
  <si>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</si>
  <si>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</si>
  <si>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</si>
  <si>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</si>
  <si>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</si>
  <si>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</si>
  <si>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</si>
  <si>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</si>
  <si>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</si>
  <si>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</si>
  <si>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</si>
  <si>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</si>
  <si>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</si>
  <si>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</si>
  <si>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</si>
  <si>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</si>
  <si>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</si>
  <si>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</si>
  <si>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</si>
  <si>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</si>
  <si>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</si>
  <si>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</si>
  <si>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</si>
  <si>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</si>
  <si>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</si>
  <si>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</si>
  <si>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</si>
  <si>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</si>
  <si>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</si>
  <si>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</si>
  <si>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</si>
  <si>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</si>
  <si>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</si>
  <si>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</si>
  <si>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</si>
  <si>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</si>
  <si>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</si>
  <si>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</si>
  <si>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</si>
  <si>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</si>
  <si>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</si>
  <si>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</si>
  <si>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</si>
  <si>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</si>
  <si>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</si>
  <si>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</si>
  <si>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</si>
  <si>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</si>
  <si>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</si>
  <si>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</si>
  <si>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</si>
  <si>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</si>
  <si>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</si>
  <si>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</si>
  <si>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</si>
  <si>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</si>
  <si>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</si>
  <si>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</si>
  <si>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</si>
  <si>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</si>
  <si>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</si>
  <si>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</si>
  <si>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</si>
  <si>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</si>
  <si>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</si>
  <si>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</si>
  <si>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</si>
  <si>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</si>
  <si>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</si>
  <si>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</si>
  <si>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</si>
  <si>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</si>
  <si>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</si>
  <si>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</si>
  <si>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</si>
  <si>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</si>
  <si>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</si>
  <si>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</si>
  <si>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</si>
  <si>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</si>
  <si>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</si>
  <si>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</si>
  <si>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</si>
  <si>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</si>
  <si>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</si>
  <si>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</si>
  <si>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</si>
  <si>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</si>
  <si>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</si>
  <si>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</si>
  <si>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</si>
  <si>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</si>
  <si>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</si>
  <si>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</si>
  <si>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</si>
  <si>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</si>
  <si>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</si>
  <si>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</si>
  <si>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</si>
  <si>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</si>
  <si>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</si>
  <si>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</si>
  <si>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</si>
  <si>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</si>
  <si>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</si>
  <si>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</si>
  <si>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</si>
  <si>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</si>
  <si>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</si>
  <si>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</si>
  <si>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</si>
  <si>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</si>
  <si>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</si>
  <si>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</si>
  <si>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</si>
  <si>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</si>
  <si>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</si>
  <si>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</si>
  <si>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</si>
  <si>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</si>
  <si>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</si>
  <si>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</si>
  <si>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</si>
  <si>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</si>
  <si>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</si>
  <si>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</si>
  <si>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</si>
  <si>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</si>
  <si>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</si>
  <si>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</si>
  <si>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</si>
  <si>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</si>
  <si>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</si>
  <si>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</si>
  <si>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</si>
  <si>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</si>
  <si>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</si>
  <si>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</si>
  <si>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</si>
  <si>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</si>
  <si>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</si>
  <si>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</si>
  <si>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</si>
  <si>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</si>
  <si>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</si>
  <si>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</si>
  <si>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</si>
  <si>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</si>
  <si>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</si>
  <si>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</si>
  <si>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</si>
  <si>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</si>
  <si>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</si>
  <si>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</si>
  <si>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</si>
  <si>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</si>
  <si>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</si>
  <si>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</si>
  <si>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</si>
  <si>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</si>
  <si>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</si>
  <si>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</si>
  <si>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</si>
  <si>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</si>
  <si>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</si>
  <si>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</si>
  <si>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</si>
  <si>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</si>
  <si>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</si>
  <si>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</si>
  <si>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</si>
  <si>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</si>
  <si>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</si>
  <si>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</si>
  <si>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</si>
  <si>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</si>
  <si>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</si>
  <si>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</si>
  <si>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</si>
  <si>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</si>
  <si>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</si>
  <si>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</si>
  <si>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</si>
  <si>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</si>
  <si>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</si>
  <si>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</si>
  <si>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</si>
  <si>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</si>
  <si>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</si>
  <si>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</si>
  <si>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</si>
  <si>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</si>
  <si>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</si>
  <si>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</si>
  <si>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</si>
  <si>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</si>
  <si>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</si>
  <si>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</si>
  <si>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</si>
  <si>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</si>
  <si>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</si>
  <si>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</si>
  <si>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</si>
  <si>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</si>
  <si>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</si>
  <si>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</si>
  <si>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</si>
  <si>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</si>
  <si>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</si>
  <si>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</si>
  <si>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</si>
  <si>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</si>
  <si>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</si>
  <si>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</si>
  <si>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</si>
  <si>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</si>
  <si>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</si>
  <si>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</si>
  <si>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</si>
  <si>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</si>
  <si>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</si>
  <si>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</si>
  <si>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</si>
  <si>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</si>
  <si>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</si>
  <si>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</si>
  <si>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</si>
  <si>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</si>
  <si>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</si>
  <si>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</si>
  <si>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</si>
  <si>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</si>
  <si>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</si>
  <si>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</si>
  <si>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</si>
  <si>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</si>
  <si>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</si>
  <si>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</si>
  <si>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</si>
  <si>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</si>
  <si>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</si>
  <si>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</si>
  <si>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</si>
  <si>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</si>
  <si>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</si>
  <si>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</si>
  <si>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</si>
  <si>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</si>
  <si>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</si>
  <si>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</si>
  <si>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</si>
  <si>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</si>
  <si>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</si>
  <si>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</si>
  <si>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</si>
  <si>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</si>
  <si>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</si>
  <si>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</si>
  <si>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</si>
  <si>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</si>
  <si>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</si>
  <si>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</si>
  <si>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</si>
  <si>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</si>
  <si>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</si>
  <si>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</si>
  <si>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</si>
  <si>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</si>
  <si>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</si>
  <si>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</si>
  <si>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</si>
  <si>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</si>
  <si>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</si>
  <si>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</si>
  <si>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</si>
  <si>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</si>
  <si>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</si>
  <si>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</si>
  <si>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</si>
  <si>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</si>
  <si>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</si>
  <si>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</si>
  <si>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</si>
  <si>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</si>
  <si>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</si>
  <si>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</si>
  <si>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</si>
  <si>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</si>
  <si>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</si>
  <si>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</si>
  <si>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</si>
  <si>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</si>
  <si>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</si>
  <si>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</si>
  <si>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</si>
  <si>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</si>
  <si>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</si>
  <si>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</si>
  <si>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</si>
  <si>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</si>
  <si>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</si>
  <si>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</si>
  <si>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</si>
  <si>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</si>
  <si>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</si>
  <si>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</si>
  <si>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</si>
  <si>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</si>
  <si>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</si>
  <si>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</si>
  <si>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</si>
  <si>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</si>
  <si>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</si>
  <si>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</si>
  <si>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</si>
  <si>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</si>
  <si>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</si>
  <si>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</si>
  <si>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</si>
  <si>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</si>
  <si>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</si>
  <si>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</si>
  <si>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</si>
  <si>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</si>
  <si>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</si>
  <si>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</si>
  <si>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</si>
  <si>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</si>
  <si>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</si>
  <si>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</si>
  <si>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</si>
  <si>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</si>
  <si>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</si>
  <si>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</si>
  <si>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</si>
  <si>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</si>
  <si>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</si>
  <si>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</si>
  <si>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</si>
  <si>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</si>
  <si>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</si>
  <si>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</si>
  <si>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</si>
  <si>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</si>
  <si>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</si>
  <si>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</si>
  <si>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</si>
  <si>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</si>
  <si>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</si>
  <si>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</si>
  <si>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</si>
  <si>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</si>
  <si>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</si>
  <si>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</si>
  <si>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</si>
  <si>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</si>
  <si>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</si>
  <si>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</si>
  <si>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</si>
  <si>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</si>
  <si>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</si>
  <si>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</si>
  <si>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</si>
  <si>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</si>
  <si>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</si>
  <si>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</si>
  <si>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</si>
  <si>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</si>
  <si>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</si>
  <si>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</si>
  <si>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</si>
  <si>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</si>
  <si>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</si>
  <si>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</si>
  <si>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</si>
  <si>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</si>
  <si>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</si>
  <si>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</si>
  <si>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</si>
  <si>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</si>
  <si>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</si>
  <si>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</si>
  <si>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</si>
  <si>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</si>
  <si>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</si>
  <si>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</si>
  <si>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</si>
  <si>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</si>
  <si>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</si>
  <si>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</si>
  <si>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</si>
  <si>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</si>
  <si>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</si>
  <si>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</si>
  <si>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</si>
  <si>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</si>
  <si>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</si>
  <si>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</si>
  <si>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</si>
  <si>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</si>
  <si>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</si>
  <si>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</si>
  <si>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</si>
  <si>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</si>
  <si>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</si>
  <si>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</si>
  <si>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</si>
  <si>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</si>
  <si>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</si>
  <si>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</si>
  <si>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</si>
  <si>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</si>
  <si>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</si>
  <si>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</si>
  <si>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</si>
  <si>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</si>
  <si>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</si>
  <si>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</si>
  <si>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</si>
  <si>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</si>
  <si>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</si>
  <si>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</si>
  <si>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</si>
  <si>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</si>
  <si>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</si>
  <si>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</si>
  <si>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</si>
  <si>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</si>
  <si>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</si>
  <si>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</si>
  <si>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</si>
  <si>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</si>
  <si>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</si>
  <si>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</si>
  <si>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</si>
  <si>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</si>
  <si>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</si>
  <si>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</si>
  <si>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</si>
  <si>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</si>
  <si>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</si>
  <si>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</si>
  <si>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</si>
  <si>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</si>
  <si>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</si>
  <si>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</si>
  <si>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</si>
  <si>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</si>
  <si>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</si>
  <si>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</si>
  <si>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</si>
  <si>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</si>
  <si>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</si>
  <si>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</si>
  <si>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</si>
  <si>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</si>
  <si>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</si>
  <si>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</si>
  <si>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</si>
  <si>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</si>
  <si>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</si>
  <si>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</si>
  <si>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</si>
  <si>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</si>
  <si>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</si>
  <si>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</si>
  <si>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</si>
  <si>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</si>
  <si>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</si>
  <si>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</si>
  <si>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</si>
  <si>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</si>
  <si>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</si>
  <si>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</si>
  <si>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</si>
  <si>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</si>
  <si>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</si>
  <si>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</si>
  <si>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</si>
  <si>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</si>
  <si>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</si>
  <si>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</si>
  <si>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</si>
  <si>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</si>
  <si>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</si>
  <si>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</si>
  <si>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</si>
  <si>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</si>
  <si>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</si>
  <si>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</si>
  <si>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</si>
  <si>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</si>
  <si>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</si>
  <si>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</si>
  <si>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</si>
  <si>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</si>
  <si>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</si>
  <si>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</si>
  <si>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</si>
  <si>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</si>
  <si>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</si>
  <si>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</si>
  <si>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</si>
  <si>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</si>
  <si>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</si>
  <si>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</si>
  <si>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</si>
  <si>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</si>
  <si>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</si>
  <si>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</si>
  <si>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</si>
  <si>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</si>
  <si>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</si>
  <si>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</si>
  <si>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</si>
  <si>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</si>
  <si>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</si>
  <si>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</si>
  <si>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</si>
  <si>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</si>
  <si>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</si>
  <si>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</si>
  <si>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</si>
  <si>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</si>
  <si>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</si>
  <si>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</si>
  <si>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</si>
  <si>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</si>
  <si>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</si>
  <si>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</si>
  <si>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</si>
  <si>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</si>
  <si>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</si>
  <si>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</si>
  <si>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</si>
  <si>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</si>
  <si>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</si>
  <si>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</si>
  <si>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</si>
  <si>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</si>
  <si>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</si>
  <si>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</si>
  <si>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</si>
  <si>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</si>
  <si>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</si>
  <si>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</si>
  <si>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</si>
  <si>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</si>
  <si>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</si>
  <si>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</si>
  <si>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</si>
  <si>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</si>
  <si>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</si>
  <si>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</si>
  <si>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</si>
  <si>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</si>
  <si>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</si>
  <si>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</si>
  <si>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</si>
  <si>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</si>
  <si>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</si>
  <si>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</si>
  <si>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</si>
  <si>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</si>
  <si>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</si>
  <si>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</si>
  <si>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</si>
  <si>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</si>
  <si>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</si>
  <si>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</si>
  <si>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</si>
  <si>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</si>
  <si>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</si>
  <si>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</si>
  <si>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</si>
  <si>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</si>
  <si>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</si>
  <si>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</si>
  <si>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</si>
  <si>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</si>
  <si>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</si>
  <si>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</si>
  <si>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</si>
  <si>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</si>
  <si>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</si>
  <si>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</si>
  <si>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</si>
  <si>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</si>
  <si>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</si>
  <si>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</si>
  <si>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</si>
  <si>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</si>
  <si>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</si>
  <si>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</si>
  <si>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</si>
  <si>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</si>
  <si>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</si>
  <si>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</si>
  <si>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</si>
  <si>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</si>
  <si>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</si>
  <si>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</si>
  <si>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</si>
  <si>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</si>
  <si>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</si>
  <si>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</si>
  <si>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</si>
  <si>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</si>
  <si>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</si>
  <si>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</si>
  <si>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</si>
  <si>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</si>
  <si>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</si>
  <si>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</si>
  <si>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</si>
  <si>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</si>
  <si>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</si>
  <si>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</si>
  <si>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</si>
  <si>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</si>
  <si>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</si>
  <si>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</si>
  <si>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</si>
  <si>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</si>
  <si>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</si>
  <si>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</si>
  <si>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</si>
  <si>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</si>
  <si>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</si>
  <si>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</si>
  <si>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</si>
  <si>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</si>
  <si>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</si>
  <si>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</si>
  <si>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</si>
  <si>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</si>
  <si>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</si>
  <si>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</si>
  <si>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</si>
  <si>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</si>
  <si>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</si>
  <si>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</si>
  <si>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</si>
  <si>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</si>
  <si>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</si>
  <si>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</si>
  <si>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</si>
  <si>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</si>
  <si>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</si>
  <si>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</si>
  <si>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</si>
  <si>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</si>
  <si>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</si>
  <si>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</si>
  <si>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</si>
  <si>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</si>
  <si>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</si>
  <si>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</si>
  <si>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</si>
  <si>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</si>
  <si>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</si>
  <si>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</si>
  <si>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</si>
  <si>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</si>
  <si>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</si>
  <si>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</si>
  <si>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</si>
  <si>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</si>
  <si>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</si>
  <si>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</si>
  <si>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</si>
  <si>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</si>
  <si>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</si>
  <si>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</si>
  <si>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</si>
  <si>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</si>
  <si>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</si>
  <si>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</si>
  <si>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</si>
  <si>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</si>
  <si>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</si>
  <si>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</si>
  <si>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</si>
  <si>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</si>
  <si>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</si>
  <si>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</si>
  <si>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</si>
  <si>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</si>
  <si>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</si>
  <si>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</si>
  <si>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</si>
  <si>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</si>
  <si>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</si>
  <si>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</si>
  <si>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</si>
  <si>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</si>
  <si>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</si>
  <si>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</si>
  <si>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</si>
  <si>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</si>
  <si>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</si>
  <si>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</si>
  <si>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</si>
  <si>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</si>
  <si>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</si>
  <si>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</si>
  <si>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</si>
  <si>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</si>
  <si>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</si>
  <si>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</si>
  <si>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</si>
  <si>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</si>
  <si>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</si>
  <si>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</si>
  <si>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</si>
  <si>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</si>
  <si>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</si>
  <si>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</si>
  <si>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</si>
  <si>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</si>
  <si>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</si>
  <si>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</si>
  <si>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</si>
  <si>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</si>
  <si>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</si>
  <si>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</si>
  <si>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</si>
  <si>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</si>
  <si>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</si>
  <si>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</si>
  <si>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</si>
  <si>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</si>
  <si>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</si>
  <si>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</si>
  <si>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</si>
  <si>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</si>
  <si>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</si>
  <si>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</si>
  <si>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</si>
  <si>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</si>
  <si>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</si>
  <si>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</si>
  <si>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</si>
  <si>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</si>
  <si>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</si>
  <si>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</si>
  <si>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</si>
  <si>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</si>
  <si>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</si>
  <si>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</si>
  <si>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</si>
  <si>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</si>
  <si>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</si>
  <si>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</si>
  <si>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</si>
  <si>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</si>
  <si>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</si>
  <si>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</si>
  <si>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</si>
  <si>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</si>
  <si>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</si>
  <si>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</si>
  <si>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</si>
  <si>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</si>
  <si>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</si>
  <si>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</si>
  <si>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</si>
  <si>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</si>
  <si>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</si>
  <si>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</si>
  <si>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</si>
  <si>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</si>
  <si>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</si>
  <si>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</si>
  <si>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</si>
  <si>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</si>
  <si>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</si>
  <si>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</si>
  <si>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</si>
  <si>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</si>
  <si>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</si>
  <si>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</si>
  <si>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</si>
  <si>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</si>
  <si>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</si>
  <si>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</si>
  <si>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</si>
  <si>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</si>
  <si>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</si>
  <si>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</si>
  <si>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</si>
  <si>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</si>
  <si>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</si>
  <si>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</si>
  <si>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</si>
  <si>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</si>
  <si>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</si>
  <si>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</si>
  <si>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</si>
  <si>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</si>
  <si>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</si>
  <si>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</si>
  <si>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</si>
  <si>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</si>
  <si>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</si>
  <si>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</si>
  <si>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</si>
  <si>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</si>
  <si>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</si>
  <si>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</si>
  <si>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</si>
  <si>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</si>
  <si>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</si>
  <si>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</si>
  <si>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</si>
  <si>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</si>
  <si>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</si>
  <si>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</si>
  <si>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</si>
  <si>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</si>
  <si>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</si>
  <si>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</si>
  <si>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</si>
  <si>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</si>
  <si>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</si>
  <si>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</si>
  <si>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</si>
  <si>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</si>
  <si>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</si>
  <si>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</si>
  <si>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</si>
  <si>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</si>
  <si>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</si>
  <si>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</si>
  <si>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</si>
  <si>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</si>
  <si>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</si>
  <si>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</si>
  <si>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</si>
  <si>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</si>
  <si>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</si>
  <si>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</si>
  <si>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</si>
  <si>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</si>
  <si>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</si>
  <si>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</si>
  <si>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</si>
  <si>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</si>
  <si>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</si>
  <si>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</si>
  <si>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</si>
  <si>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</si>
  <si>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</si>
  <si>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</si>
  <si>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</si>
  <si>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</si>
  <si>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</si>
  <si>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</si>
  <si>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</si>
  <si>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</si>
  <si>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</si>
  <si>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</si>
  <si>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</si>
  <si>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</si>
  <si>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</si>
  <si>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</si>
  <si>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</si>
  <si>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</si>
  <si>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</si>
  <si>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</si>
  <si>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</si>
  <si>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</si>
  <si>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</si>
  <si>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</si>
  <si>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</si>
  <si>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</si>
  <si>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</si>
  <si>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</si>
  <si>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</si>
  <si>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</si>
  <si>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</si>
  <si>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</si>
  <si>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</si>
  <si>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</si>
  <si>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</si>
  <si>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</si>
  <si>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</si>
  <si>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</si>
  <si>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</si>
  <si>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</si>
  <si>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</si>
  <si>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</si>
  <si>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</si>
  <si>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</si>
  <si>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</si>
  <si>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</si>
  <si>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</si>
  <si>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</si>
  <si>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</si>
  <si>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</si>
  <si>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</si>
  <si>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</si>
  <si>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</si>
  <si>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</si>
  <si>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</si>
  <si>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</si>
  <si>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</si>
  <si>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</si>
  <si>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</si>
  <si>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</si>
  <si>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</si>
  <si>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</si>
  <si>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</si>
  <si>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</si>
  <si>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</si>
  <si>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</si>
  <si>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</si>
  <si>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</si>
  <si>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</si>
  <si>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</si>
  <si>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</si>
  <si>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</si>
  <si>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</si>
  <si>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</si>
  <si>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</si>
  <si>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</si>
  <si>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</si>
  <si>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</si>
  <si>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</si>
  <si>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</si>
  <si>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</si>
  <si>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</si>
  <si>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</si>
  <si>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</si>
  <si>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</si>
  <si>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</si>
  <si>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</si>
  <si>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</si>
  <si>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</si>
  <si>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</si>
  <si>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</si>
  <si>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</si>
  <si>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</si>
  <si>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</si>
  <si>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</si>
  <si>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</si>
  <si>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</si>
  <si>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</si>
  <si>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</si>
  <si>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</si>
  <si>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</si>
  <si>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</si>
  <si>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</si>
  <si>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</si>
  <si>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</si>
  <si>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</si>
  <si>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</si>
  <si>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</si>
  <si>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</si>
  <si>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</si>
  <si>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</si>
  <si>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</si>
  <si>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</si>
  <si>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</si>
  <si>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</si>
  <si>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</si>
  <si>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</si>
  <si>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</si>
  <si>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</si>
  <si>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</si>
  <si>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</si>
  <si>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</si>
  <si>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</si>
  <si>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</si>
  <si>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</si>
  <si>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</si>
  <si>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</si>
  <si>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</si>
  <si>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</si>
  <si>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</si>
  <si>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</si>
  <si>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</si>
  <si>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</si>
  <si>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</si>
  <si>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</si>
  <si>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</si>
  <si>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</si>
  <si>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</si>
  <si>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</si>
  <si>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</si>
  <si>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</si>
  <si>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</si>
  <si>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</si>
  <si>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</si>
  <si>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</si>
  <si>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</si>
  <si>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</si>
  <si>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</si>
  <si>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</si>
  <si>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</si>
  <si>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</si>
  <si>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</si>
  <si>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</si>
  <si>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</si>
  <si>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</si>
  <si>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</si>
  <si>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</si>
  <si>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</si>
  <si>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</si>
  <si>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</si>
  <si>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</si>
  <si>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</si>
  <si>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</si>
  <si>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</si>
  <si>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</si>
  <si>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</si>
  <si>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</si>
  <si>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</si>
  <si>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</si>
  <si>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</si>
  <si>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</si>
  <si>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</si>
  <si>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</si>
  <si>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</si>
  <si>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</si>
  <si>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</si>
  <si>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</si>
  <si>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</si>
  <si>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</si>
  <si>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</si>
  <si>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</si>
  <si>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</si>
  <si>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</si>
  <si>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</si>
  <si>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</si>
  <si>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</si>
  <si>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</si>
  <si>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</si>
  <si>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</si>
  <si>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</si>
  <si>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</si>
  <si>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</si>
  <si>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</si>
  <si>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</si>
  <si>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</si>
  <si>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</si>
  <si>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</si>
  <si>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</si>
  <si>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</si>
  <si>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</si>
  <si>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</si>
  <si>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</si>
  <si>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</si>
  <si>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</si>
  <si>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</si>
  <si>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</si>
  <si>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</si>
  <si>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</si>
  <si>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</si>
  <si>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</si>
  <si>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</si>
  <si>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</si>
  <si>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</si>
  <si>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</si>
  <si>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</si>
  <si>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</si>
  <si>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</si>
  <si>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</si>
  <si>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</si>
  <si>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</si>
  <si>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</si>
  <si>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</si>
  <si>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</si>
  <si>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</si>
  <si>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</si>
  <si>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</si>
  <si>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</si>
  <si>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</si>
  <si>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</si>
  <si>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</si>
  <si>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</si>
  <si>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</si>
  <si>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</si>
  <si>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</si>
  <si>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</si>
  <si>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</si>
  <si>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</si>
  <si>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</si>
  <si>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</si>
  <si>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</si>
  <si>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</si>
  <si>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</si>
  <si>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</si>
  <si>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</si>
  <si>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</si>
  <si>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</si>
  <si>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</si>
  <si>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</si>
  <si>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</si>
  <si>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</si>
  <si>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</si>
  <si>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</si>
  <si>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</si>
  <si>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</si>
  <si>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</si>
  <si>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</si>
  <si>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</si>
  <si>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</si>
  <si>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</si>
  <si>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</si>
  <si>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</si>
  <si>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</si>
  <si>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</si>
  <si>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</si>
  <si>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</si>
  <si>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</si>
  <si>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</si>
  <si>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</si>
  <si>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</si>
  <si>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</si>
  <si>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</si>
  <si>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</si>
  <si>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</si>
  <si>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</si>
  <si>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</si>
  <si>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</si>
  <si>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</si>
  <si>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</si>
  <si>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</si>
  <si>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</si>
  <si>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</si>
  <si>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</si>
  <si>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</si>
  <si>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</si>
  <si>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</si>
  <si>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</si>
  <si>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</si>
  <si>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</si>
  <si>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</si>
  <si>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</si>
  <si>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</si>
  <si>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</si>
  <si>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</si>
  <si>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</si>
  <si>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</si>
  <si>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</si>
  <si>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</si>
  <si>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</si>
  <si>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</si>
  <si>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</si>
  <si>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</si>
  <si>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</si>
  <si>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</si>
  <si>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</si>
  <si>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</si>
  <si>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</si>
  <si>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</si>
  <si>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</si>
  <si>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</si>
  <si>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</si>
  <si>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</si>
  <si>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</si>
  <si>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</si>
  <si>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</si>
  <si>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</si>
  <si>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</si>
  <si>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</si>
  <si>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</si>
  <si>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</si>
  <si>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</si>
  <si>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</si>
  <si>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</si>
  <si>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</si>
  <si>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</si>
  <si>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</si>
  <si>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</si>
  <si>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</si>
  <si>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</si>
  <si>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</si>
  <si>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</si>
  <si>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</si>
  <si>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</si>
  <si>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</si>
  <si>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</si>
  <si>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</si>
  <si>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</si>
  <si>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</si>
  <si>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</si>
  <si>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</si>
  <si>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</si>
  <si>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</si>
  <si>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</si>
  <si>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</si>
  <si>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</si>
  <si>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</si>
  <si>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</si>
  <si>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</si>
  <si>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</si>
  <si>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</si>
  <si>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</si>
  <si>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</si>
  <si>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</si>
  <si>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</si>
  <si>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</si>
  <si>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</si>
  <si>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</si>
  <si>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</si>
  <si>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</si>
  <si>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</si>
  <si>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</si>
  <si>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</si>
  <si>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</si>
  <si>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</si>
  <si>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</si>
  <si>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</si>
  <si>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</si>
  <si>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</si>
  <si>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</si>
  <si>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</si>
  <si>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</si>
  <si>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</si>
  <si>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</si>
  <si>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</si>
  <si>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</si>
  <si>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</si>
  <si>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</si>
  <si>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</si>
  <si>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</si>
  <si>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</si>
  <si>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</si>
  <si>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</si>
  <si>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</si>
  <si>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</si>
  <si>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</si>
  <si>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</si>
  <si>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</si>
  <si>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</si>
  <si>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</si>
  <si>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</si>
  <si>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</si>
  <si>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</si>
  <si>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</si>
  <si>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</si>
  <si>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</si>
  <si>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</si>
  <si>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</si>
  <si>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</si>
  <si>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</si>
  <si>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</si>
  <si>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</si>
  <si>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</si>
  <si>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</si>
  <si>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</si>
  <si>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</si>
  <si>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</si>
  <si>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</si>
  <si>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</si>
  <si>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</si>
  <si>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</si>
  <si>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</si>
  <si>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</si>
  <si>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</si>
  <si>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</si>
  <si>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</si>
  <si>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</si>
  <si>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</si>
  <si>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</si>
  <si>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</si>
  <si>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</si>
  <si>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</si>
  <si>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</si>
  <si>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</si>
  <si>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</si>
  <si>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</si>
  <si>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</si>
  <si>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</si>
  <si>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</si>
  <si>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</si>
  <si>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</si>
  <si>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</si>
  <si>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</si>
  <si>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</si>
  <si>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</si>
  <si>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</si>
  <si>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</si>
  <si>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</si>
  <si>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</si>
  <si>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</si>
  <si>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</si>
  <si>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</si>
  <si>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</si>
  <si>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</si>
  <si>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</si>
  <si>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</si>
  <si>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</si>
  <si>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</si>
  <si>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</si>
  <si>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</si>
  <si>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</si>
  <si>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</si>
  <si>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</si>
  <si>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</si>
  <si>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</si>
  <si>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</si>
  <si>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</si>
  <si>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</si>
  <si>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</si>
  <si>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</si>
  <si>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</si>
  <si>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</si>
  <si>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</si>
  <si>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</si>
  <si>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</si>
  <si>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</si>
  <si>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</si>
  <si>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</si>
  <si>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</si>
  <si>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</si>
  <si>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</si>
  <si>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</si>
  <si>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</si>
  <si>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</si>
  <si>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</si>
  <si>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</si>
  <si>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</si>
  <si>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</si>
  <si>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</si>
  <si>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</si>
  <si>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</si>
  <si>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</si>
  <si>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</si>
  <si>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</si>
  <si>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</si>
  <si>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</si>
  <si>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</si>
  <si>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</si>
  <si>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</si>
  <si>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</si>
  <si>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</si>
  <si>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</si>
  <si>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</si>
  <si>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</si>
  <si>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</si>
  <si>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</si>
  <si>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</si>
  <si>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</si>
  <si>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</si>
  <si>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</si>
  <si>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</si>
  <si>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</si>
  <si>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</si>
  <si>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</si>
  <si>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</si>
  <si>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</si>
  <si>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</si>
  <si>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</si>
  <si>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</si>
  <si>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</si>
  <si>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</si>
  <si>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</si>
  <si>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</si>
  <si>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</si>
  <si>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</si>
  <si>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</si>
  <si>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</si>
  <si>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</si>
  <si>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</si>
  <si>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</si>
  <si>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</si>
  <si>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</si>
  <si>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</si>
  <si>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</si>
  <si>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</si>
  <si>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</si>
  <si>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</si>
  <si>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</si>
  <si>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</si>
  <si>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</si>
  <si>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</si>
  <si>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</si>
  <si>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</si>
  <si>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</si>
  <si>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</si>
  <si>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</si>
  <si>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</si>
  <si>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</si>
  <si>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</si>
  <si>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</si>
  <si>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</si>
  <si>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</si>
  <si>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</si>
  <si>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</si>
  <si>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</si>
  <si>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</si>
  <si>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</si>
  <si>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</si>
  <si>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</si>
  <si>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</si>
  <si>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</si>
  <si>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</si>
  <si>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</si>
  <si>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</si>
  <si>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</si>
  <si>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</si>
  <si>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</si>
  <si>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</si>
  <si>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</si>
  <si>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</si>
  <si>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</si>
  <si>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</si>
  <si>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</si>
  <si>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</si>
  <si>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</si>
  <si>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</si>
  <si>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</si>
  <si>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</si>
  <si>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</si>
  <si>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</si>
  <si>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</si>
  <si>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</si>
  <si>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</si>
  <si>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</si>
  <si>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</si>
  <si>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</si>
  <si>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</si>
  <si>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</si>
  <si>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</si>
  <si>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</si>
  <si>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</si>
  <si>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</si>
  <si>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</si>
  <si>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</si>
  <si>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</si>
  <si>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</si>
  <si>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</si>
  <si>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</si>
  <si>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</si>
  <si>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</si>
  <si>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</si>
  <si>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</si>
  <si>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</si>
  <si>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</si>
  <si>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</si>
  <si>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</si>
  <si>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</si>
  <si>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</si>
  <si>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</si>
  <si>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</si>
  <si>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</si>
  <si>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</si>
  <si>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</si>
  <si>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</si>
  <si>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</si>
  <si>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</si>
  <si>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</si>
  <si>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</si>
  <si>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</si>
  <si>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</si>
  <si>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</si>
  <si>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</si>
  <si>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</si>
  <si>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</si>
  <si>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</si>
  <si>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</si>
  <si>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</si>
  <si>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</si>
  <si>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</si>
  <si>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</si>
  <si>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</si>
  <si>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</si>
  <si>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</si>
  <si>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</si>
  <si>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</si>
  <si>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</si>
  <si>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</si>
  <si>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</si>
  <si>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</si>
  <si>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</si>
  <si>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</si>
  <si>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</si>
  <si>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</si>
  <si>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</si>
  <si>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</si>
  <si>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</si>
  <si>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</si>
  <si>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</si>
  <si>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</si>
  <si>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</si>
  <si>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</si>
  <si>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</si>
  <si>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</si>
  <si>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</si>
  <si>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</si>
  <si>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</si>
  <si>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</si>
  <si>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</si>
  <si>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</si>
  <si>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</si>
  <si>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</si>
  <si>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</si>
  <si>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</si>
  <si>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</si>
  <si>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</si>
  <si>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</si>
  <si>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</si>
  <si>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</si>
  <si>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</si>
  <si>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</si>
  <si>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</si>
  <si>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</si>
  <si>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</si>
  <si>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</si>
  <si>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</si>
  <si>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</si>
  <si>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</si>
  <si>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</si>
  <si>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</si>
  <si>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</si>
  <si>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</si>
  <si>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</si>
  <si>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</si>
  <si>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</si>
  <si>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</si>
  <si>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</si>
  <si>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</si>
  <si>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</si>
  <si>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</si>
  <si>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</si>
  <si>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</si>
  <si>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</si>
  <si>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</si>
  <si>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</si>
  <si>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</si>
  <si>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</si>
  <si>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</si>
  <si>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</si>
  <si>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</si>
  <si>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</si>
  <si>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</si>
  <si>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</si>
  <si>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</si>
  <si>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</si>
  <si>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</si>
  <si>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</si>
  <si>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</si>
  <si>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</si>
  <si>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</si>
  <si>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</si>
  <si>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</si>
  <si>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</si>
  <si>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</si>
  <si>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</si>
  <si>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</si>
  <si>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</si>
  <si>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</si>
  <si>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</si>
  <si>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</si>
  <si>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</si>
  <si>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</si>
  <si>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</si>
  <si>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</si>
  <si>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</si>
  <si>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</si>
  <si>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</si>
  <si>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</si>
  <si>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</si>
  <si>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</si>
  <si>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</si>
  <si>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</si>
  <si>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</si>
  <si>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</si>
  <si>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</si>
  <si>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</si>
  <si>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</si>
  <si>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</si>
  <si>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</si>
  <si>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</si>
  <si>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</si>
  <si>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</si>
  <si>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</si>
  <si>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</si>
  <si>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</si>
  <si>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</si>
  <si>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</si>
  <si>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</si>
  <si>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</si>
  <si>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</si>
  <si>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</si>
  <si>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</si>
  <si>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</si>
  <si>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</si>
  <si>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</si>
  <si>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</si>
  <si>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</si>
  <si>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</si>
  <si>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</si>
  <si>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</si>
  <si>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</si>
  <si>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</si>
  <si>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</si>
  <si>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欧红伟</t>
  </si>
  <si>
    <t>崔锴</t>
  </si>
  <si>
    <t>抵押</t>
  </si>
  <si>
    <t>房地产抵押价值</t>
  </si>
  <si>
    <t>北京市</t>
  </si>
  <si>
    <t>自然人</t>
  </si>
  <si>
    <t>出让</t>
  </si>
  <si>
    <t>是</t>
  </si>
  <si>
    <t>居住项目</t>
  </si>
  <si>
    <t>无</t>
  </si>
  <si>
    <t>否</t>
  </si>
  <si>
    <t>现房</t>
  </si>
  <si>
    <t>通路</t>
  </si>
  <si>
    <t>通电</t>
  </si>
  <si>
    <t>通讯</t>
  </si>
  <si>
    <t>通上水</t>
  </si>
  <si>
    <t>通下水</t>
  </si>
  <si>
    <t>通热</t>
  </si>
  <si>
    <t>燃气</t>
  </si>
  <si>
    <t>地上</t>
  </si>
  <si>
    <t>住宅</t>
  </si>
  <si>
    <t>普通住宅</t>
  </si>
  <si>
    <t>普通住宅</t>
    <phoneticPr fontId="7" type="noConversion"/>
  </si>
  <si>
    <t>成新度</t>
  </si>
  <si>
    <t>收益法 (元)</t>
  </si>
  <si>
    <t>较好</t>
  </si>
  <si>
    <t>较好</t>
    <phoneticPr fontId="41" type="noConversion"/>
  </si>
  <si>
    <t>较好</t>
    <phoneticPr fontId="41" type="noConversion"/>
  </si>
  <si>
    <t>七通</t>
  </si>
  <si>
    <t>七通</t>
    <phoneticPr fontId="25" type="noConversion"/>
  </si>
  <si>
    <t>住宅</t>
    <phoneticPr fontId="25" type="noConversion"/>
  </si>
  <si>
    <t>50-60（含）</t>
  </si>
  <si>
    <t>高区</t>
  </si>
  <si>
    <t>高区</t>
    <phoneticPr fontId="25" type="noConversion"/>
  </si>
  <si>
    <t>中区</t>
  </si>
  <si>
    <t>中区</t>
    <phoneticPr fontId="25" type="noConversion"/>
  </si>
  <si>
    <t>低区</t>
  </si>
  <si>
    <t>低区</t>
    <phoneticPr fontId="25" type="noConversion"/>
  </si>
  <si>
    <t>楼层</t>
    <phoneticPr fontId="25" type="noConversion"/>
  </si>
  <si>
    <t>钢混</t>
  </si>
  <si>
    <t>中档</t>
  </si>
  <si>
    <t>中档</t>
    <phoneticPr fontId="25" type="noConversion"/>
  </si>
  <si>
    <t>精装修</t>
  </si>
  <si>
    <t>精装修</t>
    <phoneticPr fontId="25" type="noConversion"/>
  </si>
  <si>
    <t>七通</t>
    <phoneticPr fontId="25" type="noConversion"/>
  </si>
  <si>
    <t>平层</t>
  </si>
  <si>
    <t>平层</t>
    <phoneticPr fontId="25" type="noConversion"/>
  </si>
  <si>
    <t>0-50</t>
    <phoneticPr fontId="25" type="noConversion"/>
  </si>
  <si>
    <t>50-100</t>
    <phoneticPr fontId="25" type="noConversion"/>
  </si>
  <si>
    <t>100-150</t>
    <phoneticPr fontId="25" type="noConversion"/>
  </si>
  <si>
    <t>150-200</t>
    <phoneticPr fontId="25" type="noConversion"/>
  </si>
  <si>
    <t>200-250</t>
    <phoneticPr fontId="25" type="noConversion"/>
  </si>
  <si>
    <t>250-300</t>
    <phoneticPr fontId="25" type="noConversion"/>
  </si>
  <si>
    <t>300-350</t>
    <phoneticPr fontId="25" type="noConversion"/>
  </si>
  <si>
    <t>普通装修</t>
    <phoneticPr fontId="25" type="noConversion"/>
  </si>
  <si>
    <t>简单装修</t>
    <phoneticPr fontId="25" type="noConversion"/>
  </si>
  <si>
    <t>毛坯</t>
    <phoneticPr fontId="25" type="noConversion"/>
  </si>
  <si>
    <t>南北</t>
  </si>
  <si>
    <t>南北</t>
    <phoneticPr fontId="25" type="noConversion"/>
  </si>
  <si>
    <t>押一</t>
  </si>
  <si>
    <t>非生产用房</t>
  </si>
  <si>
    <t>比较法-住宅</t>
  </si>
  <si>
    <t>项目局部</t>
  </si>
  <si>
    <t>基准户型1号楼1单元101</t>
    <phoneticPr fontId="25" type="noConversion"/>
  </si>
  <si>
    <t>朝向</t>
    <phoneticPr fontId="3" type="noConversion"/>
  </si>
  <si>
    <t>南北</t>
    <phoneticPr fontId="25" type="noConversion"/>
  </si>
  <si>
    <t>楼层</t>
    <phoneticPr fontId="3" type="noConversion"/>
  </si>
  <si>
    <t>装修</t>
    <phoneticPr fontId="3" type="noConversion"/>
  </si>
  <si>
    <t>精装修</t>
    <phoneticPr fontId="25" type="noConversion"/>
  </si>
  <si>
    <t>房型</t>
    <phoneticPr fontId="3" type="noConversion"/>
  </si>
  <si>
    <t>平层</t>
    <phoneticPr fontId="25" type="noConversion"/>
  </si>
  <si>
    <r>
      <t>38</t>
    </r>
    <r>
      <rPr>
        <sz val="10"/>
        <color indexed="8"/>
        <rFont val="宋体"/>
        <family val="3"/>
        <charset val="134"/>
      </rPr>
      <t>号楼</t>
    </r>
    <r>
      <rPr>
        <sz val="10"/>
        <color indexed="8"/>
        <rFont val="Arial"/>
        <family val="2"/>
      </rPr>
      <t>4</t>
    </r>
    <r>
      <rPr>
        <sz val="10"/>
        <color indexed="8"/>
        <rFont val="宋体"/>
        <family val="3"/>
        <charset val="134"/>
      </rPr>
      <t>门</t>
    </r>
    <r>
      <rPr>
        <sz val="10"/>
        <color indexed="8"/>
        <rFont val="Arial"/>
        <family val="2"/>
      </rPr>
      <t>102</t>
    </r>
    <phoneticPr fontId="3" type="noConversion"/>
  </si>
  <si>
    <t>兴隆家园</t>
    <phoneticPr fontId="3" type="noConversion"/>
  </si>
  <si>
    <t>中区</t>
    <phoneticPr fontId="25" type="noConversion"/>
  </si>
  <si>
    <t>2018-1-0372-P01DYGJ1</t>
    <phoneticPr fontId="6" type="noConversion"/>
  </si>
  <si>
    <t>工商银行门头沟支行</t>
    <phoneticPr fontId="6" type="noConversion"/>
  </si>
  <si>
    <t>丛永刚</t>
    <phoneticPr fontId="6" type="noConversion"/>
  </si>
  <si>
    <t>住宅</t>
    <phoneticPr fontId="6" type="noConversion"/>
  </si>
  <si>
    <r>
      <t>51.61</t>
    </r>
    <r>
      <rPr>
        <sz val="12"/>
        <color theme="9" tint="-0.249977111117893"/>
        <rFont val="宋体"/>
        <family val="3"/>
        <charset val="134"/>
      </rPr>
      <t>年</t>
    </r>
    <phoneticPr fontId="6" type="noConversion"/>
  </si>
  <si>
    <t>《房屋所有权证》</t>
  </si>
  <si>
    <t>《房屋所有权证》</t>
    <phoneticPr fontId="6" type="noConversion"/>
  </si>
  <si>
    <t>原件</t>
  </si>
  <si>
    <r>
      <rPr>
        <sz val="11"/>
        <color theme="9" tint="-0.249977111117893"/>
        <rFont val="宋体"/>
        <family val="3"/>
        <charset val="134"/>
      </rPr>
      <t>高速公路</t>
    </r>
    <r>
      <rPr>
        <sz val="11"/>
        <color theme="9" tint="-0.249977111117893"/>
        <rFont val="Arial"/>
        <family val="2"/>
      </rPr>
      <t>-</t>
    </r>
    <r>
      <rPr>
        <sz val="11"/>
        <color theme="9" tint="-0.249977111117893"/>
        <rFont val="宋体"/>
        <family val="3"/>
        <charset val="134"/>
      </rPr>
      <t>京通快速路</t>
    </r>
    <phoneticPr fontId="25" type="noConversion"/>
  </si>
  <si>
    <t>成交时间</t>
    <phoneticPr fontId="143" type="noConversion"/>
  </si>
  <si>
    <t>朝向</t>
    <phoneticPr fontId="143" type="noConversion"/>
  </si>
  <si>
    <t>南北</t>
    <phoneticPr fontId="143" type="noConversion"/>
  </si>
  <si>
    <t>东西</t>
  </si>
  <si>
    <t>东西</t>
    <phoneticPr fontId="143" type="noConversion"/>
  </si>
  <si>
    <t>东西</t>
    <phoneticPr fontId="25" type="noConversion"/>
  </si>
  <si>
    <t>楼层</t>
    <phoneticPr fontId="143" type="noConversion"/>
  </si>
  <si>
    <t>高楼层</t>
    <phoneticPr fontId="143" type="noConversion"/>
  </si>
  <si>
    <t>中楼层</t>
    <phoneticPr fontId="143" type="noConversion"/>
  </si>
  <si>
    <t>高区</t>
    <phoneticPr fontId="25" type="noConversion"/>
  </si>
  <si>
    <t>板楼</t>
  </si>
  <si>
    <t>板楼</t>
    <phoneticPr fontId="25" type="noConversion"/>
  </si>
  <si>
    <t>建筑面积</t>
    <phoneticPr fontId="143" type="noConversion"/>
  </si>
  <si>
    <t>混合</t>
  </si>
  <si>
    <t>混合</t>
    <phoneticPr fontId="25" type="noConversion"/>
  </si>
  <si>
    <t>普通装修</t>
  </si>
  <si>
    <t>普通装修</t>
    <phoneticPr fontId="25" type="noConversion"/>
  </si>
  <si>
    <t>普通物业管理</t>
  </si>
  <si>
    <t>普通物业管理</t>
    <phoneticPr fontId="25" type="noConversion"/>
  </si>
  <si>
    <t>单价</t>
    <phoneticPr fontId="143" type="noConversion"/>
  </si>
  <si>
    <t>租金</t>
  </si>
  <si>
    <t>东西</t>
    <phoneticPr fontId="143" type="noConversion"/>
  </si>
  <si>
    <t>南北</t>
    <phoneticPr fontId="143" type="noConversion"/>
  </si>
  <si>
    <t>东南</t>
    <phoneticPr fontId="143" type="noConversion"/>
  </si>
  <si>
    <t>低区</t>
    <phoneticPr fontId="143" type="noConversion"/>
  </si>
  <si>
    <t>中区</t>
    <phoneticPr fontId="143" type="noConversion"/>
  </si>
  <si>
    <t>简单装修</t>
  </si>
  <si>
    <t>朝阳区建国路29号兴隆家园38号楼4门102号住宅用房</t>
    <phoneticPr fontId="6" type="noConversion"/>
  </si>
  <si>
    <t>北京力创昕业科技发展有限公司</t>
    <phoneticPr fontId="6" type="noConversion"/>
  </si>
  <si>
    <t>按房产原值计税</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</si>
</sst>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10" borderId="23"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47" fillId="0" borderId="24" xfId="0" applyFont="1" applyFill="1" applyBorder="1" applyAlignment="1" applyProtection="1">
      <alignment horizontal="center" vertical="center"/>
      <protection locked="0"/>
    </xf>
    <xf numFmtId="14" fontId="0" fillId="0" borderId="0" xfId="0" applyNumberFormat="1">
      <alignment vertical="center"/>
    </xf>
    <xf numFmtId="0" fontId="99" fillId="0" borderId="0" xfId="0" applyFont="1">
      <alignment vertical="center"/>
    </xf>
    <xf numFmtId="49" fontId="54" fillId="17" borderId="23" xfId="0" applyNumberFormat="1" applyFont="1" applyFill="1" applyBorder="1" applyAlignment="1" applyProtection="1">
      <alignment horizontal="center" vertical="center" wrapText="1"/>
      <protection locked="0"/>
    </xf>
    <xf numFmtId="0" fontId="54" fillId="17" borderId="23" xfId="0" applyNumberFormat="1" applyFont="1" applyFill="1" applyBorder="1" applyAlignment="1" applyProtection="1">
      <alignment horizontal="center" vertical="center" wrapText="1"/>
      <protection locked="0"/>
    </xf>
    <xf numFmtId="10" fontId="106" fillId="0" borderId="1" xfId="0" applyNumberFormat="1" applyFont="1" applyBorder="1" applyAlignment="1" applyProtection="1">
      <alignment horizontal="center" vertical="center"/>
      <protection locked="0"/>
    </xf>
    <xf numFmtId="0" fontId="56" fillId="2" borderId="1" xfId="0" applyFont="1" applyFill="1" applyBorder="1" applyAlignment="1" applyProtection="1">
      <alignment horizontal="lef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465539</xdr:colOff>
      <xdr:row>28</xdr:row>
      <xdr:rowOff>104162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95239" cy="4904762"/>
        </a:xfrm>
        <a:prstGeom prst="rect">
          <a:avLst/>
        </a:prstGeom>
      </xdr:spPr>
    </xdr:pic>
    <xdr:clientData/>
  </xdr:twoCellAnchor>
  <xdr:twoCellAnchor editAs="oneCell">
    <xdr:from>
      <xdr:col>0</xdr:col>
      <xdr:colOff>0</xdr:colOff>
      <xdr:row>29</xdr:row>
      <xdr:rowOff>0</xdr:rowOff>
    </xdr:from>
    <xdr:to>
      <xdr:col>13</xdr:col>
      <xdr:colOff>484586</xdr:colOff>
      <xdr:row>59</xdr:row>
      <xdr:rowOff>66024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9514286" cy="5209524"/>
        </a:xfrm>
        <a:prstGeom prst="rect">
          <a:avLst/>
        </a:prstGeom>
      </xdr:spPr>
    </xdr:pic>
    <xdr:clientData/>
  </xdr:twoCellAnchor>
  <xdr:twoCellAnchor editAs="oneCell">
    <xdr:from>
      <xdr:col>0</xdr:col>
      <xdr:colOff>0</xdr:colOff>
      <xdr:row>60</xdr:row>
      <xdr:rowOff>0</xdr:rowOff>
    </xdr:from>
    <xdr:to>
      <xdr:col>5</xdr:col>
      <xdr:colOff>199557</xdr:colOff>
      <xdr:row>90</xdr:row>
      <xdr:rowOff>113643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3742857" cy="5257143"/>
        </a:xfrm>
        <a:prstGeom prst="rect">
          <a:avLst/>
        </a:prstGeom>
      </xdr:spPr>
    </xdr:pic>
    <xdr:clientData/>
  </xdr:twoCellAnchor>
  <xdr:twoCellAnchor editAs="oneCell">
    <xdr:from>
      <xdr:col>6</xdr:col>
      <xdr:colOff>0</xdr:colOff>
      <xdr:row>60</xdr:row>
      <xdr:rowOff>0</xdr:rowOff>
    </xdr:from>
    <xdr:to>
      <xdr:col>11</xdr:col>
      <xdr:colOff>275762</xdr:colOff>
      <xdr:row>89</xdr:row>
      <xdr:rowOff>142236</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10287000"/>
          <a:ext cx="3704762" cy="5114286"/>
        </a:xfrm>
        <a:prstGeom prst="rect">
          <a:avLst/>
        </a:prstGeom>
      </xdr:spPr>
    </xdr:pic>
    <xdr:clientData/>
  </xdr:twoCellAnchor>
  <xdr:twoCellAnchor editAs="oneCell">
    <xdr:from>
      <xdr:col>12</xdr:col>
      <xdr:colOff>0</xdr:colOff>
      <xdr:row>60</xdr:row>
      <xdr:rowOff>0</xdr:rowOff>
    </xdr:from>
    <xdr:to>
      <xdr:col>17</xdr:col>
      <xdr:colOff>275762</xdr:colOff>
      <xdr:row>80</xdr:row>
      <xdr:rowOff>56715</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10287000"/>
          <a:ext cx="3704762" cy="3485715"/>
        </a:xfrm>
        <a:prstGeom prst="rect">
          <a:avLst/>
        </a:prstGeom>
      </xdr:spPr>
    </xdr:pic>
    <xdr:clientData/>
  </xdr:twoCellAnchor>
  <xdr:twoCellAnchor editAs="oneCell">
    <xdr:from>
      <xdr:col>0</xdr:col>
      <xdr:colOff>0</xdr:colOff>
      <xdr:row>93</xdr:row>
      <xdr:rowOff>104775</xdr:rowOff>
    </xdr:from>
    <xdr:to>
      <xdr:col>5</xdr:col>
      <xdr:colOff>199557</xdr:colOff>
      <xdr:row>136</xdr:row>
      <xdr:rowOff>160997</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6049625"/>
          <a:ext cx="3742857" cy="7428572"/>
        </a:xfrm>
        <a:prstGeom prst="rect">
          <a:avLst/>
        </a:prstGeom>
      </xdr:spPr>
    </xdr:pic>
    <xdr:clientData/>
  </xdr:twoCellAnchor>
  <xdr:twoCellAnchor editAs="oneCell">
    <xdr:from>
      <xdr:col>5</xdr:col>
      <xdr:colOff>619125</xdr:colOff>
      <xdr:row>93</xdr:row>
      <xdr:rowOff>57150</xdr:rowOff>
    </xdr:from>
    <xdr:to>
      <xdr:col>11</xdr:col>
      <xdr:colOff>151944</xdr:colOff>
      <xdr:row>136</xdr:row>
      <xdr:rowOff>132420</xdr:rowOff>
    </xdr:to>
    <xdr:pic>
      <xdr:nvPicPr>
        <xdr:cNvPr id="10" name="图片 9"/>
        <xdr:cNvPicPr>
          <a:picLocks noChangeAspect="1"/>
        </xdr:cNvPicPr>
      </xdr:nvPicPr>
      <xdr:blipFill>
        <a:blip xmlns:r="http://schemas.openxmlformats.org/officeDocument/2006/relationships" r:embed="rId7"/>
        <a:stretch>
          <a:fillRect/>
        </a:stretch>
      </xdr:blipFill>
      <xdr:spPr>
        <a:xfrm>
          <a:off x="4048125" y="16002000"/>
          <a:ext cx="3647619" cy="7447620"/>
        </a:xfrm>
        <a:prstGeom prst="rect">
          <a:avLst/>
        </a:prstGeom>
      </xdr:spPr>
    </xdr:pic>
    <xdr:clientData/>
  </xdr:twoCellAnchor>
  <xdr:twoCellAnchor editAs="oneCell">
    <xdr:from>
      <xdr:col>11</xdr:col>
      <xdr:colOff>342900</xdr:colOff>
      <xdr:row>92</xdr:row>
      <xdr:rowOff>123825</xdr:rowOff>
    </xdr:from>
    <xdr:to>
      <xdr:col>16</xdr:col>
      <xdr:colOff>656757</xdr:colOff>
      <xdr:row>136</xdr:row>
      <xdr:rowOff>113359</xdr:rowOff>
    </xdr:to>
    <xdr:pic>
      <xdr:nvPicPr>
        <xdr:cNvPr id="11" name="图片 10"/>
        <xdr:cNvPicPr>
          <a:picLocks noChangeAspect="1"/>
        </xdr:cNvPicPr>
      </xdr:nvPicPr>
      <xdr:blipFill>
        <a:blip xmlns:r="http://schemas.openxmlformats.org/officeDocument/2006/relationships" r:embed="rId8"/>
        <a:stretch>
          <a:fillRect/>
        </a:stretch>
      </xdr:blipFill>
      <xdr:spPr>
        <a:xfrm>
          <a:off x="7886700" y="15897225"/>
          <a:ext cx="3742857" cy="7533334"/>
        </a:xfrm>
        <a:prstGeom prst="rect">
          <a:avLst/>
        </a:prstGeom>
      </xdr:spPr>
    </xdr:pic>
    <xdr:clientData/>
  </xdr:twoCellAnchor>
  <xdr:twoCellAnchor editAs="oneCell">
    <xdr:from>
      <xdr:col>0</xdr:col>
      <xdr:colOff>0</xdr:colOff>
      <xdr:row>145</xdr:row>
      <xdr:rowOff>0</xdr:rowOff>
    </xdr:from>
    <xdr:to>
      <xdr:col>13</xdr:col>
      <xdr:colOff>84586</xdr:colOff>
      <xdr:row>154</xdr:row>
      <xdr:rowOff>133141</xdr:rowOff>
    </xdr:to>
    <xdr:pic>
      <xdr:nvPicPr>
        <xdr:cNvPr id="7" name="图片 6"/>
        <xdr:cNvPicPr>
          <a:picLocks noChangeAspect="1"/>
        </xdr:cNvPicPr>
      </xdr:nvPicPr>
      <xdr:blipFill>
        <a:blip xmlns:r="http://schemas.openxmlformats.org/officeDocument/2006/relationships" r:embed="rId9"/>
        <a:stretch>
          <a:fillRect/>
        </a:stretch>
      </xdr:blipFill>
      <xdr:spPr>
        <a:xfrm>
          <a:off x="0" y="24860250"/>
          <a:ext cx="9114286" cy="1676191"/>
        </a:xfrm>
        <a:prstGeom prst="rect">
          <a:avLst/>
        </a:prstGeom>
      </xdr:spPr>
    </xdr:pic>
    <xdr:clientData/>
  </xdr:twoCellAnchor>
  <xdr:twoCellAnchor editAs="oneCell">
    <xdr:from>
      <xdr:col>0</xdr:col>
      <xdr:colOff>0</xdr:colOff>
      <xdr:row>155</xdr:row>
      <xdr:rowOff>0</xdr:rowOff>
    </xdr:from>
    <xdr:to>
      <xdr:col>13</xdr:col>
      <xdr:colOff>475063</xdr:colOff>
      <xdr:row>165</xdr:row>
      <xdr:rowOff>85500</xdr:rowOff>
    </xdr:to>
    <xdr:pic>
      <xdr:nvPicPr>
        <xdr:cNvPr id="8" name="图片 7"/>
        <xdr:cNvPicPr>
          <a:picLocks noChangeAspect="1"/>
        </xdr:cNvPicPr>
      </xdr:nvPicPr>
      <xdr:blipFill>
        <a:blip xmlns:r="http://schemas.openxmlformats.org/officeDocument/2006/relationships" r:embed="rId10"/>
        <a:stretch>
          <a:fillRect/>
        </a:stretch>
      </xdr:blipFill>
      <xdr:spPr>
        <a:xfrm>
          <a:off x="0" y="26574750"/>
          <a:ext cx="9504763" cy="1800000"/>
        </a:xfrm>
        <a:prstGeom prst="rect">
          <a:avLst/>
        </a:prstGeom>
      </xdr:spPr>
    </xdr:pic>
    <xdr:clientData/>
  </xdr:twoCellAnchor>
  <xdr:twoCellAnchor editAs="oneCell">
    <xdr:from>
      <xdr:col>0</xdr:col>
      <xdr:colOff>0</xdr:colOff>
      <xdr:row>166</xdr:row>
      <xdr:rowOff>0</xdr:rowOff>
    </xdr:from>
    <xdr:to>
      <xdr:col>13</xdr:col>
      <xdr:colOff>103634</xdr:colOff>
      <xdr:row>175</xdr:row>
      <xdr:rowOff>123617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8460700"/>
          <a:ext cx="9133334" cy="16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北京市朝阳区建国路29号兴隆家园38号楼4门102号住宅用房房地产抵押价值预评估</v>
      </c>
    </row>
    <row r="3" spans="1:2" s="1596" customFormat="1">
      <c r="A3" s="1594" t="s">
        <v>1221</v>
      </c>
      <c r="B3" s="1595" t="str">
        <f>'预评函-封皮'!B40</f>
        <v>北京力创昕业科技发展有限公司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康正预评字2018-1-0372-P01DYGJ1号</v>
      </c>
    </row>
    <row r="6" spans="1:2" s="1593" customFormat="1" ht="15" thickTop="1">
      <c r="A6" s="1591" t="s">
        <v>1224</v>
      </c>
      <c r="B6" s="1592" t="str">
        <f>'预评函-1'!A4</f>
        <v>受贵公司委托，我公司对北京市朝阳区建国路29号兴隆家园38号楼4门102号住宅用房房地产抵押价值进行了预评估。</v>
      </c>
    </row>
    <row r="7" spans="1:2" s="1596" customFormat="1">
      <c r="A7" s="1594" t="s">
        <v>1264</v>
      </c>
      <c r="B7" s="1595" t="str">
        <f>'预评函-1'!A7</f>
        <v>估价对象为北京市朝阳区建国路29号兴隆家园38号楼4门102号住宅用房房地产，为丛永刚所有。根据，估价对象（分摊）出让国有建设用地使用权面积为0平方米。根据《房屋所有权证》，估价对象建筑面积为91.52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建国路29号兴隆家园38号楼4门102号住宅用房房地产,属丛永刚开发建设的居住项目，该项目尚在开发建设中。根据，估价对象（分摊）出让国有建设用地使用权面积为0平方米。根据《房屋所有权证》，估价对象规划建筑面积为91.52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为估价委托人在向工商银行门头沟支行办理贷款手续过程中，确定房地产抵押贷款额度提供参考依据而评估房地产抵押价值。</v>
      </c>
    </row>
    <row r="12" spans="1:2" s="1596" customFormat="1">
      <c r="A12" s="1594" t="s">
        <v>1226</v>
      </c>
      <c r="B12" s="1595" t="str">
        <f>'预评函-1'!A15</f>
        <v>2018年5月29日（评估专业人员实地查勘之日）</v>
      </c>
    </row>
    <row r="13" spans="1:2" s="1596" customFormat="1">
      <c r="A13" s="1594" t="s">
        <v>1227</v>
      </c>
      <c r="B13" s="1595" t="str">
        <f>'预评函-1'!A18</f>
        <v>本次估价的“房地产价值”是指在正常市场情况下，在价值时点2018年5月29日，估价对象规划用途为住宅，土地取得方式为出让，出让国有建设用地使用权剩余土地使用年限为51.61年，假定未设立法定优先受偿款下的房地产市场价值。</v>
      </c>
    </row>
    <row r="14" spans="1:2" s="1596" customFormat="1">
      <c r="A14" s="1594" t="s">
        <v>1228</v>
      </c>
      <c r="B14" s="1595" t="str">
        <f>'预评函-1'!A19</f>
        <v>其中，“出让国有建设用地使用权价值”是指估价对象用途为住宅，实际开发程度为宗地红线外“七通”（即通路、通电、通讯、通上水、通下水、通热、燃气）、红线内场地平整条件下，剩余土地使用年限为51.61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457</v>
      </c>
    </row>
    <row r="21" spans="1:2" s="1596" customFormat="1">
      <c r="A21" s="1594" t="s">
        <v>1235</v>
      </c>
      <c r="B21" s="1595">
        <f ca="1">'预评函-2'!D7</f>
        <v>49934</v>
      </c>
    </row>
    <row r="22" spans="1:2" s="1596" customFormat="1">
      <c r="A22" s="1594" t="s">
        <v>1236</v>
      </c>
      <c r="B22" s="1595" t="str">
        <f ca="1">'预评函-2'!D6</f>
        <v>肆佰伍拾柒万元整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457</v>
      </c>
    </row>
    <row r="31" spans="1:2" s="1596" customFormat="1">
      <c r="A31" s="1594" t="s">
        <v>1274</v>
      </c>
      <c r="B31" s="1595">
        <f ca="1">'预评函-2'!D15</f>
        <v>49934</v>
      </c>
    </row>
    <row r="32" spans="1:2" s="1596" customFormat="1">
      <c r="A32" s="1594" t="s">
        <v>1241</v>
      </c>
      <c r="B32" s="1595" t="str">
        <f ca="1">'预评函-2'!D14</f>
        <v>肆佰伍拾柒万元整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北京市朝阳区建国路29号兴隆家园38号楼4门102号住宅用房房地产</v>
      </c>
    </row>
    <row r="42" spans="1:2" s="1596" customFormat="1">
      <c r="A42" s="1594" t="s">
        <v>1288</v>
      </c>
      <c r="B42" s="1595" t="str">
        <f>'预评函-3'!B2</f>
        <v>建筑面积</v>
      </c>
    </row>
    <row r="43" spans="1:2" s="1596" customFormat="1">
      <c r="A43" s="1594" t="s">
        <v>1289</v>
      </c>
      <c r="B43" s="1595">
        <f>'预评函-3'!B4</f>
        <v>91.52</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为估价委托人在向工商银行门头沟支行办理贷款手续过程中，确定房地产抵押贷款额度提供参考依据而评估房地产抵押价值。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力创昕业科技发展有限公司拟使用北京市朝阳区建国路29号兴隆家园38号楼4门102号住宅用房房地产作为抵押担保物，向工商银行门头沟支行办理贷款手续。工商银行门头沟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7"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29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17"/>
      <c r="B54" s="2024" t="s">
        <v>864</v>
      </c>
      <c r="C54" s="2021" t="s">
        <v>1281</v>
      </c>
    </row>
    <row r="55" spans="1:4">
      <c r="A55" s="3017"/>
      <c r="B55" s="2024" t="s">
        <v>865</v>
      </c>
      <c r="C55" s="2021" t="s">
        <v>1282</v>
      </c>
    </row>
    <row r="56" spans="1:4">
      <c r="A56" s="3017"/>
      <c r="B56" s="2024" t="s">
        <v>866</v>
      </c>
      <c r="C56" s="2021" t="s">
        <v>1286</v>
      </c>
    </row>
    <row r="57" spans="1:4">
      <c r="A57" s="3017"/>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I22" sqref="I22"/>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26" t="str">
        <f>IF(B10="北京市","北京市",C10)&amp;F10&amp;IF(结果表!G1="在建","出让国有建设用地使用权及在建建筑物",IF(结果表!G1="土地","出让国有建设用地使用权",))&amp;B9&amp;"预评估"</f>
        <v>北京市朝阳区建国路29号兴隆家园38号楼4门102号住宅用房房地产抵押价值预评估</v>
      </c>
      <c r="C1" s="3027"/>
      <c r="D1" s="3027"/>
      <c r="E1" s="3027"/>
      <c r="F1" s="3027"/>
      <c r="G1" s="3027"/>
      <c r="H1" s="3027"/>
      <c r="I1" s="3028"/>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北京市朝阳区建国路29号兴隆家园38号楼4门102号住宅用房房地产抵押价值</v>
      </c>
    </row>
    <row r="2" spans="1:19" ht="18" customHeight="1">
      <c r="A2" s="2028" t="s">
        <v>1777</v>
      </c>
      <c r="B2" s="1042" t="s">
        <v>3103</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北京市朝阳区建国路29号兴隆家园38号楼4门102号住宅用房房地产</v>
      </c>
    </row>
    <row r="3" spans="1:19" ht="18" customHeight="1">
      <c r="A3" s="2037" t="s">
        <v>1778</v>
      </c>
      <c r="B3" s="2038">
        <v>43249</v>
      </c>
      <c r="C3" s="2039" t="s">
        <v>1779</v>
      </c>
      <c r="D3" s="2038">
        <f>B3</f>
        <v>43249</v>
      </c>
      <c r="E3" s="2028"/>
      <c r="F3" s="2028"/>
      <c r="G3" s="2028"/>
      <c r="H3" s="2028"/>
      <c r="I3" s="2028"/>
      <c r="J3" s="2028"/>
      <c r="K3" s="2029"/>
      <c r="L3" s="2030"/>
      <c r="M3" s="2030"/>
      <c r="N3" s="2031"/>
      <c r="O3" s="2032"/>
      <c r="P3" s="2031"/>
      <c r="Q3" s="2031"/>
      <c r="R3" s="2031"/>
      <c r="S3" s="2033"/>
    </row>
    <row r="4" spans="1:19" ht="18" customHeight="1" thickBot="1">
      <c r="A4" s="2040" t="s">
        <v>1780</v>
      </c>
      <c r="B4" s="2041" t="s">
        <v>3029</v>
      </c>
      <c r="C4" s="1040">
        <f ca="1">SUMIF(注册房地产估价师,B4,估价师及机构信息!B3:B24)</f>
        <v>1120000080</v>
      </c>
      <c r="D4" s="2041" t="s">
        <v>3030</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1781</v>
      </c>
      <c r="B5" s="2963" t="s">
        <v>3140</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64" t="s">
        <v>3104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t="str">
        <f>B5</f>
        <v>北京力创昕业科技发展有限公司</v>
      </c>
      <c r="C7" s="2050"/>
      <c r="D7" s="2051"/>
      <c r="E7" s="2036"/>
      <c r="F7" s="2044"/>
      <c r="G7" s="2044"/>
      <c r="H7" s="2044"/>
      <c r="I7" s="2044"/>
      <c r="J7" s="2044"/>
      <c r="K7" s="2054"/>
      <c r="L7" s="2030"/>
      <c r="M7" s="2030"/>
      <c r="N7" s="2031"/>
      <c r="O7" s="2032"/>
      <c r="P7" s="2031"/>
      <c r="Q7" s="2031"/>
      <c r="R7" s="2031"/>
    </row>
    <row r="8" spans="1:19" ht="18" customHeight="1">
      <c r="A8" s="2049" t="s">
        <v>1784</v>
      </c>
      <c r="B8" s="2055" t="s">
        <v>3031</v>
      </c>
      <c r="C8" s="2056"/>
      <c r="D8" s="3029" t="s">
        <v>1785</v>
      </c>
      <c r="E8" s="2057" t="s">
        <v>3032</v>
      </c>
      <c r="F8" s="2058"/>
      <c r="G8" s="2028"/>
      <c r="H8" s="2028"/>
      <c r="I8" s="2028"/>
      <c r="J8" s="2044"/>
      <c r="K8" s="2045"/>
      <c r="L8" s="2030"/>
      <c r="M8" s="2030"/>
      <c r="N8" s="2031"/>
      <c r="O8" s="2032"/>
      <c r="P8" s="2031"/>
      <c r="Q8" s="2031"/>
      <c r="R8" s="2031"/>
    </row>
    <row r="9" spans="1:19" ht="18" customHeight="1" thickBot="1">
      <c r="A9" s="2042" t="s">
        <v>1786</v>
      </c>
      <c r="B9" s="2059" t="s">
        <v>3032</v>
      </c>
      <c r="C9" s="2060"/>
      <c r="D9" s="3030"/>
      <c r="E9" s="2059"/>
      <c r="F9" s="2061"/>
      <c r="G9" s="2062"/>
      <c r="H9" s="2062"/>
      <c r="I9" s="2062"/>
      <c r="J9" s="2044"/>
      <c r="K9" s="2054"/>
      <c r="L9" s="2030"/>
      <c r="M9" s="2030"/>
      <c r="N9" s="2031"/>
      <c r="O9" s="2032"/>
      <c r="P9" s="2031"/>
      <c r="Q9" s="2031"/>
      <c r="R9" s="2031"/>
    </row>
    <row r="10" spans="1:19" ht="18" customHeight="1" thickTop="1">
      <c r="A10" s="2063" t="s">
        <v>1787</v>
      </c>
      <c r="B10" s="2064" t="s">
        <v>3033</v>
      </c>
      <c r="C10" s="2065"/>
      <c r="D10" s="2048"/>
      <c r="E10" s="2066" t="s">
        <v>1788</v>
      </c>
      <c r="F10" s="2965" t="s">
        <v>3139</v>
      </c>
      <c r="G10" s="2067"/>
      <c r="H10" s="2068"/>
      <c r="I10" s="2048"/>
      <c r="J10" s="2044"/>
      <c r="K10" s="2054"/>
      <c r="L10" s="2030"/>
      <c r="M10" s="2030"/>
      <c r="N10" s="2031"/>
      <c r="O10" s="2032"/>
      <c r="P10" s="2031"/>
      <c r="Q10" s="2031"/>
      <c r="R10" s="2031"/>
    </row>
    <row r="11" spans="1:19" ht="18" customHeight="1">
      <c r="A11" s="2069" t="s">
        <v>1789</v>
      </c>
      <c r="B11" s="2070" t="s">
        <v>3034</v>
      </c>
      <c r="C11" s="2966" t="s">
        <v>3105</v>
      </c>
      <c r="D11" s="2071"/>
      <c r="E11" s="2044"/>
      <c r="F11" s="2044"/>
      <c r="G11" s="2044"/>
      <c r="H11" s="2044"/>
      <c r="I11" s="2044"/>
      <c r="J11" s="2044"/>
      <c r="K11" s="2054"/>
      <c r="L11" s="2030"/>
      <c r="M11" s="2030"/>
      <c r="N11" s="2031"/>
      <c r="O11" s="2032"/>
      <c r="P11" s="2031"/>
      <c r="Q11" s="2031"/>
      <c r="R11" s="2031"/>
    </row>
    <row r="12" spans="1:19" ht="18" customHeight="1">
      <c r="A12" s="2072" t="s">
        <v>1790</v>
      </c>
      <c r="B12" s="2070" t="s">
        <v>3035</v>
      </c>
      <c r="C12" s="2073" t="s">
        <v>1791</v>
      </c>
      <c r="D12" s="2074" t="s">
        <v>1792</v>
      </c>
      <c r="E12" s="2074" t="s">
        <v>1793</v>
      </c>
      <c r="F12" s="2074" t="s">
        <v>1794</v>
      </c>
      <c r="G12" s="2074" t="s">
        <v>1795</v>
      </c>
      <c r="H12" s="2074" t="s">
        <v>1796</v>
      </c>
      <c r="I12" s="2074" t="s">
        <v>1797</v>
      </c>
      <c r="J12" s="2044"/>
      <c r="K12" s="2054"/>
      <c r="L12" s="2030"/>
      <c r="M12" s="2030"/>
      <c r="N12" s="2031"/>
      <c r="O12" s="2032"/>
      <c r="P12" s="2031"/>
      <c r="Q12" s="2031"/>
      <c r="R12" s="2031"/>
    </row>
    <row r="13" spans="1:19" ht="18" customHeight="1">
      <c r="A13" s="2075"/>
      <c r="B13" s="2076"/>
      <c r="C13" s="2077" t="s">
        <v>1798</v>
      </c>
      <c r="D13" s="2078">
        <v>62090</v>
      </c>
      <c r="E13" s="2078"/>
      <c r="F13" s="2078"/>
      <c r="G13" s="2078"/>
      <c r="H13" s="2078"/>
      <c r="I13" s="1050"/>
      <c r="J13" s="2044"/>
      <c r="K13" s="2054"/>
      <c r="L13" s="2030"/>
      <c r="M13" s="2030"/>
      <c r="N13" s="2031"/>
      <c r="O13" s="2032"/>
      <c r="P13" s="2031"/>
      <c r="Q13" s="2031"/>
      <c r="R13" s="2031"/>
    </row>
    <row r="14" spans="1:19" ht="18" customHeight="1">
      <c r="A14" s="2075"/>
      <c r="B14" s="2076"/>
      <c r="C14" s="2077" t="s">
        <v>1799</v>
      </c>
      <c r="D14" s="1053">
        <v>70</v>
      </c>
      <c r="E14" s="1053"/>
      <c r="F14" s="1053"/>
      <c r="G14" s="1053"/>
      <c r="H14" s="1053"/>
      <c r="I14" s="1053"/>
      <c r="J14" s="2044"/>
      <c r="K14" s="2079"/>
      <c r="L14" s="2030"/>
      <c r="M14" s="2030"/>
      <c r="N14" s="2031"/>
      <c r="O14" s="2032"/>
      <c r="P14" s="2031"/>
      <c r="Q14" s="2031"/>
      <c r="R14" s="2031"/>
    </row>
    <row r="15" spans="1:19" ht="18" customHeight="1">
      <c r="A15" s="2063"/>
      <c r="B15" s="2080"/>
      <c r="C15" s="2077" t="s">
        <v>1800</v>
      </c>
      <c r="D15" s="1052">
        <f>IF(B12="出让",IF(D13="","",ROUNDDOWN(MIN((D13-$D$3)/365,D14),2)),D14)</f>
        <v>51.61</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1"/>
      <c r="L15" s="2082"/>
      <c r="M15" s="2082"/>
      <c r="N15" s="2083"/>
      <c r="O15" s="2082"/>
      <c r="P15" s="2083"/>
      <c r="Q15" s="2031"/>
      <c r="R15" s="2031"/>
    </row>
    <row r="16" spans="1:19" ht="30.75" customHeight="1">
      <c r="A16" s="2066" t="s">
        <v>1801</v>
      </c>
      <c r="B16" s="3036" t="s">
        <v>3106</v>
      </c>
      <c r="C16" s="3037"/>
      <c r="D16" s="3038"/>
      <c r="E16" s="2084" t="s">
        <v>1802</v>
      </c>
      <c r="F16" s="3039" t="s">
        <v>3107</v>
      </c>
      <c r="G16" s="3040"/>
      <c r="H16" s="3040"/>
      <c r="I16" s="3041"/>
      <c r="J16" s="2031"/>
      <c r="K16" s="2081"/>
      <c r="L16" s="2082"/>
      <c r="M16" s="2082"/>
      <c r="N16" s="2083"/>
      <c r="O16" s="2082"/>
      <c r="P16" s="2083"/>
      <c r="Q16" s="2031"/>
      <c r="R16" s="2031"/>
    </row>
    <row r="17" spans="1:22" ht="18" customHeight="1">
      <c r="A17" s="2085" t="s">
        <v>1803</v>
      </c>
      <c r="B17" s="2037" t="s">
        <v>1804</v>
      </c>
      <c r="C17" s="1057">
        <f>'数据-汇总表'!E3</f>
        <v>91.52</v>
      </c>
      <c r="D17" s="2086" t="s">
        <v>1805</v>
      </c>
      <c r="E17" s="3042" t="s">
        <v>3109</v>
      </c>
      <c r="F17" s="3043"/>
      <c r="G17" s="3043"/>
      <c r="H17" s="3043"/>
      <c r="I17" s="3044"/>
      <c r="J17" s="2031"/>
      <c r="K17" s="2087"/>
      <c r="L17" s="2082"/>
      <c r="M17" s="2082"/>
      <c r="N17" s="2083"/>
      <c r="O17" s="2082"/>
      <c r="P17" s="2083"/>
      <c r="Q17" s="2031"/>
      <c r="R17" s="2031"/>
      <c r="S17" s="2031"/>
      <c r="T17" s="2031"/>
      <c r="U17" s="2031"/>
      <c r="V17" s="2031"/>
    </row>
    <row r="18" spans="1:22" ht="36" customHeight="1" thickBot="1">
      <c r="A18" s="2088" t="s">
        <v>70</v>
      </c>
      <c r="B18" s="2040" t="s">
        <v>1806</v>
      </c>
      <c r="C18" s="1447">
        <f>'数据-汇总表'!D3</f>
        <v>0</v>
      </c>
      <c r="D18" s="2089" t="s">
        <v>1805</v>
      </c>
      <c r="E18" s="3045"/>
      <c r="F18" s="3046"/>
      <c r="G18" s="3046"/>
      <c r="H18" s="3046"/>
      <c r="I18" s="3047"/>
      <c r="J18" s="2031"/>
      <c r="K18" s="2087"/>
      <c r="L18" s="2082"/>
      <c r="M18" s="2082"/>
      <c r="N18" s="2083"/>
      <c r="O18" s="2082"/>
      <c r="P18" s="2083"/>
      <c r="Q18" s="2031"/>
      <c r="R18" s="2031"/>
      <c r="S18" s="2031"/>
      <c r="T18" s="2031"/>
      <c r="U18" s="2031"/>
      <c r="V18" s="2031"/>
    </row>
    <row r="19" spans="1:22" ht="37.5" customHeight="1" thickTop="1" thickBot="1">
      <c r="A19" s="373" t="s">
        <v>1807</v>
      </c>
      <c r="B19" s="352" t="s">
        <v>1808</v>
      </c>
      <c r="C19" s="2090" t="s">
        <v>3039</v>
      </c>
      <c r="D19" s="2091" t="s">
        <v>1809</v>
      </c>
      <c r="E19" s="2092" t="s">
        <v>70</v>
      </c>
      <c r="F19" s="2093" t="str">
        <f>IF(AND(C19="是",E19="否"),"是否提供他项权证或相关说明","")</f>
        <v/>
      </c>
      <c r="G19" s="2094" t="s">
        <v>70</v>
      </c>
      <c r="H19" s="2044"/>
      <c r="I19" s="2044"/>
      <c r="J19" s="2044"/>
      <c r="K19" s="2054"/>
      <c r="L19" s="2030"/>
      <c r="M19" s="2030"/>
      <c r="N19" s="2083"/>
      <c r="O19" s="2082"/>
      <c r="P19" s="2083"/>
      <c r="Q19" s="2031"/>
      <c r="R19" s="2031"/>
      <c r="S19" s="2031"/>
      <c r="T19" s="2031"/>
      <c r="U19" s="2031"/>
      <c r="V19" s="2031"/>
    </row>
    <row r="20" spans="1:22" ht="18" customHeight="1">
      <c r="A20" s="2095" t="s">
        <v>1810</v>
      </c>
      <c r="B20" s="3032" t="s">
        <v>1811</v>
      </c>
      <c r="C20" s="3033"/>
      <c r="D20" s="3034" t="s">
        <v>1812</v>
      </c>
      <c r="E20" s="3035"/>
      <c r="F20" s="2096" t="s">
        <v>1813</v>
      </c>
      <c r="G20" s="2044"/>
      <c r="H20" s="2044"/>
      <c r="I20" s="2044"/>
      <c r="J20" s="2044"/>
      <c r="K20" s="3031" t="s">
        <v>1814</v>
      </c>
      <c r="L20" s="748" t="str">
        <f>"根据估价对象"&amp;IF(B22="——",B21&amp;C21,B21&amp;C21&amp;"、"&amp;B22&amp;C22)&amp;"，"&amp;IF(C19="是","截至价值时点，估价对象已设定抵押。","截至价值时点，估价对象抵押权未见登记。")</f>
        <v>根据估价对象《房屋所有权证》原件、，截至价值时点，估价对象抵押权未见登记。</v>
      </c>
      <c r="M20" s="2030"/>
      <c r="N20" s="2083"/>
      <c r="O20" s="2082"/>
      <c r="P20" s="2083"/>
      <c r="Q20" s="2031"/>
      <c r="R20" s="2031"/>
      <c r="S20" s="2031"/>
      <c r="T20" s="2031"/>
      <c r="U20" s="2031"/>
      <c r="V20" s="2031"/>
    </row>
    <row r="21" spans="1:22" ht="24.75" customHeight="1">
      <c r="A21" s="2095"/>
      <c r="B21" s="2097" t="s">
        <v>3108</v>
      </c>
      <c r="C21" s="2098" t="s">
        <v>3110</v>
      </c>
      <c r="D21" s="2099"/>
      <c r="E21" s="2100"/>
      <c r="F21" s="2101"/>
      <c r="G21" s="2044"/>
      <c r="H21" s="2044"/>
      <c r="I21" s="2044"/>
      <c r="J21" s="2044"/>
      <c r="K21" s="3031"/>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c r="C22" s="2098"/>
      <c r="D22" s="2028"/>
      <c r="E22" s="2028"/>
      <c r="F22" s="2103"/>
      <c r="G22" s="2044"/>
      <c r="H22" s="2044"/>
      <c r="I22" s="2044"/>
      <c r="J22" s="2044"/>
      <c r="K22" s="3031"/>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1815</v>
      </c>
      <c r="B23" s="183" t="s">
        <v>1816</v>
      </c>
      <c r="C23" s="2105"/>
      <c r="D23" s="2106" t="s">
        <v>1816</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1817</v>
      </c>
      <c r="C24" s="2110"/>
      <c r="D24" s="2104" t="s">
        <v>1817</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1818</v>
      </c>
      <c r="C25" s="2110"/>
      <c r="D25" s="2104" t="s">
        <v>1818</v>
      </c>
      <c r="E25" s="2111"/>
      <c r="F25" s="2103"/>
      <c r="G25" s="2044"/>
      <c r="H25" s="2044"/>
      <c r="I25" s="2044"/>
      <c r="J25" s="2044"/>
      <c r="K25" s="2054"/>
      <c r="L25" s="2030"/>
      <c r="M25" s="2030"/>
      <c r="N25" s="2083"/>
      <c r="O25" s="2082"/>
      <c r="P25" s="2083"/>
      <c r="Q25" s="2031"/>
      <c r="R25" s="2031"/>
      <c r="S25" s="2031"/>
      <c r="T25" s="2031"/>
      <c r="U25" s="2031"/>
      <c r="V25" s="2031"/>
    </row>
    <row r="26" spans="1:22" ht="18" customHeight="1" thickBot="1">
      <c r="A26" s="2112"/>
      <c r="B26" s="2113" t="s">
        <v>1819</v>
      </c>
      <c r="C26" s="2114"/>
      <c r="D26" s="2115" t="s">
        <v>1820</v>
      </c>
      <c r="E26" s="2116"/>
      <c r="F26" s="2117"/>
      <c r="G26" s="2062"/>
      <c r="H26" s="2062"/>
      <c r="I26" s="2062"/>
      <c r="J26" s="2044"/>
      <c r="K26" s="2054"/>
      <c r="L26" s="2030"/>
      <c r="M26" s="2030"/>
      <c r="N26" s="2083"/>
      <c r="O26" s="2082"/>
      <c r="P26" s="2083"/>
      <c r="Q26" s="2031"/>
      <c r="R26" s="2031"/>
      <c r="S26" s="2031"/>
      <c r="T26" s="2031"/>
      <c r="U26" s="2031"/>
      <c r="V26" s="2031"/>
    </row>
    <row r="27" spans="1:22" ht="18" customHeight="1" thickTop="1">
      <c r="A27" s="3019" t="s">
        <v>1821</v>
      </c>
      <c r="B27" s="2063" t="s">
        <v>1822</v>
      </c>
      <c r="C27" s="2118" t="s">
        <v>3037</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19"/>
      <c r="B28" s="2037" t="s">
        <v>1823</v>
      </c>
      <c r="C28" s="2120" t="s">
        <v>3038</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19"/>
      <c r="B29" s="2037" t="s">
        <v>1824</v>
      </c>
      <c r="C29" s="2123" t="s">
        <v>3039</v>
      </c>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20"/>
      <c r="B30" s="2037" t="s">
        <v>1825</v>
      </c>
      <c r="C30" s="3021"/>
      <c r="D30" s="3022"/>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23" t="s">
        <v>1826</v>
      </c>
      <c r="B31" s="2125" t="s">
        <v>3040</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24"/>
      <c r="B32" s="2125"/>
      <c r="C32" s="2126" t="str">
        <f>IF(B32="现房","成新及维护状况是否正常",IF(B32="在建","工程状态是否正常",IF(B32="土地","是否闲置","-")))</f>
        <v>-</v>
      </c>
      <c r="D32" s="2127"/>
      <c r="E32" s="2128"/>
      <c r="F32" s="2044"/>
      <c r="G32" s="2044"/>
      <c r="H32" s="2044"/>
      <c r="I32" s="2044"/>
      <c r="J32" s="2044"/>
      <c r="K32" s="2054"/>
      <c r="L32" s="2030"/>
      <c r="M32" s="2030"/>
      <c r="N32" s="2031"/>
      <c r="O32" s="2032"/>
      <c r="P32" s="2031"/>
      <c r="Q32" s="2031"/>
      <c r="R32" s="2031"/>
      <c r="S32" s="2031"/>
      <c r="T32" s="2031"/>
      <c r="U32" s="2031"/>
      <c r="V32" s="2031"/>
    </row>
    <row r="33" spans="1:22" ht="18" customHeight="1">
      <c r="A33" s="3024"/>
      <c r="B33" s="2129"/>
      <c r="C33" s="2069" t="str">
        <f>IF(B33="现房","成新及维护状况是否正常",IF(B33="在建","工程状态是否正常",IF(B33="土地","是否闲置","-")))</f>
        <v>-</v>
      </c>
      <c r="D33" s="2130"/>
      <c r="E33" s="2131"/>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1827</v>
      </c>
      <c r="B34" s="2132" t="s">
        <v>3041</v>
      </c>
      <c r="C34" s="2132" t="s">
        <v>3042</v>
      </c>
      <c r="D34" s="2132" t="s">
        <v>3043</v>
      </c>
      <c r="E34" s="2132" t="s">
        <v>3044</v>
      </c>
      <c r="F34" s="2132" t="s">
        <v>3045</v>
      </c>
      <c r="G34" s="2132" t="s">
        <v>3046</v>
      </c>
      <c r="H34" s="2132" t="s">
        <v>3047</v>
      </c>
      <c r="I34" s="2044"/>
      <c r="J34" s="2044"/>
      <c r="K34" s="1797">
        <f>COUNTIF(B34:H34,"——")</f>
        <v>0</v>
      </c>
      <c r="L34" s="2073" t="s">
        <v>1828</v>
      </c>
      <c r="M34" s="2073" t="s">
        <v>1829</v>
      </c>
      <c r="N34" s="2073" t="s">
        <v>1830</v>
      </c>
      <c r="O34" s="2073" t="s">
        <v>1831</v>
      </c>
      <c r="P34" s="2073" t="s">
        <v>1832</v>
      </c>
      <c r="Q34" s="2073" t="s">
        <v>1833</v>
      </c>
      <c r="R34" s="2073" t="s">
        <v>1834</v>
      </c>
      <c r="S34" s="3018" t="s">
        <v>1835</v>
      </c>
      <c r="T34" s="2133" t="str">
        <f>NUMBERSTRING(7-K34,1)&amp;"通"</f>
        <v>七通</v>
      </c>
      <c r="U34" s="2031"/>
      <c r="V34" s="2031"/>
    </row>
    <row r="35" spans="1:22" ht="18" customHeight="1">
      <c r="A35" s="2134"/>
      <c r="B35" s="3025" t="s">
        <v>1836</v>
      </c>
      <c r="C35" s="3025"/>
      <c r="D35" s="3025"/>
      <c r="E35" s="3025"/>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8"/>
      <c r="T35" s="48" t="str">
        <f>IF(T34="一通",L35,IF(T34="二通",M35,IF(T34="三通",N35,IF(T34="四通",O35,IF(T34="五通",P35,IF(T34="六通",Q35,R35))))))</f>
        <v>通路、通电、通讯、通上水、通下水、通热、燃气</v>
      </c>
      <c r="U35" s="2031"/>
      <c r="V35" s="2031"/>
    </row>
    <row r="36" spans="1:22" ht="18" customHeight="1">
      <c r="A36" s="2136"/>
      <c r="B36" s="2135" t="s">
        <v>1837</v>
      </c>
      <c r="C36" s="2135" t="s">
        <v>1838</v>
      </c>
      <c r="D36" s="2135" t="s">
        <v>1839</v>
      </c>
      <c r="E36" s="2135" t="s">
        <v>1840</v>
      </c>
      <c r="F36" s="2137"/>
      <c r="G36" s="2044"/>
      <c r="H36" s="2044"/>
      <c r="I36" s="2044"/>
      <c r="J36" s="2044"/>
      <c r="K36" s="2054"/>
      <c r="L36" s="2030"/>
      <c r="M36" s="2030"/>
      <c r="N36" s="2031"/>
      <c r="O36" s="2032"/>
      <c r="P36" s="2031"/>
      <c r="Q36" s="2031"/>
      <c r="R36" s="2031"/>
      <c r="S36" s="2031"/>
      <c r="T36" s="2031"/>
      <c r="U36" s="2031"/>
      <c r="V36" s="2031"/>
    </row>
    <row r="37" spans="1:22" ht="18" customHeight="1">
      <c r="A37" s="2138" t="s">
        <v>1841</v>
      </c>
      <c r="B37" s="2139"/>
      <c r="C37" s="2139"/>
      <c r="D37" s="2139"/>
      <c r="E37" s="2139"/>
      <c r="F37" s="2137"/>
      <c r="G37" s="2044"/>
      <c r="H37" s="2044"/>
      <c r="I37" s="2044"/>
      <c r="J37" s="2044"/>
      <c r="K37" s="2054"/>
      <c r="L37" s="2030"/>
      <c r="M37" s="2030"/>
      <c r="N37" s="2031"/>
      <c r="O37" s="2032"/>
      <c r="P37" s="2031"/>
      <c r="Q37" s="2031"/>
      <c r="R37" s="2031"/>
      <c r="S37" s="2031"/>
      <c r="T37" s="2031"/>
      <c r="U37" s="2031"/>
      <c r="V37" s="2031"/>
    </row>
    <row r="38" spans="1:22" ht="18" customHeight="1" thickBot="1">
      <c r="A38" s="2140" t="s">
        <v>1842</v>
      </c>
      <c r="B38" s="2141"/>
      <c r="C38" s="2141"/>
      <c r="D38" s="2141"/>
      <c r="E38" s="2141"/>
      <c r="F38" s="2142"/>
      <c r="G38" s="2062"/>
      <c r="H38" s="2062"/>
      <c r="I38" s="2062"/>
      <c r="J38" s="2044"/>
      <c r="K38" s="2054"/>
      <c r="L38" s="2030"/>
      <c r="M38" s="2030"/>
      <c r="N38" s="2031"/>
      <c r="O38" s="2032"/>
      <c r="P38" s="2031"/>
      <c r="Q38" s="2031"/>
      <c r="R38" s="2031"/>
      <c r="S38" s="2031"/>
      <c r="T38" s="2031"/>
      <c r="U38" s="2031"/>
      <c r="V38" s="2031"/>
    </row>
    <row r="39" spans="1:22" s="2147" customFormat="1" ht="18" customHeight="1" thickTop="1" thickBot="1">
      <c r="A39" s="2143" t="s">
        <v>1843</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1844</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1845</v>
      </c>
      <c r="B42" s="1797" t="s">
        <v>1846</v>
      </c>
      <c r="C42" s="1797" t="s">
        <v>1847</v>
      </c>
      <c r="D42" s="1797" t="s">
        <v>1848</v>
      </c>
      <c r="E42" s="1797" t="s">
        <v>1849</v>
      </c>
      <c r="F42" s="1797" t="s">
        <v>1850</v>
      </c>
      <c r="G42" s="1797" t="s">
        <v>1851</v>
      </c>
      <c r="H42" s="1797" t="s">
        <v>1852</v>
      </c>
      <c r="I42" s="1797" t="s">
        <v>1853</v>
      </c>
      <c r="J42" s="2151" t="s">
        <v>1854</v>
      </c>
      <c r="K42" s="2074" t="s">
        <v>1855</v>
      </c>
      <c r="L42" s="2074" t="s">
        <v>1856</v>
      </c>
      <c r="M42" s="2074" t="s">
        <v>1857</v>
      </c>
      <c r="N42" s="1797" t="s">
        <v>1858</v>
      </c>
      <c r="O42" s="1797" t="s">
        <v>1859</v>
      </c>
      <c r="P42" s="1797" t="s">
        <v>1860</v>
      </c>
      <c r="Q42" s="2073" t="s">
        <v>1861</v>
      </c>
      <c r="R42" s="2073" t="s">
        <v>1862</v>
      </c>
      <c r="S42" s="2031"/>
      <c r="T42" s="2031"/>
      <c r="U42" s="2031"/>
      <c r="V42" s="2031"/>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1863</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1864</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1865</v>
      </c>
      <c r="B2" s="11" t="s">
        <v>1866</v>
      </c>
      <c r="C2" s="11" t="s">
        <v>1867</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1868</v>
      </c>
      <c r="AZ2" s="1273" t="s">
        <v>1869</v>
      </c>
      <c r="BA2" s="11" t="s">
        <v>1870</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91.52</v>
      </c>
      <c r="C3" s="2167" t="s">
        <v>1871</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1872</v>
      </c>
      <c r="B5" s="1805"/>
      <c r="C5" s="1805"/>
      <c r="D5" s="1808"/>
      <c r="E5" s="16" t="s">
        <v>1</v>
      </c>
      <c r="F5" s="16">
        <f>SUM(F13:F587)</f>
        <v>0</v>
      </c>
      <c r="G5" s="16">
        <f>SUM(G13:G587)</f>
        <v>91.52</v>
      </c>
      <c r="H5" s="16">
        <f t="shared" ref="H5:AT5" si="0">SUM(H13:H656)</f>
        <v>91.52</v>
      </c>
      <c r="I5" s="16">
        <f t="shared" si="0"/>
        <v>91.52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1872</v>
      </c>
      <c r="AW5" s="1805"/>
      <c r="AX5" s="1805"/>
      <c r="AY5" s="17" t="s">
        <v>3</v>
      </c>
      <c r="AZ5" s="18">
        <f t="shared" ref="AZ5:BT5" si="1">SUM(AZ13:AZ656)</f>
        <v>91.52</v>
      </c>
      <c r="BA5" s="18">
        <f t="shared" si="1"/>
        <v>91.52</v>
      </c>
      <c r="BB5" s="18">
        <f t="shared" si="1"/>
        <v>91.52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1873</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1873</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1874</v>
      </c>
      <c r="B7" s="2108" t="s">
        <v>1875</v>
      </c>
      <c r="C7" s="2108" t="s">
        <v>1876</v>
      </c>
      <c r="D7" s="2108" t="s">
        <v>1877</v>
      </c>
      <c r="E7" s="2108" t="s">
        <v>1878</v>
      </c>
      <c r="F7" s="2108" t="s">
        <v>1879</v>
      </c>
      <c r="G7" s="2177" t="s">
        <v>1880</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1881</v>
      </c>
      <c r="AV7" s="23" t="s">
        <v>1882</v>
      </c>
      <c r="AW7" s="2165" t="s">
        <v>1883</v>
      </c>
      <c r="AX7" s="23" t="s">
        <v>1876</v>
      </c>
      <c r="AY7" s="1805" t="s">
        <v>1884</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1885</v>
      </c>
      <c r="H8" s="2183" t="s">
        <v>1886</v>
      </c>
      <c r="I8" s="2184"/>
      <c r="J8" s="1820"/>
      <c r="K8" s="1820"/>
      <c r="L8" s="1820"/>
      <c r="M8" s="1820"/>
      <c r="N8" s="1820"/>
      <c r="O8" s="1820"/>
      <c r="P8" s="1820"/>
      <c r="Q8" s="1820"/>
      <c r="R8" s="1820"/>
      <c r="S8" s="1820"/>
      <c r="T8" s="1820"/>
      <c r="U8" s="1820"/>
      <c r="V8" s="2185"/>
      <c r="W8" s="1820"/>
      <c r="X8" s="1820"/>
      <c r="Y8" s="1820"/>
      <c r="Z8" s="1820"/>
      <c r="AA8" s="2185"/>
      <c r="AB8" s="2186"/>
      <c r="AC8" s="984" t="s">
        <v>1887</v>
      </c>
      <c r="AD8" s="2187"/>
      <c r="AE8" s="2179"/>
      <c r="AF8" s="1820"/>
      <c r="AG8" s="1820"/>
      <c r="AH8" s="1820"/>
      <c r="AI8" s="1820"/>
      <c r="AJ8" s="1820"/>
      <c r="AK8" s="1820"/>
      <c r="AL8" s="1820"/>
      <c r="AM8" s="1820"/>
      <c r="AN8" s="1820"/>
      <c r="AO8" s="1820"/>
      <c r="AP8" s="1820"/>
      <c r="AQ8" s="1820"/>
      <c r="AR8" s="1820"/>
      <c r="AS8" s="1820"/>
      <c r="AT8" s="1295" t="s">
        <v>1888</v>
      </c>
      <c r="AU8" s="2181" t="s">
        <v>1889</v>
      </c>
      <c r="AV8" s="1295"/>
      <c r="AW8" s="2164"/>
      <c r="AX8" s="1295"/>
      <c r="AY8" s="2165" t="s">
        <v>1890</v>
      </c>
      <c r="AZ8" s="1819" t="s">
        <v>1891</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5"/>
      <c r="H9" s="2189" t="s">
        <v>1892</v>
      </c>
      <c r="I9" s="2190" t="s">
        <v>3048</v>
      </c>
      <c r="J9" s="984"/>
      <c r="K9" s="2190"/>
      <c r="L9" s="984"/>
      <c r="M9" s="2190"/>
      <c r="N9" s="984"/>
      <c r="O9" s="2190"/>
      <c r="P9" s="984"/>
      <c r="Q9" s="2190"/>
      <c r="R9" s="984"/>
      <c r="S9" s="2190"/>
      <c r="T9" s="984"/>
      <c r="U9" s="2190"/>
      <c r="V9" s="984"/>
      <c r="W9" s="2190"/>
      <c r="X9" s="2191"/>
      <c r="Y9" s="2190"/>
      <c r="Z9" s="984"/>
      <c r="AA9" s="2190"/>
      <c r="AB9" s="984"/>
      <c r="AC9" s="2182"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2"/>
      <c r="AT9" s="2181"/>
      <c r="AU9" s="2181" t="s">
        <v>1895</v>
      </c>
      <c r="AV9" s="1295"/>
      <c r="AW9" s="2164"/>
      <c r="AX9" s="1295"/>
      <c r="AY9" s="28"/>
      <c r="AZ9" s="28" t="s">
        <v>1885</v>
      </c>
      <c r="BA9" s="2193" t="s">
        <v>1896</v>
      </c>
      <c r="BB9" s="2194"/>
      <c r="BC9" s="1341"/>
      <c r="BD9" s="1341"/>
      <c r="BE9" s="1341"/>
      <c r="BF9" s="1341"/>
      <c r="BG9" s="1341"/>
      <c r="BH9" s="1341"/>
      <c r="BI9" s="1341"/>
      <c r="BJ9" s="1341"/>
      <c r="BK9" s="2195"/>
      <c r="BL9" s="15" t="s">
        <v>1897</v>
      </c>
      <c r="BM9" s="1820"/>
      <c r="BN9" s="2184"/>
      <c r="BO9" s="1820"/>
      <c r="BP9" s="1820"/>
      <c r="BQ9" s="1820"/>
      <c r="BR9" s="1820"/>
      <c r="BS9" s="1820"/>
      <c r="BT9" s="26"/>
    </row>
    <row r="10" spans="1:72" s="2188" customFormat="1" ht="12.75">
      <c r="A10" s="2181"/>
      <c r="B10" s="2181"/>
      <c r="C10" s="2181"/>
      <c r="D10" s="2181"/>
      <c r="E10" s="2181"/>
      <c r="F10" s="2181"/>
      <c r="G10" s="1295"/>
      <c r="H10" s="28"/>
      <c r="I10" s="2190" t="s">
        <v>3049</v>
      </c>
      <c r="J10" s="984"/>
      <c r="K10" s="2196"/>
      <c r="L10" s="984"/>
      <c r="M10" s="2196"/>
      <c r="N10" s="984"/>
      <c r="O10" s="2196"/>
      <c r="P10" s="984"/>
      <c r="Q10" s="2196"/>
      <c r="R10" s="984"/>
      <c r="S10" s="2196"/>
      <c r="T10" s="984"/>
      <c r="U10" s="2196"/>
      <c r="V10" s="984"/>
      <c r="W10" s="2196"/>
      <c r="X10" s="984"/>
      <c r="Y10" s="2196"/>
      <c r="Z10" s="984"/>
      <c r="AA10" s="2196"/>
      <c r="AB10" s="984"/>
      <c r="AC10" s="1295"/>
      <c r="AD10" s="15" t="s">
        <v>1898</v>
      </c>
      <c r="AE10" s="2197"/>
      <c r="AF10" s="15" t="s">
        <v>1898</v>
      </c>
      <c r="AG10" s="2197"/>
      <c r="AH10" s="15" t="s">
        <v>1899</v>
      </c>
      <c r="AI10" s="2197"/>
      <c r="AJ10" s="15" t="s">
        <v>1899</v>
      </c>
      <c r="AK10" s="2197"/>
      <c r="AL10" s="15" t="s">
        <v>1900</v>
      </c>
      <c r="AM10" s="1301"/>
      <c r="AN10" s="15" t="s">
        <v>1900</v>
      </c>
      <c r="AO10" s="1301"/>
      <c r="AP10" s="15" t="s">
        <v>1901</v>
      </c>
      <c r="AQ10" s="1301"/>
      <c r="AR10" s="15" t="s">
        <v>1901</v>
      </c>
      <c r="AS10" s="1301"/>
      <c r="AT10" s="2181"/>
      <c r="AU10" s="2181"/>
      <c r="AV10" s="1295"/>
      <c r="AW10" s="2164"/>
      <c r="AX10" s="1295"/>
      <c r="AY10" s="28"/>
      <c r="AZ10" s="28"/>
      <c r="BA10" s="2198" t="s">
        <v>1892</v>
      </c>
      <c r="BB10" s="2199" t="str">
        <f>I9</f>
        <v>地上</v>
      </c>
      <c r="BC10" s="29">
        <f>K9</f>
        <v>0</v>
      </c>
      <c r="BD10" s="29">
        <f>M9</f>
        <v>0</v>
      </c>
      <c r="BE10" s="29">
        <f>O9</f>
        <v>0</v>
      </c>
      <c r="BF10" s="29">
        <f>Q9</f>
        <v>0</v>
      </c>
      <c r="BG10" s="29">
        <f>S9</f>
        <v>0</v>
      </c>
      <c r="BH10" s="29">
        <f>U9</f>
        <v>0</v>
      </c>
      <c r="BI10" s="29">
        <f>W9</f>
        <v>0</v>
      </c>
      <c r="BJ10" s="29">
        <f>Y9</f>
        <v>0</v>
      </c>
      <c r="BK10" s="29">
        <f>AA9</f>
        <v>0</v>
      </c>
      <c r="BL10" s="25" t="s">
        <v>1892</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5"/>
      <c r="H11" s="2198"/>
      <c r="I11" s="2201" t="s">
        <v>3050</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1902</v>
      </c>
      <c r="AE11" s="1821"/>
      <c r="AF11" s="2203" t="s">
        <v>1902</v>
      </c>
      <c r="AG11" s="1821"/>
      <c r="AH11" s="2203" t="s">
        <v>1903</v>
      </c>
      <c r="AI11" s="2204"/>
      <c r="AJ11" s="2203" t="s">
        <v>1903</v>
      </c>
      <c r="AK11" s="1821"/>
      <c r="AL11" s="1819"/>
      <c r="AM11" s="1821"/>
      <c r="AN11" s="1819"/>
      <c r="AO11" s="1821"/>
      <c r="AP11" s="1819"/>
      <c r="AQ11" s="1821"/>
      <c r="AR11" s="1819"/>
      <c r="AS11" s="1821"/>
      <c r="AT11" s="2164"/>
      <c r="AU11" s="2181"/>
      <c r="AV11" s="1295"/>
      <c r="AW11" s="2164"/>
      <c r="AX11" s="1295"/>
      <c r="AY11" s="28"/>
      <c r="AZ11" s="28"/>
      <c r="BA11" s="28"/>
      <c r="BB11" s="2186" t="str">
        <f>I10</f>
        <v>住宅</v>
      </c>
      <c r="BC11" s="2186">
        <f>K10</f>
        <v>0</v>
      </c>
      <c r="BD11" s="2186">
        <f>M10</f>
        <v>0</v>
      </c>
      <c r="BE11" s="2186">
        <f>O10</f>
        <v>0</v>
      </c>
      <c r="BF11" s="2186">
        <f>Q10</f>
        <v>0</v>
      </c>
      <c r="BG11" s="2186">
        <f>S10</f>
        <v>0</v>
      </c>
      <c r="BH11" s="2186">
        <f>U10</f>
        <v>0</v>
      </c>
      <c r="BI11" s="2186">
        <f>W10</f>
        <v>0</v>
      </c>
      <c r="BJ11" s="2186">
        <f>Y10</f>
        <v>0</v>
      </c>
      <c r="BK11" s="2186">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4" t="s">
        <v>1905</v>
      </c>
      <c r="W12" s="11" t="s">
        <v>1904</v>
      </c>
      <c r="X12" s="11" t="s">
        <v>1905</v>
      </c>
      <c r="Y12" s="11" t="s">
        <v>1904</v>
      </c>
      <c r="Z12" s="11" t="s">
        <v>1905</v>
      </c>
      <c r="AA12" s="11" t="s">
        <v>1904</v>
      </c>
      <c r="AB12" s="11" t="s">
        <v>1905</v>
      </c>
      <c r="AC12" s="2208"/>
      <c r="AD12" s="180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6" t="s">
        <v>1905</v>
      </c>
      <c r="AT12" s="2209"/>
      <c r="AU12" s="2206"/>
      <c r="AV12" s="31"/>
      <c r="AW12" s="2165"/>
      <c r="AX12" s="31"/>
      <c r="AY12" s="2210"/>
      <c r="AZ12" s="28"/>
      <c r="BA12" s="2198"/>
      <c r="BB12" s="24" t="str">
        <f>I11</f>
        <v>普通住宅</v>
      </c>
      <c r="BC12" s="2211">
        <f>K11</f>
        <v>0</v>
      </c>
      <c r="BD12" s="2211">
        <f>M11</f>
        <v>0</v>
      </c>
      <c r="BE12" s="2186">
        <f>O11</f>
        <v>0</v>
      </c>
      <c r="BF12" s="2186">
        <f>Q11</f>
        <v>0</v>
      </c>
      <c r="BG12" s="2186">
        <f>S11</f>
        <v>0</v>
      </c>
      <c r="BH12" s="2186">
        <f>U11</f>
        <v>0</v>
      </c>
      <c r="BI12" s="2186">
        <f>W11</f>
        <v>0</v>
      </c>
      <c r="BJ12" s="2186">
        <f>Y11</f>
        <v>0</v>
      </c>
      <c r="BK12" s="2186">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25.5">
      <c r="A13" s="1275"/>
      <c r="B13" s="1275"/>
      <c r="C13" s="1275" t="s">
        <v>3100</v>
      </c>
      <c r="D13" s="2212" t="s">
        <v>3036</v>
      </c>
      <c r="E13" s="16">
        <f>IF($C$3="是",ROUND($A$3*G13/$B$3,2),ROUND($A$3*(G13-AT13)/$B$3,2))</f>
        <v>0</v>
      </c>
      <c r="F13" s="32"/>
      <c r="G13" s="33">
        <f>H13+AC13+AT13</f>
        <v>91.52</v>
      </c>
      <c r="H13" s="20">
        <f>SUMIF(I$12:AB$12,"总值",I13:AB13)</f>
        <v>91.52</v>
      </c>
      <c r="I13" s="2213">
        <v>91.52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38号楼4门102</v>
      </c>
      <c r="AY13" s="1808">
        <f>ROUND($AY$6*AZ13/$AZ$5,2)</f>
        <v>0</v>
      </c>
      <c r="AZ13" s="16">
        <f>BA13+BL13</f>
        <v>91.52</v>
      </c>
      <c r="BA13" s="16">
        <f>SUM(BB13:BK13)</f>
        <v>91.52</v>
      </c>
      <c r="BB13" s="16">
        <f>IF($D13="是",I13-J13,0)</f>
        <v>91.52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1275"/>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1275"/>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1275"/>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1275"/>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5"/>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5"/>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5"/>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5"/>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5"/>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5"/>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5"/>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8" t="s">
        <v>0</v>
      </c>
      <c r="B1" s="3048" t="s">
        <v>4</v>
      </c>
      <c r="C1" s="3048" t="s">
        <v>5</v>
      </c>
      <c r="D1" s="3049" t="s">
        <v>53</v>
      </c>
      <c r="E1" s="3049" t="s">
        <v>54</v>
      </c>
      <c r="F1" s="3049"/>
      <c r="G1" s="3049"/>
      <c r="H1" s="3049"/>
      <c r="I1" s="3049"/>
      <c r="J1" s="3049"/>
      <c r="K1" s="3049"/>
      <c r="L1" s="3049"/>
      <c r="M1" s="3049"/>
    </row>
    <row r="2" spans="1:13" ht="27" customHeight="1">
      <c r="A2" s="3048"/>
      <c r="B2" s="3048"/>
      <c r="C2" s="3048"/>
      <c r="D2" s="3049"/>
      <c r="E2" s="3049" t="s">
        <v>37</v>
      </c>
      <c r="F2" s="3049" t="s">
        <v>38</v>
      </c>
      <c r="G2" s="3049"/>
      <c r="H2" s="3049"/>
      <c r="I2" s="3049"/>
      <c r="J2" s="3049" t="s">
        <v>39</v>
      </c>
      <c r="K2" s="3049"/>
      <c r="L2" s="3049"/>
      <c r="M2" s="3049"/>
    </row>
    <row r="3" spans="1:13" ht="28.5">
      <c r="A3" s="3048"/>
      <c r="B3" s="3048"/>
      <c r="C3" s="3048"/>
      <c r="D3" s="3049"/>
      <c r="E3" s="304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9" t="s">
        <v>55</v>
      </c>
      <c r="B9" s="3049"/>
      <c r="C9" s="304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1931</v>
      </c>
      <c r="B1" s="1395"/>
      <c r="C1" s="1395"/>
      <c r="D1" s="1395"/>
      <c r="E1" s="1395"/>
      <c r="F1" s="1395"/>
      <c r="G1" s="1395"/>
      <c r="H1" s="1395"/>
      <c r="I1" s="1395"/>
      <c r="J1" s="1395"/>
      <c r="K1" s="1395"/>
      <c r="L1" s="1395"/>
      <c r="M1" s="1395"/>
      <c r="N1" s="1395"/>
      <c r="O1" s="1395"/>
      <c r="P1" s="1395"/>
    </row>
    <row r="2" spans="1:16" ht="15">
      <c r="A2" s="3059" t="s">
        <v>1932</v>
      </c>
      <c r="B2" s="3059"/>
      <c r="C2" s="3059"/>
      <c r="D2" s="970" t="s">
        <v>1908</v>
      </c>
      <c r="E2" s="2226" t="s">
        <v>1909</v>
      </c>
      <c r="F2" s="1395"/>
      <c r="G2" s="2227"/>
      <c r="H2" s="2228"/>
      <c r="I2" s="2229" t="s">
        <v>1933</v>
      </c>
      <c r="J2" s="1395"/>
      <c r="K2" s="1395"/>
      <c r="L2" s="1395"/>
      <c r="M2" s="1395"/>
      <c r="N2" s="1430"/>
      <c r="O2" s="1395"/>
      <c r="P2" s="1395"/>
    </row>
    <row r="3" spans="1:16" ht="15.75" thickBot="1">
      <c r="A3" s="3060" t="s">
        <v>1906</v>
      </c>
      <c r="B3" s="3060"/>
      <c r="C3" s="3060"/>
      <c r="D3" s="46">
        <f>'数据-基础表'!AY6</f>
        <v>0</v>
      </c>
      <c r="E3" s="46">
        <f>'数据-基础表'!AZ5</f>
        <v>91.52</v>
      </c>
      <c r="F3" s="1395"/>
      <c r="G3" s="1402"/>
      <c r="H3" s="1250" t="s">
        <v>1907</v>
      </c>
      <c r="I3" s="55" t="e">
        <f>ROUND('数据-基础表'!B3/'数据-基础表'!A3,2)</f>
        <v>#DIV/0!</v>
      </c>
      <c r="J3" s="1395"/>
      <c r="K3" s="1395"/>
      <c r="L3" s="1395"/>
      <c r="M3" s="1395"/>
      <c r="N3" s="1430"/>
      <c r="O3" s="1395"/>
      <c r="P3" s="1395"/>
    </row>
    <row r="4" spans="1:16" ht="15">
      <c r="A4" s="3061"/>
      <c r="B4" s="3062"/>
      <c r="C4" s="3063"/>
      <c r="D4" s="2230" t="s">
        <v>1908</v>
      </c>
      <c r="E4" s="2231" t="s">
        <v>1909</v>
      </c>
      <c r="F4" s="1395"/>
      <c r="G4" s="2232" t="s">
        <v>1934</v>
      </c>
      <c r="H4" s="1250" t="s">
        <v>1914</v>
      </c>
      <c r="I4" s="55" t="e">
        <f>ROUND(SUMIF('数据-基础表'!I9:AS9,"地上",'数据-基础表'!I5:AS5)/'数据-基础表'!A3,2)</f>
        <v>#DIV/0!</v>
      </c>
      <c r="J4" s="1395"/>
      <c r="K4" s="1395"/>
      <c r="L4" s="1395"/>
      <c r="M4" s="1395"/>
      <c r="N4" s="1430"/>
      <c r="O4" s="1395"/>
      <c r="P4" s="1395"/>
    </row>
    <row r="5" spans="1:16">
      <c r="A5" s="47" t="s">
        <v>1910</v>
      </c>
      <c r="B5" s="3064" t="s">
        <v>1911</v>
      </c>
      <c r="C5" s="3064"/>
      <c r="D5" s="48">
        <f>ROUND($D$3*E5/$E$3,2)</f>
        <v>0</v>
      </c>
      <c r="E5" s="49">
        <f>SUMIF('数据-基础表'!$11:$11,"住宅",'数据-基础表'!$5:$5)</f>
        <v>91.52</v>
      </c>
      <c r="F5" s="1395"/>
      <c r="G5" s="1402"/>
      <c r="H5" s="1250" t="s">
        <v>1907</v>
      </c>
      <c r="I5" s="55" t="e">
        <f>ROUND(E31/D31,2)</f>
        <v>#DIV/0!</v>
      </c>
      <c r="J5" s="1395"/>
      <c r="K5" s="1395"/>
      <c r="L5" s="1395"/>
      <c r="M5" s="1395"/>
      <c r="N5" s="1395"/>
      <c r="O5" s="1395"/>
      <c r="P5" s="1395"/>
    </row>
    <row r="6" spans="1:16" ht="15" thickBot="1">
      <c r="A6" s="2233"/>
      <c r="B6" s="3064" t="s">
        <v>1912</v>
      </c>
      <c r="C6" s="3064"/>
      <c r="D6" s="48">
        <f>ROUND($D$3*E6/$E$3,2)</f>
        <v>0</v>
      </c>
      <c r="E6" s="49">
        <f>E3-E5</f>
        <v>0</v>
      </c>
      <c r="F6" s="1395"/>
      <c r="G6" s="2234" t="s">
        <v>1913</v>
      </c>
      <c r="H6" s="1402" t="s">
        <v>1914</v>
      </c>
      <c r="I6" s="942" t="e">
        <f>ROUND(F31/D31,2)</f>
        <v>#DIV/0!</v>
      </c>
      <c r="J6" s="1395"/>
      <c r="K6" s="1395"/>
      <c r="L6" s="1395"/>
      <c r="M6" s="1395"/>
      <c r="N6" s="1395"/>
      <c r="O6" s="1395"/>
      <c r="P6" s="1395"/>
    </row>
    <row r="7" spans="1:16" ht="15">
      <c r="A7" s="3056"/>
      <c r="B7" s="3057"/>
      <c r="C7" s="3058"/>
      <c r="D7" s="2230" t="s">
        <v>1908</v>
      </c>
      <c r="E7" s="2235" t="s">
        <v>1915</v>
      </c>
      <c r="F7" s="1395"/>
      <c r="G7" s="2227" t="s">
        <v>1916</v>
      </c>
      <c r="H7" s="64"/>
      <c r="I7" s="420"/>
      <c r="J7" s="1395"/>
      <c r="K7" s="1395"/>
      <c r="L7" s="1395"/>
      <c r="M7" s="1395"/>
      <c r="N7" s="1395"/>
      <c r="O7" s="1395"/>
      <c r="P7" s="1395"/>
    </row>
    <row r="8" spans="1:16">
      <c r="A8" s="47" t="s">
        <v>1917</v>
      </c>
      <c r="B8" s="50" t="s">
        <v>1918</v>
      </c>
      <c r="C8" s="48" t="s">
        <v>1919</v>
      </c>
      <c r="D8" s="48">
        <f t="shared" ref="D8:D15" si="0">ROUND($D$3*E8/$E$3,2)</f>
        <v>0</v>
      </c>
      <c r="E8" s="51">
        <f>SUMIF('数据-基础表'!BB10:BK10,"地上",'数据-基础表'!BB5:BK5)</f>
        <v>91.52</v>
      </c>
      <c r="F8" s="1395"/>
      <c r="G8" s="2236"/>
      <c r="H8" s="2236"/>
      <c r="I8" s="1395"/>
      <c r="J8" s="1395"/>
      <c r="K8" s="1395"/>
      <c r="L8" s="1395"/>
      <c r="M8" s="1395"/>
      <c r="N8" s="1395"/>
      <c r="O8" s="1395"/>
      <c r="P8" s="1395"/>
    </row>
    <row r="9" spans="1:16">
      <c r="A9" s="2237"/>
      <c r="B9" s="2238"/>
      <c r="C9" s="48" t="s">
        <v>1920</v>
      </c>
      <c r="D9" s="48">
        <f t="shared" si="0"/>
        <v>0</v>
      </c>
      <c r="E9" s="52">
        <v>0</v>
      </c>
      <c r="F9" s="1395"/>
      <c r="G9" s="2236"/>
      <c r="H9" s="2236"/>
      <c r="I9" s="1395"/>
      <c r="J9" s="1395"/>
      <c r="K9" s="1395"/>
      <c r="L9" s="1395"/>
      <c r="M9" s="1395"/>
      <c r="N9" s="1395"/>
      <c r="O9" s="1395"/>
      <c r="P9" s="1395"/>
    </row>
    <row r="10" spans="1:16">
      <c r="A10" s="2237"/>
      <c r="B10" s="2238"/>
      <c r="C10" s="48" t="s">
        <v>1929</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1921</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1922</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1923</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1935</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1930</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1924</v>
      </c>
      <c r="D16" s="50">
        <f>SUM(D8:D15)</f>
        <v>0</v>
      </c>
      <c r="E16" s="53">
        <f>SUM(E8:E15)</f>
        <v>91.52</v>
      </c>
      <c r="F16" s="1395"/>
      <c r="G16" s="2236"/>
      <c r="H16" s="2239" t="s">
        <v>1936</v>
      </c>
      <c r="I16" s="2240"/>
      <c r="J16" s="1395"/>
      <c r="K16" s="3053" t="s">
        <v>1936</v>
      </c>
      <c r="L16" s="3054"/>
      <c r="M16" s="3054"/>
      <c r="N16" s="3054"/>
      <c r="O16" s="3054"/>
      <c r="P16" s="3055"/>
    </row>
    <row r="17" spans="1:19" ht="15">
      <c r="A17" s="2241" t="s">
        <v>1937</v>
      </c>
      <c r="B17" s="2242" t="s">
        <v>1938</v>
      </c>
      <c r="C17" s="2243" t="s">
        <v>1939</v>
      </c>
      <c r="D17" s="2244" t="s">
        <v>1927</v>
      </c>
      <c r="E17" s="2245" t="s">
        <v>1928</v>
      </c>
      <c r="F17" s="2246"/>
      <c r="G17" s="2247"/>
      <c r="H17" s="2248" t="s">
        <v>1940</v>
      </c>
      <c r="I17" s="2249" t="s">
        <v>1925</v>
      </c>
      <c r="J17" s="1395"/>
      <c r="K17" s="3050" t="s">
        <v>1941</v>
      </c>
      <c r="L17" s="3051"/>
      <c r="M17" s="3052"/>
      <c r="N17" s="3050" t="s">
        <v>1942</v>
      </c>
      <c r="O17" s="3051"/>
      <c r="P17" s="3052"/>
      <c r="R17" s="2227" t="s">
        <v>1943</v>
      </c>
      <c r="S17" s="64"/>
    </row>
    <row r="18" spans="1:19" ht="15">
      <c r="A18" s="2237"/>
      <c r="B18" s="2250"/>
      <c r="C18" s="2251"/>
      <c r="D18" s="2252"/>
      <c r="E18" s="2253" t="s">
        <v>1944</v>
      </c>
      <c r="F18" s="2254" t="s">
        <v>1945</v>
      </c>
      <c r="G18" s="2255" t="s">
        <v>1946</v>
      </c>
      <c r="H18" s="1265" t="s">
        <v>1947</v>
      </c>
      <c r="I18" s="2256" t="s">
        <v>1948</v>
      </c>
      <c r="J18" s="1395"/>
      <c r="K18" s="1265" t="s">
        <v>1949</v>
      </c>
      <c r="L18" s="2257" t="s">
        <v>1950</v>
      </c>
      <c r="M18" s="1049" t="s">
        <v>1951</v>
      </c>
      <c r="N18" s="1265" t="s">
        <v>1949</v>
      </c>
      <c r="O18" s="2257" t="s">
        <v>1950</v>
      </c>
      <c r="P18" s="1049" t="s">
        <v>1951</v>
      </c>
      <c r="R18" s="1250" t="s">
        <v>1952</v>
      </c>
      <c r="S18" s="1250" t="s">
        <v>1953</v>
      </c>
    </row>
    <row r="19" spans="1:19">
      <c r="A19" s="2258"/>
      <c r="B19" s="50" t="s">
        <v>1926</v>
      </c>
      <c r="C19" s="2939" t="s">
        <v>3051</v>
      </c>
      <c r="D19" s="48">
        <f>ROUND($D$3*E19/$E$3,2)</f>
        <v>0</v>
      </c>
      <c r="E19" s="56">
        <f t="shared" ref="E19:E26" si="1">SUM(F19:G19)</f>
        <v>91.52</v>
      </c>
      <c r="F19" s="57">
        <f>'数据-基础表'!I13</f>
        <v>91.52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0</v>
      </c>
      <c r="S19" s="1251">
        <f t="shared" si="5"/>
        <v>91.52</v>
      </c>
    </row>
    <row r="20" spans="1:19">
      <c r="A20" s="2262"/>
      <c r="B20" s="50" t="s">
        <v>1954</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1954</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1955</v>
      </c>
      <c r="D27" s="1396">
        <f>SUM(D19:D26)</f>
        <v>0</v>
      </c>
      <c r="E27" s="1397">
        <f>IF(SUM(E19:E26)='数据-基础表'!BA5,SUM(E19:E26),IF(F27="地上面积有误","面积有误","地下面积有误"))</f>
        <v>91.52</v>
      </c>
      <c r="F27" s="1396">
        <f>IF(SUM(F19:F26)=E8,SUM(F19:F26),"地上面积有误")</f>
        <v>91.52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91.52</v>
      </c>
    </row>
    <row r="28" spans="1:19">
      <c r="A28" s="2262"/>
      <c r="B28" s="50" t="s">
        <v>1956</v>
      </c>
      <c r="C28" s="1262" t="s">
        <v>1957</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1956</v>
      </c>
      <c r="C29" s="2266"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1955</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1959</v>
      </c>
      <c r="D31" s="729">
        <f>D27+D30</f>
        <v>0</v>
      </c>
      <c r="E31" s="729">
        <f>E27+E30</f>
        <v>91.52</v>
      </c>
      <c r="F31" s="730">
        <f>F27+F30</f>
        <v>91.52</v>
      </c>
      <c r="G31" s="731">
        <f>G27+G30</f>
        <v>0</v>
      </c>
      <c r="H31" s="1395"/>
      <c r="I31" s="1395"/>
      <c r="J31" s="1395"/>
      <c r="K31" s="1395"/>
      <c r="L31" s="1395"/>
      <c r="M31" s="1395"/>
      <c r="N31" s="1395"/>
      <c r="O31" s="1395"/>
      <c r="P31" s="1395"/>
    </row>
    <row r="32" spans="1:19">
      <c r="A32" s="2232"/>
      <c r="B32" s="2232" t="s">
        <v>1960</v>
      </c>
      <c r="C32" s="2232"/>
      <c r="D32" s="2232"/>
      <c r="E32" s="1277">
        <f>SUMIF(C19:C26,"*住宅*",E19:E26)</f>
        <v>91.52</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Y6" activePane="bottomRight" state="frozen"/>
      <selection activeCell="C50" sqref="C50"/>
      <selection pane="topRight" activeCell="C50" sqref="C50"/>
      <selection pane="bottomLeft" activeCell="C50" sqref="C50"/>
      <selection pane="bottomRight" activeCell="AD29" sqref="AD29"/>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1961</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5" t="s">
        <v>1962</v>
      </c>
      <c r="B2" s="1269">
        <f>项目基本情况!D3</f>
        <v>43249</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1963</v>
      </c>
      <c r="B4" s="2280"/>
      <c r="C4" s="2281"/>
      <c r="D4" s="2282"/>
      <c r="E4" s="2281" t="s">
        <v>1964</v>
      </c>
      <c r="F4" s="2281"/>
      <c r="G4" s="2281"/>
      <c r="H4" s="2281"/>
      <c r="I4" s="2281"/>
      <c r="J4" s="2283"/>
      <c r="K4" s="2284"/>
      <c r="L4" s="2285"/>
      <c r="M4" s="2281"/>
      <c r="N4" s="2281" t="s">
        <v>1965</v>
      </c>
      <c r="O4" s="2281"/>
      <c r="P4" s="2281"/>
      <c r="Q4" s="2281"/>
      <c r="R4" s="2281"/>
      <c r="S4" s="2283"/>
      <c r="T4" s="2286" t="str">
        <f>'数据-汇总表'!I17</f>
        <v>按面积比例</v>
      </c>
      <c r="U4" s="2280" t="s">
        <v>1966</v>
      </c>
      <c r="V4" s="2281"/>
      <c r="W4" s="2281"/>
      <c r="X4" s="2281"/>
      <c r="Y4" s="2283"/>
      <c r="Z4" s="2243" t="s">
        <v>1967</v>
      </c>
      <c r="AA4" s="2243"/>
      <c r="AB4" s="2243"/>
      <c r="AC4" s="2243"/>
      <c r="AD4" s="2243"/>
      <c r="AE4" s="2241" t="s">
        <v>1968</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1969</v>
      </c>
      <c r="B5" s="2289" t="s">
        <v>1970</v>
      </c>
      <c r="C5" s="2290" t="s">
        <v>1971</v>
      </c>
      <c r="D5" s="2291" t="s">
        <v>1972</v>
      </c>
      <c r="E5" s="1271" t="s">
        <v>1973</v>
      </c>
      <c r="F5" s="2292" t="s">
        <v>1974</v>
      </c>
      <c r="G5" s="1271" t="s">
        <v>1975</v>
      </c>
      <c r="H5" s="1271" t="s">
        <v>1976</v>
      </c>
      <c r="I5" s="1271" t="s">
        <v>1977</v>
      </c>
      <c r="J5" s="2293" t="s">
        <v>1978</v>
      </c>
      <c r="K5" s="2294" t="s">
        <v>1979</v>
      </c>
      <c r="L5" s="2295" t="s">
        <v>1980</v>
      </c>
      <c r="M5" s="2296" t="s">
        <v>1981</v>
      </c>
      <c r="N5" s="2297" t="s">
        <v>3052</v>
      </c>
      <c r="O5" s="2295" t="s">
        <v>1982</v>
      </c>
      <c r="P5" s="2298" t="s">
        <v>1983</v>
      </c>
      <c r="Q5" s="69" t="s">
        <v>1984</v>
      </c>
      <c r="R5" s="2299" t="s">
        <v>1985</v>
      </c>
      <c r="S5" s="2300" t="s">
        <v>1986</v>
      </c>
      <c r="T5" s="2301" t="s">
        <v>1987</v>
      </c>
      <c r="U5" s="1270" t="s">
        <v>1988</v>
      </c>
      <c r="V5" s="1271" t="s">
        <v>1989</v>
      </c>
      <c r="W5" s="1271" t="s">
        <v>1990</v>
      </c>
      <c r="X5" s="71"/>
      <c r="Y5" s="70" t="s">
        <v>1991</v>
      </c>
      <c r="Z5" s="2302" t="s">
        <v>1988</v>
      </c>
      <c r="AA5" s="1271" t="s">
        <v>1989</v>
      </c>
      <c r="AB5" s="1271" t="s">
        <v>1990</v>
      </c>
      <c r="AC5" s="71"/>
      <c r="AD5" s="71" t="s">
        <v>1991</v>
      </c>
      <c r="AE5" s="1270" t="s">
        <v>1992</v>
      </c>
      <c r="AF5" s="1271" t="s">
        <v>1993</v>
      </c>
      <c r="AG5" s="70" t="s">
        <v>1994</v>
      </c>
      <c r="AH5" s="1270" t="s">
        <v>1995</v>
      </c>
      <c r="AI5" s="2302" t="s">
        <v>1996</v>
      </c>
      <c r="AJ5" s="2302" t="s">
        <v>1997</v>
      </c>
      <c r="AK5" s="1271" t="s">
        <v>1998</v>
      </c>
      <c r="AL5" s="1271" t="s">
        <v>1999</v>
      </c>
      <c r="AM5" s="70" t="s">
        <v>2000</v>
      </c>
      <c r="AN5" s="2303" t="s">
        <v>2001</v>
      </c>
      <c r="AO5" s="2073" t="s">
        <v>2002</v>
      </c>
      <c r="AP5" s="1252" t="s">
        <v>2003</v>
      </c>
      <c r="AQ5" s="2304" t="s">
        <v>2004</v>
      </c>
      <c r="AR5" s="2304" t="s">
        <v>2005</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普通住宅</v>
      </c>
      <c r="B6" s="2306" t="str">
        <f>IF(A6=0,"","经营性")</f>
        <v>经营性</v>
      </c>
      <c r="C6" s="2307" t="s">
        <v>3049</v>
      </c>
      <c r="D6" s="1054">
        <f>SUMIF(项目基本情况!D$12:I$12,C6,项目基本情况!D$14:I$14)</f>
        <v>70</v>
      </c>
      <c r="E6" s="1051">
        <f>IF(B6="","",SUMIF(项目基本情况!D$12:I$12,C6,项目基本情况!D$13:I$13))</f>
        <v>62090</v>
      </c>
      <c r="F6" s="72">
        <f>SUMIF(项目基本情况!D$12:I$12,C6,项目基本情况!D$15:I$15)</f>
        <v>51.61</v>
      </c>
      <c r="G6" s="73">
        <f>IF(ISERROR(ROUND(POWER(1+H6,D6-F6)*(POWER(1+H6,F6)-1)/(POWER(1+H6,D6)-1),3)),0,ROUND(POWER(1+H6,D6-F6)*(POWER(1+H6,F6)-1)/(POWER(1+H6,D6)-1),3))</f>
        <v>0.92700000000000005</v>
      </c>
      <c r="H6" s="802">
        <v>0.04</v>
      </c>
      <c r="I6" s="802">
        <v>4.4999999999999998E-2</v>
      </c>
      <c r="J6" s="74">
        <v>8.5000000000000006E-2</v>
      </c>
      <c r="K6" s="1254">
        <f>SUMIF('数据-汇总表'!C$19:C$33,A6,'数据-汇总表'!E$19:E$33)</f>
        <v>91.52</v>
      </c>
      <c r="L6" s="803">
        <v>2000</v>
      </c>
      <c r="M6" s="75">
        <f t="shared" ref="M6:M14" si="0">ROUND(K6*L6/10000,0)</f>
        <v>18</v>
      </c>
      <c r="N6" s="801">
        <f>ROUND(1-(1-0%)*(2018-2000)/60,2)</f>
        <v>0.7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6300</v>
      </c>
      <c r="V6" s="79">
        <v>0.03</v>
      </c>
      <c r="W6" s="79">
        <v>0.05</v>
      </c>
      <c r="X6" s="1264"/>
      <c r="Y6" s="80">
        <f>N6</f>
        <v>0.7</v>
      </c>
      <c r="Z6" s="81"/>
      <c r="AA6" s="74"/>
      <c r="AB6" s="74"/>
      <c r="AC6" s="1264"/>
      <c r="AD6" s="82"/>
      <c r="AE6" s="1265">
        <f ca="1">IF(AN6="",0,SUMIF(INDIRECT("'"&amp;AN6&amp;"'"&amp;"!E:E"),$AE$5,INDIRECT("'"&amp;AN6&amp;"'"&amp;"!F:F")))</f>
        <v>42</v>
      </c>
      <c r="AF6" s="1806"/>
      <c r="AG6" s="147">
        <f>IF(AF6="",0,AE6-AF6)</f>
        <v>0</v>
      </c>
      <c r="AH6" s="83">
        <v>1</v>
      </c>
      <c r="AI6" s="85">
        <v>12</v>
      </c>
      <c r="AJ6" s="86"/>
      <c r="AK6" s="2972">
        <v>1.4999999999999999E-2</v>
      </c>
      <c r="AL6" s="88">
        <v>1.5E-3</v>
      </c>
      <c r="AM6" s="89">
        <v>0.01</v>
      </c>
      <c r="AN6" s="2308" t="s">
        <v>3053</v>
      </c>
      <c r="AO6" s="55">
        <f ca="1">SUMIF(INDIRECT("'"&amp;AN6&amp;"'"&amp;"!A:A"),"总价",INDIRECT("'"&amp;AN6&amp;"'"&amp;"!B:B"))</f>
        <v>191</v>
      </c>
      <c r="AP6" s="2309">
        <f>IF(C6="住宅",K6*L6,0)</f>
        <v>183040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2006</v>
      </c>
      <c r="B14" s="2306" t="s">
        <v>2007</v>
      </c>
      <c r="C14" s="2311" t="s">
        <v>2006</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2008</v>
      </c>
      <c r="B15" s="2306" t="s">
        <v>2007</v>
      </c>
      <c r="C15" s="2311" t="s">
        <v>2009</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2010</v>
      </c>
      <c r="B16" s="97"/>
      <c r="C16" s="1008"/>
      <c r="D16" s="2313"/>
      <c r="E16" s="97"/>
      <c r="F16" s="97"/>
      <c r="G16" s="98">
        <f>ROUND(SUMPRODUCT(G6:G13,K6:K13)/SUMPRODUCT((G6:G13&gt;0)*(K6:K13)),3)</f>
        <v>0.92700000000000005</v>
      </c>
      <c r="H16" s="99">
        <f>ROUND(SUMPRODUCT(H6:H13,K6:K13)/SUMPRODUCT((H6:H13&gt;0)*(K6:K13)),3)</f>
        <v>0.04</v>
      </c>
      <c r="I16" s="100"/>
      <c r="J16" s="100"/>
      <c r="K16" s="101">
        <f>SUM(K6:K15)</f>
        <v>91.52</v>
      </c>
      <c r="L16" s="102">
        <f>ROUND(M16*10000/SUM(K6:K14),0)</f>
        <v>1967</v>
      </c>
      <c r="M16" s="102">
        <f>SUM(M6:M14)</f>
        <v>18</v>
      </c>
      <c r="N16" s="103">
        <f>ROUND(SUMPRODUCT(M6:M14,N6:N14)/M16,3)</f>
        <v>0.7</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2011</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2012</v>
      </c>
      <c r="B19" s="112">
        <v>0</v>
      </c>
      <c r="C19" s="2276" t="s">
        <v>2013</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2014</v>
      </c>
      <c r="B20" s="113">
        <v>1</v>
      </c>
      <c r="C20" s="2276" t="s">
        <v>2015</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2016</v>
      </c>
      <c r="B21" s="113">
        <v>1</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2017</v>
      </c>
      <c r="B22" s="114">
        <f>B19+B20</f>
        <v>1</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2018</v>
      </c>
      <c r="B23" s="114">
        <f>B19+B21</f>
        <v>1</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2019</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2020</v>
      </c>
      <c r="B26" s="2319" t="s">
        <v>2021</v>
      </c>
      <c r="C26" s="2320" t="s">
        <v>2022</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2023</v>
      </c>
      <c r="B27" s="116">
        <v>200</v>
      </c>
      <c r="C27" s="1767" t="s">
        <v>2024</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2025</v>
      </c>
      <c r="B28" s="119"/>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2026</v>
      </c>
      <c r="B29" s="121">
        <f>ROUND(B27*K16/10000,0)</f>
        <v>2</v>
      </c>
      <c r="C29" s="1767" t="s">
        <v>2027</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2028</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2029</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2030</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2031</v>
      </c>
      <c r="B33" s="726">
        <v>0.03</v>
      </c>
      <c r="C33" s="1766" t="s">
        <v>2032</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2033</v>
      </c>
      <c r="B34" s="122">
        <v>0.03</v>
      </c>
      <c r="C34" s="1766" t="s">
        <v>2034</v>
      </c>
      <c r="D34" s="2277" t="s">
        <v>2035</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2036</v>
      </c>
      <c r="B35" s="119">
        <v>200</v>
      </c>
      <c r="C35" s="1766" t="s">
        <v>2037</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2038</v>
      </c>
      <c r="B36" s="123">
        <v>1.4999999999999999E-2</v>
      </c>
      <c r="C36" s="1766" t="s">
        <v>2039</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2040</v>
      </c>
      <c r="B37" s="124">
        <v>0.01</v>
      </c>
      <c r="C37" s="1766" t="s">
        <v>2041</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2042</v>
      </c>
      <c r="B38" s="122">
        <v>0.01</v>
      </c>
      <c r="C38" s="1766" t="s">
        <v>2041</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2043</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2044</v>
      </c>
      <c r="B40" s="1303">
        <f ca="1">存贷款利率!G1</f>
        <v>4.3499999999999997E-2</v>
      </c>
      <c r="C40" s="1766" t="s">
        <v>2045</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2046</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2047</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2048</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2049</v>
      </c>
      <c r="B44" s="128">
        <v>7.0000000000000007E-2</v>
      </c>
      <c r="C44" s="1766" t="s">
        <v>2050</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2051</v>
      </c>
      <c r="B45" s="126">
        <v>0.03</v>
      </c>
      <c r="C45" s="1767" t="s">
        <v>2052</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2053</v>
      </c>
      <c r="B46" s="126">
        <v>0.02</v>
      </c>
      <c r="C46" s="1767" t="s">
        <v>2054</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2055</v>
      </c>
      <c r="B47" s="129">
        <v>0</v>
      </c>
      <c r="C47" s="1767" t="s">
        <v>2056</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2057</v>
      </c>
      <c r="B48" s="130">
        <v>0.03</v>
      </c>
      <c r="C48" s="1773" t="s">
        <v>2058</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2059</v>
      </c>
      <c r="B49" s="126">
        <v>5.0000000000000001E-4</v>
      </c>
      <c r="C49" s="1773" t="s">
        <v>2060</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2061</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2062</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2063</v>
      </c>
      <c r="B52" s="133">
        <f>SUMIF(A54:A63,B53,B54:B63)</f>
        <v>3</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2064</v>
      </c>
      <c r="B53" s="2335" t="s">
        <v>523</v>
      </c>
      <c r="C53" s="1430" t="s">
        <v>2065</v>
      </c>
      <c r="D53" s="2336" t="s">
        <v>2066</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2067</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2068</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2069</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2070</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2071</v>
      </c>
      <c r="B58" s="2967">
        <v>3</v>
      </c>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2072</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2073</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2074</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2075</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2076</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65" t="s">
        <v>2077</v>
      </c>
      <c r="B1" s="3066"/>
      <c r="C1" s="3066"/>
      <c r="D1" s="3066"/>
      <c r="E1" s="3066"/>
      <c r="F1" s="3066"/>
      <c r="G1" s="3066"/>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2078</v>
      </c>
      <c r="D2" s="2365"/>
      <c r="E2" s="2366"/>
      <c r="F2" s="2285"/>
      <c r="G2" s="2364" t="s">
        <v>2079</v>
      </c>
      <c r="H2" s="2367"/>
      <c r="I2" s="2367"/>
      <c r="J2" s="2367"/>
      <c r="K2" s="2367"/>
      <c r="L2" s="2367"/>
      <c r="M2" s="2367"/>
      <c r="N2" s="2367"/>
      <c r="O2" s="2367"/>
      <c r="P2" s="2367"/>
      <c r="Q2" s="2367"/>
      <c r="R2" s="2367"/>
    </row>
    <row r="3" spans="1:29" ht="27">
      <c r="A3" s="415" t="s">
        <v>2080</v>
      </c>
      <c r="B3" s="1271" t="s">
        <v>2081</v>
      </c>
      <c r="C3" s="2940" t="s">
        <v>3055</v>
      </c>
      <c r="D3" s="2369"/>
      <c r="E3" s="431" t="s">
        <v>2080</v>
      </c>
      <c r="F3" s="2370" t="s">
        <v>2082</v>
      </c>
      <c r="G3" s="2371"/>
      <c r="H3" s="2367"/>
      <c r="I3" s="2367"/>
      <c r="J3" s="2367"/>
      <c r="K3" s="2367"/>
      <c r="L3" s="2367"/>
      <c r="M3" s="2367"/>
      <c r="N3" s="2367"/>
      <c r="O3" s="2367"/>
      <c r="P3" s="2367"/>
      <c r="Q3" s="2367"/>
      <c r="R3" s="2367"/>
    </row>
    <row r="4" spans="1:29" ht="15">
      <c r="A4" s="431"/>
      <c r="B4" s="1797" t="s">
        <v>2083</v>
      </c>
      <c r="C4" s="2372"/>
      <c r="D4" s="2369"/>
      <c r="E4" s="2373"/>
      <c r="F4" s="42" t="s">
        <v>2084</v>
      </c>
      <c r="G4" s="2374"/>
      <c r="H4" s="2367"/>
      <c r="I4" s="2367"/>
      <c r="J4" s="2367"/>
      <c r="K4" s="2367"/>
      <c r="L4" s="2367"/>
      <c r="M4" s="2367"/>
      <c r="N4" s="2367"/>
      <c r="O4" s="2367"/>
      <c r="P4" s="2367"/>
      <c r="Q4" s="2367"/>
      <c r="R4" s="2367"/>
    </row>
    <row r="5" spans="1:29" ht="15">
      <c r="A5" s="431"/>
      <c r="B5" s="1797" t="s">
        <v>2085</v>
      </c>
      <c r="C5" s="2372"/>
      <c r="D5" s="2369"/>
      <c r="E5" s="2373"/>
      <c r="F5" s="1797" t="s">
        <v>2086</v>
      </c>
      <c r="G5" s="2374"/>
      <c r="H5" s="2367"/>
      <c r="I5" s="2367"/>
      <c r="J5" s="2367"/>
      <c r="K5" s="2367"/>
      <c r="L5" s="2367"/>
      <c r="M5" s="2367"/>
      <c r="N5" s="2367"/>
      <c r="O5" s="2367"/>
      <c r="P5" s="2367"/>
      <c r="Q5" s="2367"/>
      <c r="R5" s="2367"/>
    </row>
    <row r="6" spans="1:29" ht="15">
      <c r="A6" s="431"/>
      <c r="B6" s="1797" t="s">
        <v>2087</v>
      </c>
      <c r="C6" s="2941" t="s">
        <v>3056</v>
      </c>
      <c r="D6" s="2369"/>
      <c r="E6" s="2373"/>
      <c r="F6" s="1797" t="s">
        <v>2088</v>
      </c>
      <c r="G6" s="2374"/>
      <c r="H6" s="2367"/>
      <c r="I6" s="2367"/>
      <c r="J6" s="2367"/>
      <c r="K6" s="2367"/>
      <c r="L6" s="2367"/>
      <c r="M6" s="2367"/>
      <c r="N6" s="2367"/>
      <c r="O6" s="2367"/>
      <c r="P6" s="2367"/>
      <c r="Q6" s="2367"/>
      <c r="R6" s="2367"/>
    </row>
    <row r="7" spans="1:29" ht="15.75" thickBot="1">
      <c r="A7" s="431"/>
      <c r="B7" s="1797" t="s">
        <v>2086</v>
      </c>
      <c r="C7" s="2941" t="s">
        <v>3056</v>
      </c>
      <c r="D7" s="2375"/>
      <c r="E7" s="2376"/>
      <c r="F7" s="2377" t="s">
        <v>2089</v>
      </c>
      <c r="G7" s="2378"/>
      <c r="H7" s="2367"/>
      <c r="I7" s="2367"/>
      <c r="J7" s="2367"/>
      <c r="K7" s="2367"/>
      <c r="L7" s="2367"/>
      <c r="M7" s="2367"/>
      <c r="N7" s="2367"/>
      <c r="O7" s="2367"/>
      <c r="P7" s="2367"/>
      <c r="Q7" s="2367"/>
      <c r="R7" s="2367"/>
    </row>
    <row r="8" spans="1:29" ht="15">
      <c r="A8" s="431"/>
      <c r="B8" s="1797" t="s">
        <v>2088</v>
      </c>
      <c r="C8" s="2941" t="s">
        <v>3058</v>
      </c>
      <c r="D8" s="2375"/>
      <c r="E8" s="2375"/>
      <c r="F8" s="1136"/>
      <c r="G8" s="1136"/>
      <c r="H8" s="2367"/>
      <c r="I8" s="2367"/>
      <c r="J8" s="2367"/>
      <c r="K8" s="2367"/>
      <c r="L8" s="2367"/>
      <c r="M8" s="2367"/>
      <c r="N8" s="2367"/>
      <c r="O8" s="2367"/>
      <c r="P8" s="2367"/>
      <c r="Q8" s="2367"/>
      <c r="R8" s="2367"/>
    </row>
    <row r="9" spans="1:29" ht="15">
      <c r="A9" s="431"/>
      <c r="B9" s="1797" t="s">
        <v>2090</v>
      </c>
      <c r="C9" s="2942" t="s">
        <v>3056</v>
      </c>
      <c r="D9" s="2369"/>
      <c r="E9" s="2375"/>
      <c r="F9" s="1136"/>
      <c r="G9" s="1136"/>
      <c r="H9" s="2367"/>
      <c r="I9" s="2367"/>
      <c r="J9" s="2367"/>
      <c r="K9" s="2367"/>
      <c r="L9" s="2367"/>
      <c r="M9" s="2367"/>
      <c r="N9" s="2367"/>
      <c r="O9" s="2367"/>
      <c r="P9" s="2367"/>
      <c r="Q9" s="2367"/>
      <c r="R9" s="2367"/>
    </row>
    <row r="10" spans="1:29" s="117" customFormat="1" ht="15.75" thickBot="1">
      <c r="A10" s="2379"/>
      <c r="B10" s="2380" t="s">
        <v>2091</v>
      </c>
      <c r="C10" s="2381" t="s">
        <v>3111</v>
      </c>
      <c r="D10" s="2369"/>
      <c r="E10" s="2369"/>
      <c r="F10" s="1136"/>
      <c r="G10" s="1136"/>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5"/>
      <c r="C12" s="2369"/>
      <c r="D12" s="2386"/>
      <c r="E12" s="2369"/>
      <c r="F12" s="2375"/>
      <c r="G12" s="1154"/>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2092</v>
      </c>
      <c r="B13" s="2386"/>
      <c r="C13" s="2386"/>
      <c r="D13" s="2393"/>
      <c r="E13" s="2386"/>
      <c r="F13" s="2386"/>
      <c r="G13" s="2386"/>
    </row>
    <row r="14" spans="1:29" ht="15.75" thickBot="1">
      <c r="A14" s="2397"/>
      <c r="B14" s="2398"/>
      <c r="C14" s="2399" t="s">
        <v>2093</v>
      </c>
      <c r="D14" s="2369"/>
      <c r="E14" s="2400"/>
      <c r="F14" s="2400"/>
      <c r="G14" s="2364" t="s">
        <v>2094</v>
      </c>
    </row>
    <row r="15" spans="1:29" ht="27">
      <c r="A15" s="68" t="s">
        <v>2095</v>
      </c>
      <c r="B15" s="1270" t="s">
        <v>2081</v>
      </c>
      <c r="C15" s="2401" t="str">
        <f>C3</f>
        <v>较好</v>
      </c>
      <c r="D15" s="2369"/>
      <c r="E15" s="2402" t="s">
        <v>2096</v>
      </c>
      <c r="F15" s="1270" t="s">
        <v>2097</v>
      </c>
      <c r="G15" s="135">
        <f>G3</f>
        <v>0</v>
      </c>
    </row>
    <row r="16" spans="1:29" ht="15">
      <c r="A16" s="645"/>
      <c r="B16" s="2403" t="s">
        <v>2083</v>
      </c>
      <c r="C16" s="2404">
        <f>C4</f>
        <v>0</v>
      </c>
      <c r="D16" s="2369"/>
      <c r="E16" s="2405"/>
      <c r="F16" s="2406" t="s">
        <v>2084</v>
      </c>
      <c r="G16" s="136">
        <f>G4</f>
        <v>0</v>
      </c>
    </row>
    <row r="17" spans="1:18" ht="15">
      <c r="A17" s="645"/>
      <c r="B17" s="2403" t="s">
        <v>2085</v>
      </c>
      <c r="C17" s="2404">
        <f>C5</f>
        <v>0</v>
      </c>
      <c r="D17" s="2375"/>
      <c r="E17" s="2405"/>
      <c r="F17" s="2406" t="s">
        <v>2098</v>
      </c>
      <c r="G17" s="1572"/>
    </row>
    <row r="18" spans="1:18" ht="15">
      <c r="A18" s="645"/>
      <c r="B18" s="2406" t="s">
        <v>2087</v>
      </c>
      <c r="C18" s="136" t="str">
        <f>C6</f>
        <v>较好</v>
      </c>
      <c r="D18" s="2375"/>
      <c r="E18" s="2405"/>
      <c r="F18" s="2406" t="s">
        <v>2089</v>
      </c>
      <c r="G18" s="136">
        <f>G7</f>
        <v>0</v>
      </c>
    </row>
    <row r="19" spans="1:18" ht="15">
      <c r="A19" s="645"/>
      <c r="B19" s="2406" t="s">
        <v>2099</v>
      </c>
      <c r="C19" s="1572"/>
      <c r="D19" s="2369"/>
      <c r="E19" s="2405"/>
      <c r="F19" s="1797" t="s">
        <v>2086</v>
      </c>
      <c r="G19" s="136">
        <f>G5</f>
        <v>0</v>
      </c>
    </row>
    <row r="20" spans="1:18" ht="15">
      <c r="A20" s="645"/>
      <c r="B20" s="2406" t="s">
        <v>2100</v>
      </c>
      <c r="C20" s="2404" t="str">
        <f>C9</f>
        <v>较好</v>
      </c>
      <c r="D20" s="2375"/>
      <c r="E20" s="2405"/>
      <c r="F20" s="1797" t="s">
        <v>2101</v>
      </c>
      <c r="G20" s="136">
        <f>G6</f>
        <v>0</v>
      </c>
    </row>
    <row r="21" spans="1:18" ht="15">
      <c r="A21" s="645"/>
      <c r="B21" s="1797" t="s">
        <v>2086</v>
      </c>
      <c r="C21" s="136" t="str">
        <f>C7</f>
        <v>较好</v>
      </c>
      <c r="D21" s="2369"/>
      <c r="E21" s="2405"/>
      <c r="F21" s="2406" t="s">
        <v>2102</v>
      </c>
      <c r="G21" s="2407"/>
    </row>
    <row r="22" spans="1:18" ht="13.5" customHeight="1">
      <c r="A22" s="645"/>
      <c r="B22" s="1797" t="s">
        <v>2088</v>
      </c>
      <c r="C22" s="136" t="str">
        <f>C8</f>
        <v>七通</v>
      </c>
      <c r="D22" s="2369"/>
      <c r="E22" s="2405"/>
      <c r="F22" s="2406" t="s">
        <v>2091</v>
      </c>
      <c r="G22" s="1572"/>
    </row>
    <row r="23" spans="1:18" s="2367" customFormat="1" ht="15.75" thickBot="1">
      <c r="A23" s="645"/>
      <c r="B23" s="2406" t="s">
        <v>2102</v>
      </c>
      <c r="C23" s="2407"/>
      <c r="D23" s="2394"/>
      <c r="E23" s="2408"/>
      <c r="F23" s="2409" t="s">
        <v>2103</v>
      </c>
      <c r="G23" s="2410"/>
      <c r="H23" s="2394"/>
      <c r="I23" s="2395"/>
      <c r="J23" s="2394"/>
      <c r="K23" s="2394"/>
      <c r="L23" s="2395"/>
      <c r="M23" s="2394"/>
      <c r="N23" s="2394"/>
      <c r="O23" s="2395"/>
      <c r="P23" s="2394"/>
      <c r="Q23" s="2394"/>
      <c r="R23" s="2396"/>
    </row>
    <row r="24" spans="1:18" s="2367" customFormat="1" ht="15.75" thickBot="1">
      <c r="A24" s="2411"/>
      <c r="B24" s="2409" t="s">
        <v>2104</v>
      </c>
      <c r="C24" s="137" t="str">
        <f>C10</f>
        <v>高速公路-京通快速路</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5" sqref="H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91.52</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43249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457</v>
      </c>
      <c r="C5" s="1746">
        <f ca="1">ROUND(B5*10000/$B$1,0)</f>
        <v>49934</v>
      </c>
      <c r="D5" s="1746" t="e">
        <f ca="1">ROUND(B5*10000/$B$2,0)</f>
        <v>#DIV/0!</v>
      </c>
      <c r="E5" s="1745"/>
      <c r="F5" s="1743"/>
      <c r="G5" s="1743"/>
    </row>
    <row r="6" spans="1:10" ht="16.5">
      <c r="A6" s="1746" t="s">
        <v>1356</v>
      </c>
      <c r="B6" s="1746">
        <f ca="1">SUM(G14:G23)</f>
        <v>457</v>
      </c>
      <c r="C6" s="1746">
        <f ca="1">ROUND(B6*10000/$B$1,0)</f>
        <v>49934</v>
      </c>
      <c r="D6" s="1746" t="e">
        <f ca="1">ROUND(B6*10000/$B$2,0)</f>
        <v>#DIV/0!</v>
      </c>
      <c r="E6" s="1745"/>
      <c r="F6" s="1743"/>
      <c r="G6" s="1743"/>
    </row>
    <row r="7" spans="1:10" ht="16.5">
      <c r="A7" s="1746" t="s">
        <v>1364</v>
      </c>
      <c r="B7" s="1746">
        <f ca="1">SUM(H14:H23)</f>
        <v>457</v>
      </c>
      <c r="C7" s="1746">
        <f ca="1">ROUND(B7*10000/$B$1,0)</f>
        <v>49934</v>
      </c>
      <c r="D7" s="1746" t="e">
        <f ca="1">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'数据-基础表'!B3</f>
        <v>91.52</v>
      </c>
      <c r="C14" s="1744">
        <f>结果表!C118</f>
        <v>0</v>
      </c>
      <c r="D14" s="1744">
        <f ca="1">典型户型修正!S22</f>
        <v>457</v>
      </c>
      <c r="E14" s="1744">
        <f ca="1">ROUND(D14*10000/B14,0)</f>
        <v>49934</v>
      </c>
      <c r="F14" s="1744" t="e">
        <f ca="1">ROUND(D14*10000/C14,0)</f>
        <v>#DIV/0!</v>
      </c>
      <c r="G14" s="1744">
        <f ca="1">结果表!D122</f>
        <v>457</v>
      </c>
      <c r="H14" s="1744">
        <f ca="1">D14</f>
        <v>457</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6" zoomScaleNormal="100" zoomScaleSheetLayoutView="100" zoomScalePageLayoutView="80" workbookViewId="0">
      <selection activeCell="I25" sqref="I25"/>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2105</v>
      </c>
      <c r="B1" s="2417"/>
      <c r="C1" s="2418" t="s">
        <v>3050</v>
      </c>
      <c r="D1" s="2417"/>
      <c r="E1" s="2417"/>
      <c r="F1" s="2419" t="s">
        <v>2106</v>
      </c>
      <c r="G1" s="2070" t="s">
        <v>3040</v>
      </c>
      <c r="H1" s="2420" t="str">
        <f>IF(G1="现房","——","估价对象范围")</f>
        <v>——</v>
      </c>
      <c r="I1" s="2421" t="s">
        <v>3091</v>
      </c>
    </row>
    <row r="2" spans="1:12" ht="21.75" customHeight="1" thickBot="1">
      <c r="A2" s="3100" t="str">
        <f>项目基本情况!S2</f>
        <v>北京市朝阳区建国路29号兴隆家园38号楼4门102号住宅用房房地产</v>
      </c>
      <c r="B2" s="3101"/>
      <c r="C2" s="3101"/>
      <c r="D2" s="3101"/>
      <c r="E2" s="3101"/>
      <c r="F2" s="3101"/>
      <c r="G2" s="3101"/>
      <c r="H2" s="3101"/>
      <c r="I2" s="3102"/>
    </row>
    <row r="3" spans="1:12" ht="12.75">
      <c r="A3" s="3104" t="s">
        <v>2107</v>
      </c>
      <c r="B3" s="3105"/>
      <c r="C3" s="3105"/>
      <c r="D3" s="3105"/>
      <c r="E3" s="3105"/>
      <c r="F3" s="3105"/>
      <c r="G3" s="3105"/>
      <c r="H3" s="3105"/>
      <c r="I3" s="3105"/>
    </row>
    <row r="4" spans="1:12" ht="14.25">
      <c r="A4" s="2424" t="s">
        <v>2108</v>
      </c>
      <c r="B4" s="2425" t="s">
        <v>2109</v>
      </c>
      <c r="C4" s="2426" t="s">
        <v>3090</v>
      </c>
      <c r="D4" s="2426" t="s">
        <v>3053</v>
      </c>
      <c r="E4" s="3097" t="s">
        <v>2110</v>
      </c>
      <c r="F4" s="3098"/>
      <c r="G4" s="3098"/>
      <c r="H4" s="3098"/>
      <c r="I4" s="3106"/>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80" t="s">
        <v>2111</v>
      </c>
      <c r="B5" s="3018">
        <v>25</v>
      </c>
      <c r="C5" s="3083"/>
      <c r="D5" s="3103"/>
      <c r="E5" s="140" t="s">
        <v>2112</v>
      </c>
      <c r="F5" s="2428"/>
      <c r="G5" s="2428"/>
      <c r="H5" s="2428"/>
      <c r="I5" s="1833"/>
    </row>
    <row r="6" spans="1:12" ht="12.75">
      <c r="A6" s="3080"/>
      <c r="B6" s="3018"/>
      <c r="C6" s="3084"/>
      <c r="D6" s="3103"/>
      <c r="E6" s="140" t="s">
        <v>2113</v>
      </c>
      <c r="F6" s="2428"/>
      <c r="G6" s="2428"/>
      <c r="H6" s="2428"/>
      <c r="I6" s="1833"/>
    </row>
    <row r="7" spans="1:12" ht="12.75">
      <c r="A7" s="3080"/>
      <c r="B7" s="3018"/>
      <c r="C7" s="3085"/>
      <c r="D7" s="3103"/>
      <c r="E7" s="140" t="s">
        <v>2114</v>
      </c>
      <c r="F7" s="2428"/>
      <c r="G7" s="2428"/>
      <c r="H7" s="2428"/>
      <c r="I7" s="1833"/>
    </row>
    <row r="8" spans="1:12" ht="12.75">
      <c r="A8" s="3080" t="s">
        <v>2115</v>
      </c>
      <c r="B8" s="3018">
        <v>15</v>
      </c>
      <c r="C8" s="3083"/>
      <c r="D8" s="3103"/>
      <c r="E8" s="140" t="s">
        <v>2116</v>
      </c>
      <c r="F8" s="2428"/>
      <c r="G8" s="2428"/>
      <c r="H8" s="2428"/>
      <c r="I8" s="1833"/>
    </row>
    <row r="9" spans="1:12" ht="12.75">
      <c r="A9" s="3080"/>
      <c r="B9" s="3018"/>
      <c r="C9" s="3085"/>
      <c r="D9" s="3103"/>
      <c r="E9" s="140" t="s">
        <v>2117</v>
      </c>
      <c r="F9" s="2428"/>
      <c r="G9" s="2428"/>
      <c r="H9" s="2428"/>
      <c r="I9" s="1833"/>
    </row>
    <row r="10" spans="1:12" ht="12.75">
      <c r="A10" s="3080" t="s">
        <v>2118</v>
      </c>
      <c r="B10" s="3018">
        <v>15</v>
      </c>
      <c r="C10" s="3083"/>
      <c r="D10" s="3103"/>
      <c r="E10" s="140" t="s">
        <v>2119</v>
      </c>
      <c r="F10" s="2428"/>
      <c r="G10" s="2428"/>
      <c r="H10" s="2428"/>
      <c r="I10" s="1833"/>
    </row>
    <row r="11" spans="1:12" ht="12.75">
      <c r="A11" s="3080"/>
      <c r="B11" s="3018"/>
      <c r="C11" s="3085"/>
      <c r="D11" s="3103"/>
      <c r="E11" s="140" t="s">
        <v>2120</v>
      </c>
      <c r="F11" s="2428"/>
      <c r="G11" s="2428"/>
      <c r="H11" s="2428"/>
      <c r="I11" s="1833"/>
    </row>
    <row r="12" spans="1:12" ht="12.75">
      <c r="A12" s="3080" t="s">
        <v>2121</v>
      </c>
      <c r="B12" s="3018">
        <v>15</v>
      </c>
      <c r="C12" s="3083"/>
      <c r="D12" s="3103"/>
      <c r="E12" s="140" t="s">
        <v>2122</v>
      </c>
      <c r="F12" s="2428"/>
      <c r="G12" s="2428"/>
      <c r="H12" s="2428"/>
      <c r="I12" s="1833"/>
    </row>
    <row r="13" spans="1:12" ht="12.75">
      <c r="A13" s="3080"/>
      <c r="B13" s="3018"/>
      <c r="C13" s="3085"/>
      <c r="D13" s="3103"/>
      <c r="E13" s="140" t="s">
        <v>2123</v>
      </c>
      <c r="F13" s="2428"/>
      <c r="G13" s="2428"/>
      <c r="H13" s="2428"/>
      <c r="I13" s="1833"/>
    </row>
    <row r="14" spans="1:12" ht="12.75">
      <c r="A14" s="3080" t="s">
        <v>2124</v>
      </c>
      <c r="B14" s="3018">
        <v>30</v>
      </c>
      <c r="C14" s="3083">
        <v>8</v>
      </c>
      <c r="D14" s="3103">
        <v>2</v>
      </c>
      <c r="E14" s="140" t="s">
        <v>2125</v>
      </c>
      <c r="F14" s="2428"/>
      <c r="G14" s="2428"/>
      <c r="H14" s="2428"/>
      <c r="I14" s="1833"/>
    </row>
    <row r="15" spans="1:12" ht="12.75">
      <c r="A15" s="3080"/>
      <c r="B15" s="3018"/>
      <c r="C15" s="3084"/>
      <c r="D15" s="3103"/>
      <c r="E15" s="140" t="s">
        <v>2126</v>
      </c>
      <c r="F15" s="2428"/>
      <c r="G15" s="2428"/>
      <c r="H15" s="2428"/>
      <c r="I15" s="1833"/>
    </row>
    <row r="16" spans="1:12" ht="12.75">
      <c r="A16" s="3080"/>
      <c r="B16" s="3018"/>
      <c r="C16" s="3085"/>
      <c r="D16" s="3103"/>
      <c r="E16" s="140" t="s">
        <v>2127</v>
      </c>
      <c r="F16" s="2428"/>
      <c r="G16" s="2428"/>
      <c r="H16" s="2428"/>
      <c r="I16" s="1833"/>
    </row>
    <row r="17" spans="1:35" ht="15">
      <c r="A17" s="2429" t="s">
        <v>2128</v>
      </c>
      <c r="B17" s="64"/>
      <c r="C17" s="141">
        <f>SUM(C5:C16)</f>
        <v>8</v>
      </c>
      <c r="D17" s="141">
        <f>SUM(D5:D16)</f>
        <v>2</v>
      </c>
      <c r="E17" s="138"/>
      <c r="F17" s="138"/>
      <c r="G17" s="138"/>
      <c r="H17" s="138"/>
      <c r="I17" s="138"/>
      <c r="K17" s="2427"/>
      <c r="L17" s="2430" t="s">
        <v>2129</v>
      </c>
      <c r="M17" s="2430" t="s">
        <v>2130</v>
      </c>
    </row>
    <row r="18" spans="1:35" ht="15.75" thickBot="1">
      <c r="A18" s="2431" t="s">
        <v>2131</v>
      </c>
      <c r="B18" s="2432"/>
      <c r="C18" s="142">
        <f>ROUND(C17/SUM(C17:D17),2)</f>
        <v>0.8</v>
      </c>
      <c r="D18" s="142">
        <f>1-C18</f>
        <v>0.19999999999999996</v>
      </c>
      <c r="E18" s="138"/>
      <c r="F18" s="138"/>
      <c r="G18" s="138"/>
      <c r="H18" s="138"/>
      <c r="I18" s="138"/>
      <c r="K18" s="2427" t="s">
        <v>2132</v>
      </c>
      <c r="L18" s="2427">
        <f>IF(C1="",'数据-汇总表'!E3,SUMIF(项目类型,C1,'数据-汇总表'!E17:E26)+SUMIF(项目类型,C1,'数据-汇总表'!I17:I26))</f>
        <v>91.52</v>
      </c>
      <c r="M18" s="2427">
        <f>IF(C1="",'数据-汇总表'!E3,SUMIF(项目类型,C1,'数据-汇总表'!E17:E26))</f>
        <v>91.52</v>
      </c>
    </row>
    <row r="19" spans="1:35" ht="15">
      <c r="A19" s="2433" t="s">
        <v>2133</v>
      </c>
      <c r="B19" s="2434" t="s">
        <v>2134</v>
      </c>
      <c r="C19" s="143">
        <f ca="1">SUMIF(INDIRECT("'"&amp;C4&amp;"'"&amp;"!A:A"),结果表!B19,INDIRECT("'"&amp;C4&amp;"'"&amp;"!B:B"))</f>
        <v>523</v>
      </c>
      <c r="D19" s="144">
        <f ca="1">SUMIF(INDIRECT("'"&amp;D4&amp;"'"&amp;"!A:A"),结果表!B19,INDIRECT("'"&amp;D4&amp;"'"&amp;"!B:B"))</f>
        <v>191</v>
      </c>
      <c r="E19" s="2433" t="s">
        <v>2135</v>
      </c>
      <c r="F19" s="2434" t="s">
        <v>2134</v>
      </c>
      <c r="G19" s="145">
        <f ca="1">ROUND(C19*$C$18+D19*$D$18,0)</f>
        <v>457</v>
      </c>
      <c r="H19" s="2435" t="s">
        <v>2136</v>
      </c>
      <c r="I19" s="138"/>
      <c r="K19" s="2427" t="s">
        <v>2137</v>
      </c>
      <c r="L19" s="2427">
        <f>IF(C1="",'数据-汇总表'!D3,SUMIF(项目类型,C1,'数据-汇总表'!D17:D26)+SUMIF(项目类型,C1,'数据-汇总表'!H17:H27))</f>
        <v>0</v>
      </c>
      <c r="M19" s="2427">
        <f>IF(C1="",'数据-汇总表'!D3,SUMIF(项目类型,C1,'数据-汇总表'!D17:D26))</f>
        <v>0</v>
      </c>
    </row>
    <row r="20" spans="1:35" ht="15">
      <c r="A20" s="2436"/>
      <c r="B20" s="1250" t="s">
        <v>2138</v>
      </c>
      <c r="C20" s="146">
        <f ca="1">SUMIF(INDIRECT("'"&amp;C4&amp;"'"&amp;"!A:A"),结果表!B20,INDIRECT("'"&amp;C4&amp;"'"&amp;"!B:B"))</f>
        <v>57144</v>
      </c>
      <c r="D20" s="147">
        <f ca="1">SUMIF(INDIRECT("'"&amp;D4&amp;"'"&amp;"!A:A"),结果表!B20,INDIRECT("'"&amp;D4&amp;"'"&amp;"!B:B"))</f>
        <v>20900</v>
      </c>
      <c r="E20" s="2436"/>
      <c r="F20" s="1250" t="s">
        <v>2138</v>
      </c>
      <c r="G20" s="148">
        <f ca="1">ROUND(C20*$C$18+D20*$D$18,0)</f>
        <v>49895</v>
      </c>
      <c r="H20" s="983" t="s">
        <v>2139</v>
      </c>
      <c r="I20" s="138"/>
    </row>
    <row r="21" spans="1:35" ht="15" customHeight="1" thickBot="1">
      <c r="A21" s="1003"/>
      <c r="B21" s="2437" t="s">
        <v>2140</v>
      </c>
      <c r="C21" s="789" t="e">
        <f ca="1">ROUND(C19*10000/L19,0)</f>
        <v>#DIV/0!</v>
      </c>
      <c r="D21" s="790" t="e">
        <f ca="1">ROUND(D19*10000/L19,0)</f>
        <v>#DIV/0!</v>
      </c>
      <c r="E21" s="1003"/>
      <c r="F21" s="2437" t="s">
        <v>2140</v>
      </c>
      <c r="G21" s="149" t="e">
        <f ca="1">ROUND(G19*10000/L19,0)</f>
        <v>#DIV/0!</v>
      </c>
      <c r="H21" s="2438" t="s">
        <v>2139</v>
      </c>
      <c r="I21" s="138"/>
    </row>
    <row r="22" spans="1:35" ht="15" thickBot="1">
      <c r="A22" s="2280" t="s">
        <v>2141</v>
      </c>
      <c r="B22" s="2439"/>
      <c r="C22" s="2440"/>
      <c r="D22" s="791">
        <f ca="1">IF(C19&lt;D19,D19/C19-1,C19/D19-1)</f>
        <v>1.738219895287958</v>
      </c>
      <c r="E22" s="138"/>
      <c r="F22" s="138"/>
      <c r="G22" s="138"/>
      <c r="H22" s="138"/>
      <c r="I22" s="138"/>
    </row>
    <row r="23" spans="1:35" ht="13.5" thickBot="1">
      <c r="A23" s="2417"/>
      <c r="B23" s="2417"/>
      <c r="C23" s="2417"/>
      <c r="D23" s="2417"/>
      <c r="E23" s="138"/>
      <c r="F23" s="138"/>
      <c r="G23" s="138"/>
      <c r="H23" s="138"/>
      <c r="I23" s="138"/>
    </row>
    <row r="24" spans="1:35" ht="14.25">
      <c r="A24" s="3074" t="s">
        <v>2142</v>
      </c>
      <c r="B24" s="2434" t="s">
        <v>2134</v>
      </c>
      <c r="C24" s="145">
        <f>IF(B30=0,0,D30)</f>
        <v>0</v>
      </c>
      <c r="D24" s="2441"/>
      <c r="E24" s="138"/>
      <c r="F24" s="138"/>
      <c r="G24" s="138"/>
      <c r="H24" s="138"/>
      <c r="I24" s="138"/>
    </row>
    <row r="25" spans="1:35" ht="14.25">
      <c r="A25" s="3075"/>
      <c r="B25" s="1250" t="s">
        <v>2138</v>
      </c>
      <c r="C25" s="150">
        <f>IF(B30=0,0,C30)</f>
        <v>0</v>
      </c>
      <c r="D25" s="2442"/>
      <c r="E25" s="138"/>
      <c r="F25" s="138"/>
      <c r="G25" s="138"/>
      <c r="H25" s="138"/>
      <c r="I25" s="138"/>
    </row>
    <row r="26" spans="1:35" ht="13.5" customHeight="1">
      <c r="A26" s="2443" t="s">
        <v>2143</v>
      </c>
      <c r="B26" s="151" t="s">
        <v>2144</v>
      </c>
      <c r="C26" s="151" t="s">
        <v>2145</v>
      </c>
      <c r="D26" s="152" t="s">
        <v>2146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2147</v>
      </c>
      <c r="B30" s="151"/>
      <c r="C30" s="151"/>
      <c r="D30" s="151"/>
      <c r="E30" s="2923" t="s">
        <v>3020</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2148</v>
      </c>
      <c r="B32" s="2447"/>
      <c r="C32" s="153">
        <f ca="1">IF(D32="总价",G19-C24,G20-C25)</f>
        <v>457</v>
      </c>
      <c r="D32" s="2448" t="s">
        <v>2149</v>
      </c>
      <c r="E32" s="138"/>
      <c r="F32" s="138"/>
      <c r="G32" s="138"/>
      <c r="H32" s="138"/>
      <c r="I32" s="138"/>
    </row>
    <row r="33" spans="1:15" ht="15">
      <c r="A33" s="960" t="s">
        <v>2150</v>
      </c>
      <c r="B33" s="2449"/>
      <c r="C33" s="2450"/>
      <c r="D33" s="2451"/>
      <c r="E33" s="2452" t="s">
        <v>2151</v>
      </c>
      <c r="F33" s="2453" t="str">
        <f>IF(D32="楼面单价","取值（单价）","取值（总价）")</f>
        <v>取值（总价）</v>
      </c>
      <c r="G33" s="138"/>
      <c r="H33" s="138"/>
      <c r="I33" s="138"/>
    </row>
    <row r="34" spans="1:15" ht="15">
      <c r="A34" s="2454"/>
      <c r="B34" s="2455" t="s">
        <v>2152</v>
      </c>
      <c r="C34" s="157" t="e">
        <f ca="1">IF(C33="自定义",F34,C32-C35)</f>
        <v>#REF!</v>
      </c>
      <c r="D34" s="1058" t="e">
        <f ca="1">IF(C33="自定义",ROUND(C34/C32,3),IF(C33="收益比率",SUMIF(INDIRECT("'"&amp;D33&amp;"'"&amp;"!b:b"),"土地收益比率",INDIRECT("'"&amp;D33&amp;"'"&amp;"!c:c")),SUMIF(INDIRECT("'"&amp;D33&amp;"'"&amp;"!b:b"),"土地成本比率",INDIRECT("'"&amp;D33&amp;"'"&amp;"!c:c"))))</f>
        <v>#REF!</v>
      </c>
      <c r="E34" s="2456" t="s">
        <v>2153</v>
      </c>
      <c r="F34" s="1739"/>
      <c r="G34" s="138"/>
      <c r="H34" s="138"/>
      <c r="I34" s="138"/>
    </row>
    <row r="35" spans="1:15" ht="15.75" thickBot="1">
      <c r="A35" s="2457"/>
      <c r="B35" s="2458" t="s">
        <v>2154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9" t="s">
        <v>2155</v>
      </c>
      <c r="F35" s="163"/>
      <c r="G35" s="138"/>
      <c r="H35" s="138"/>
      <c r="I35" s="138"/>
    </row>
    <row r="36" spans="1:15" ht="15.75" thickBot="1">
      <c r="A36" s="3092" t="s">
        <v>2156</v>
      </c>
      <c r="B36" s="2460" t="s">
        <v>2157</v>
      </c>
      <c r="C36" s="154"/>
      <c r="D36" s="2461"/>
      <c r="E36" s="2462"/>
      <c r="F36" s="2463"/>
      <c r="G36" s="138"/>
      <c r="H36" s="138"/>
      <c r="I36" s="138"/>
    </row>
    <row r="37" spans="1:15" ht="15.75" thickBot="1">
      <c r="A37" s="3093"/>
      <c r="B37" s="2266" t="s">
        <v>2158</v>
      </c>
      <c r="C37" s="156"/>
      <c r="D37" s="1395"/>
      <c r="E37" s="1395"/>
      <c r="F37" s="2463"/>
      <c r="G37" s="138"/>
      <c r="H37" s="138"/>
      <c r="I37" s="138"/>
    </row>
    <row r="38" spans="1:15" ht="15.75" thickBot="1">
      <c r="A38" s="3094"/>
      <c r="B38" s="2464" t="s">
        <v>2159</v>
      </c>
      <c r="C38" s="727"/>
      <c r="D38" s="2465" t="s">
        <v>2160</v>
      </c>
      <c r="E38" s="1395"/>
      <c r="F38" s="2463"/>
      <c r="G38" s="138"/>
      <c r="H38" s="138"/>
      <c r="I38" s="138"/>
    </row>
    <row r="39" spans="1:15" ht="15">
      <c r="A39" s="2436" t="s">
        <v>2161</v>
      </c>
      <c r="B39" s="2466" t="s">
        <v>2162</v>
      </c>
      <c r="C39" s="2467" t="s">
        <v>2163</v>
      </c>
      <c r="D39" s="2467" t="s">
        <v>2164</v>
      </c>
      <c r="E39" s="2468" t="s">
        <v>2165</v>
      </c>
      <c r="F39" s="2463"/>
      <c r="G39" s="138"/>
      <c r="H39" s="138"/>
      <c r="I39" s="138"/>
    </row>
    <row r="40" spans="1:15" ht="14.25">
      <c r="A40" s="2469" t="s">
        <v>2166</v>
      </c>
      <c r="B40" s="158"/>
      <c r="C40" s="159"/>
      <c r="D40" s="159"/>
      <c r="E40" s="160"/>
      <c r="F40" s="2463"/>
      <c r="G40" s="138"/>
      <c r="H40" s="138"/>
      <c r="I40" s="138"/>
    </row>
    <row r="41" spans="1:15" ht="14.25">
      <c r="A41" s="2469" t="s">
        <v>2167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2168</v>
      </c>
      <c r="B44" s="2474"/>
      <c r="C44" s="2474"/>
      <c r="D44" s="2475"/>
      <c r="E44" s="2475"/>
      <c r="F44" s="2476"/>
      <c r="G44" s="2476"/>
      <c r="H44" s="2476"/>
      <c r="I44" s="2476"/>
      <c r="J44" s="2477" t="s">
        <v>2169</v>
      </c>
      <c r="K44" s="2478"/>
      <c r="L44" s="2478"/>
      <c r="M44" s="2478"/>
      <c r="N44" s="2478"/>
      <c r="O44" s="2478"/>
    </row>
    <row r="45" spans="1:15" ht="14.25" customHeight="1" thickBot="1">
      <c r="A45" s="3071" t="s">
        <v>2170</v>
      </c>
      <c r="B45" s="3072"/>
      <c r="C45" s="3073"/>
      <c r="D45" s="164">
        <f ca="1">ROUND(H101*F45,0)</f>
        <v>457</v>
      </c>
      <c r="E45" s="165" t="s">
        <v>2171</v>
      </c>
      <c r="F45" s="166">
        <v>1</v>
      </c>
      <c r="G45" s="167" t="s">
        <v>2172</v>
      </c>
      <c r="H45" s="138"/>
      <c r="I45" s="138"/>
      <c r="J45" s="3131" t="s">
        <v>2173</v>
      </c>
      <c r="K45" s="3131"/>
      <c r="L45" s="3131"/>
      <c r="M45" s="3131"/>
      <c r="N45" s="3131"/>
      <c r="O45" s="3131"/>
    </row>
    <row r="46" spans="1:15" ht="14.25" customHeight="1">
      <c r="A46" s="3068" t="s">
        <v>2174</v>
      </c>
      <c r="B46" s="3069"/>
      <c r="C46" s="3069"/>
      <c r="D46" s="3069"/>
      <c r="E46" s="3069"/>
      <c r="F46" s="3069"/>
      <c r="G46" s="3070"/>
      <c r="H46" s="2479"/>
      <c r="I46" s="168"/>
      <c r="J46" s="1811">
        <v>1</v>
      </c>
      <c r="K46" s="3131" t="s">
        <v>2175</v>
      </c>
      <c r="L46" s="3131"/>
      <c r="M46" s="3151"/>
      <c r="N46" s="3151"/>
      <c r="O46" s="3151"/>
    </row>
    <row r="47" spans="1:15" ht="12" customHeight="1">
      <c r="A47" s="169" t="s">
        <v>2176</v>
      </c>
      <c r="B47" s="170"/>
      <c r="C47" s="171"/>
      <c r="D47" s="172" t="s">
        <v>2177</v>
      </c>
      <c r="E47" s="24" t="s">
        <v>2178</v>
      </c>
      <c r="F47" s="173" t="s">
        <v>2179</v>
      </c>
      <c r="G47" s="174" t="s">
        <v>2180</v>
      </c>
      <c r="H47" s="2479"/>
      <c r="I47" s="168"/>
      <c r="J47" s="1811">
        <v>2</v>
      </c>
      <c r="K47" s="3131" t="s">
        <v>2181</v>
      </c>
      <c r="L47" s="3131"/>
      <c r="M47" s="3152">
        <f>'数据-取费表'!B2</f>
        <v>43249</v>
      </c>
      <c r="N47" s="3152"/>
      <c r="O47" s="3152"/>
    </row>
    <row r="48" spans="1:15" ht="25.5">
      <c r="A48" s="3099" t="s">
        <v>2182</v>
      </c>
      <c r="B48" s="3082"/>
      <c r="C48" s="3082"/>
      <c r="D48" s="140">
        <f>IF(H48="情况1",0,IF(H48="情况2",D52,IF(H48="情况3",D53,IF(H48="情况4",D54))))</f>
        <v>0</v>
      </c>
      <c r="E48" s="1800" t="str">
        <f>IF(H48="情况4","(销售额-原购置价)×税（费）率","销售额×税（费）率")</f>
        <v>销售额×税（费）率</v>
      </c>
      <c r="F48" s="175" t="str">
        <f>IF(H48="情况1","免征",'数据-取费表'!B41)</f>
        <v>免征</v>
      </c>
      <c r="G48" s="2480" t="s">
        <v>2183</v>
      </c>
      <c r="H48" s="2481" t="s">
        <v>2184</v>
      </c>
      <c r="I48" s="2479"/>
      <c r="J48" s="1811">
        <v>3</v>
      </c>
      <c r="K48" s="3131" t="s">
        <v>2185</v>
      </c>
      <c r="L48" s="3131"/>
      <c r="M48" s="3153">
        <f ca="1">H101</f>
        <v>457</v>
      </c>
      <c r="N48" s="3153"/>
      <c r="O48" s="3153"/>
    </row>
    <row r="49" spans="1:35" ht="25.5" customHeight="1">
      <c r="A49" s="176" t="s">
        <v>2186</v>
      </c>
      <c r="B49" s="3067" t="s">
        <v>2187</v>
      </c>
      <c r="C49" s="3067"/>
      <c r="D49" s="177">
        <v>0</v>
      </c>
      <c r="E49" s="23" t="s">
        <v>2188</v>
      </c>
      <c r="F49" s="28" t="s">
        <v>34</v>
      </c>
      <c r="G49" s="3137"/>
      <c r="H49" s="138"/>
      <c r="I49" s="2482"/>
      <c r="J49" s="1811">
        <v>4</v>
      </c>
      <c r="K49" s="3131" t="str">
        <f>IF(项目基本情况!E8="房地产抵押价值","房地产抵押价值","抵押担保权已注销时的房地产抵押价值")</f>
        <v>房地产抵押价值</v>
      </c>
      <c r="L49" s="3131"/>
      <c r="M49" s="3153">
        <f ca="1">IF(项目基本情况!E8="房地产抵押价值",H107,H109)</f>
        <v>457</v>
      </c>
      <c r="N49" s="3153"/>
      <c r="O49" s="3153"/>
    </row>
    <row r="50" spans="1:35" ht="25.5" customHeight="1">
      <c r="A50" s="178"/>
      <c r="B50" s="3067" t="s">
        <v>2189</v>
      </c>
      <c r="C50" s="3067"/>
      <c r="D50" s="179"/>
      <c r="E50" s="31"/>
      <c r="F50" s="180"/>
      <c r="G50" s="3138"/>
      <c r="H50" s="138"/>
      <c r="I50" s="2482"/>
      <c r="J50" s="3131" t="s">
        <v>2190</v>
      </c>
      <c r="K50" s="3131"/>
      <c r="L50" s="3131"/>
      <c r="M50" s="3131"/>
      <c r="N50" s="3131"/>
      <c r="O50" s="3131"/>
    </row>
    <row r="51" spans="1:35" ht="12" customHeight="1">
      <c r="A51" s="181"/>
      <c r="B51" s="3067" t="s">
        <v>2191</v>
      </c>
      <c r="C51" s="3067"/>
      <c r="D51" s="182"/>
      <c r="E51" s="30"/>
      <c r="F51" s="180"/>
      <c r="G51" s="3139"/>
      <c r="H51" s="138"/>
      <c r="I51" s="2482"/>
      <c r="J51" s="2483" t="s">
        <v>2192</v>
      </c>
      <c r="K51" s="3131" t="s">
        <v>2193</v>
      </c>
      <c r="L51" s="3131"/>
      <c r="M51" s="2483" t="s">
        <v>2194</v>
      </c>
      <c r="N51" s="2483" t="s">
        <v>2195</v>
      </c>
      <c r="O51" s="2483" t="s">
        <v>2196</v>
      </c>
    </row>
    <row r="52" spans="1:35" ht="24" customHeight="1">
      <c r="A52" s="183" t="s">
        <v>2197</v>
      </c>
      <c r="B52" s="3067" t="s">
        <v>2198</v>
      </c>
      <c r="C52" s="3067"/>
      <c r="D52" s="182">
        <f ca="1">ROUND(D45*'数据-取费表'!B41/(1+'数据-取费表'!C42),0)</f>
        <v>24</v>
      </c>
      <c r="E52" s="11" t="s">
        <v>2199</v>
      </c>
      <c r="F52" s="184">
        <f>'数据-取费表'!B41</f>
        <v>5.6000000000000001E-2</v>
      </c>
      <c r="G52" s="2484"/>
      <c r="H52" s="138"/>
      <c r="I52" s="2482"/>
      <c r="J52" s="1811">
        <v>1</v>
      </c>
      <c r="K52" s="3132" t="s">
        <v>2200</v>
      </c>
      <c r="L52" s="3132"/>
      <c r="M52" s="1754">
        <f>D48</f>
        <v>0</v>
      </c>
      <c r="N52" s="1811" t="str">
        <f>E48</f>
        <v>销售额×税（费）率</v>
      </c>
      <c r="O52" s="1755" t="str">
        <f>F48</f>
        <v>免征</v>
      </c>
    </row>
    <row r="53" spans="1:35" ht="12" customHeight="1">
      <c r="A53" s="183" t="s">
        <v>2201</v>
      </c>
      <c r="B53" s="3090" t="s">
        <v>2202</v>
      </c>
      <c r="C53" s="3091"/>
      <c r="D53" s="182">
        <f ca="1">ROUND(D45*'数据-取费表'!B41/(1+'数据-取费表'!C42),0)</f>
        <v>24</v>
      </c>
      <c r="E53" s="11" t="s">
        <v>2199</v>
      </c>
      <c r="F53" s="184">
        <f>'数据-取费表'!B41</f>
        <v>5.6000000000000001E-2</v>
      </c>
      <c r="G53" s="2484"/>
      <c r="H53" s="138"/>
      <c r="I53" s="2482"/>
      <c r="J53" s="1811">
        <v>2</v>
      </c>
      <c r="K53" s="3132" t="s">
        <v>2203</v>
      </c>
      <c r="L53" s="3132"/>
      <c r="M53" s="1754">
        <f t="shared" ref="M53:O54" ca="1" si="0">D55</f>
        <v>0</v>
      </c>
      <c r="N53" s="1811" t="str">
        <f t="shared" si="0"/>
        <v>销售额×税（费）率</v>
      </c>
      <c r="O53" s="1755">
        <f t="shared" si="0"/>
        <v>5.0000000000000001E-4</v>
      </c>
    </row>
    <row r="54" spans="1:35" ht="12" customHeight="1">
      <c r="A54" s="183" t="s">
        <v>2204</v>
      </c>
      <c r="B54" s="3090" t="s">
        <v>2205</v>
      </c>
      <c r="C54" s="3091"/>
      <c r="D54" s="182">
        <f ca="1">C68</f>
        <v>24</v>
      </c>
      <c r="E54" s="30" t="s">
        <v>2206</v>
      </c>
      <c r="F54" s="184">
        <f>'数据-取费表'!B41</f>
        <v>5.6000000000000001E-2</v>
      </c>
      <c r="G54" s="2484"/>
      <c r="H54" s="2485"/>
      <c r="I54" s="2482"/>
      <c r="J54" s="1811">
        <v>3</v>
      </c>
      <c r="K54" s="3132" t="s">
        <v>2207</v>
      </c>
      <c r="L54" s="3132"/>
      <c r="M54" s="1754">
        <f t="shared" ca="1" si="0"/>
        <v>258</v>
      </c>
      <c r="N54" s="1811" t="str">
        <f t="shared" si="0"/>
        <v>增值额×税（费）率</v>
      </c>
      <c r="O54" s="1756" t="str">
        <f t="shared" si="0"/>
        <v>——</v>
      </c>
    </row>
    <row r="55" spans="1:35" ht="24" customHeight="1">
      <c r="A55" s="3081" t="s">
        <v>2208</v>
      </c>
      <c r="B55" s="3082"/>
      <c r="C55" s="3082"/>
      <c r="D55" s="185">
        <f ca="1">IF(H55="个人住宅",0,ROUND(D45*I55,0))</f>
        <v>0</v>
      </c>
      <c r="E55" s="11" t="s">
        <v>2209</v>
      </c>
      <c r="F55" s="184">
        <f>IF(H55="正常",I55,"免征")</f>
        <v>5.0000000000000001E-4</v>
      </c>
      <c r="G55" s="2484"/>
      <c r="H55" s="2481" t="s">
        <v>2210</v>
      </c>
      <c r="I55" s="186">
        <f>'数据-取费表'!B49</f>
        <v>5.0000000000000001E-4</v>
      </c>
      <c r="J55" s="1811" t="str">
        <f>IF(H59="非个人房产","",4)</f>
        <v/>
      </c>
      <c r="K55" s="3132" t="str">
        <f>IF(H59="非个人房产","——","个人所得税")</f>
        <v>——</v>
      </c>
      <c r="L55" s="3132"/>
      <c r="M55" s="1757" t="str">
        <f>D59</f>
        <v>——</v>
      </c>
      <c r="N55" s="1809" t="str">
        <f>E59</f>
        <v>——</v>
      </c>
      <c r="O55" s="1758" t="str">
        <f>F59</f>
        <v>——</v>
      </c>
    </row>
    <row r="56" spans="1:35" ht="24.75">
      <c r="A56" s="3081" t="s">
        <v>2211</v>
      </c>
      <c r="B56" s="3082"/>
      <c r="C56" s="3082"/>
      <c r="D56" s="185">
        <f ca="1">IF(H56="个人住宅",D57,D58)</f>
        <v>258</v>
      </c>
      <c r="E56" s="11" t="s">
        <v>2212</v>
      </c>
      <c r="F56" s="184" t="str">
        <f>IF(H56="正常",F58,"免征")</f>
        <v>——</v>
      </c>
      <c r="G56" s="2486" t="s">
        <v>2213</v>
      </c>
      <c r="H56" s="2487" t="s">
        <v>2210</v>
      </c>
      <c r="I56" s="2488"/>
      <c r="J56" s="1811" t="str">
        <f>IF(项目基本情况!K6="上海银行",IF(J55="",4,J55+1),"")</f>
        <v/>
      </c>
      <c r="K56" s="3155" t="str">
        <f>IF(项目基本情况!K6="上海银行","其他处置费用","")</f>
        <v/>
      </c>
      <c r="L56" s="3156"/>
      <c r="M56" s="1754" t="str">
        <f>IF(项目基本情况!K6="上海银行",M69,"")</f>
        <v/>
      </c>
      <c r="N56" s="3158" t="str">
        <f>IF(项目基本情况!K6="上海银行","包含处置中涉及的律师、诉讼、拍卖、评估等费用","")</f>
        <v/>
      </c>
      <c r="O56" s="3159"/>
    </row>
    <row r="57" spans="1:35" ht="12.75">
      <c r="A57" s="183" t="s">
        <v>2186</v>
      </c>
      <c r="B57" s="3097" t="s">
        <v>2214</v>
      </c>
      <c r="C57" s="3106"/>
      <c r="D57" s="187">
        <v>0</v>
      </c>
      <c r="E57" s="23" t="s">
        <v>2188</v>
      </c>
      <c r="F57" s="155"/>
      <c r="G57" s="2484"/>
      <c r="H57" s="2488"/>
      <c r="I57" s="2488"/>
      <c r="J57" s="3132">
        <f>IF(AND(J55="",J56=""),4,IF(项目基本情况!K6="上海银行",结果表!J56+1,结果表!J55+1))</f>
        <v>4</v>
      </c>
      <c r="K57" s="3132" t="s">
        <v>2215</v>
      </c>
      <c r="L57" s="2489" t="s">
        <v>2216</v>
      </c>
      <c r="M57" s="1759"/>
      <c r="N57" s="1760">
        <f ca="1">SUMIF(M52:M56,"&lt;9e307")</f>
        <v>258</v>
      </c>
      <c r="O57" s="2490"/>
      <c r="P57" s="1753">
        <f ca="1">N57/M49</f>
        <v>0.56455142231947486</v>
      </c>
    </row>
    <row r="58" spans="1:35" ht="24.75">
      <c r="A58" s="183" t="s">
        <v>2197</v>
      </c>
      <c r="B58" s="3097" t="s">
        <v>2217</v>
      </c>
      <c r="C58" s="3098"/>
      <c r="D58" s="185">
        <f ca="1">IF(H58="转让取得",C81,C97)</f>
        <v>258</v>
      </c>
      <c r="E58" s="11" t="s">
        <v>2212</v>
      </c>
      <c r="F58" s="24" t="s">
        <v>34</v>
      </c>
      <c r="G58" s="2484"/>
      <c r="H58" s="2487" t="s">
        <v>2218</v>
      </c>
      <c r="I58" s="2488"/>
      <c r="J58" s="3132"/>
      <c r="K58" s="3132"/>
      <c r="L58" s="2489" t="s">
        <v>2219</v>
      </c>
      <c r="M58" s="1761"/>
      <c r="N58" s="2491" t="str">
        <f ca="1">NUMBERSTRING(INT(N57*10000),2)&amp;"元整"</f>
        <v>贰佰伍拾捌万元整</v>
      </c>
      <c r="O58" s="2492"/>
    </row>
    <row r="59" spans="1:35" ht="24.75" thickBot="1">
      <c r="A59" s="3135" t="s">
        <v>2220</v>
      </c>
      <c r="B59" s="3136"/>
      <c r="C59" s="3136"/>
      <c r="D59" s="188" t="str">
        <f>IF(H59="非个人房产","——",IF(H59="个人住宅",0,ROUND(D45*I59,0)))</f>
        <v>——</v>
      </c>
      <c r="E59" s="189" t="str">
        <f>IF(H59="非个人房产","——","销售额×税（费）率")</f>
        <v>——</v>
      </c>
      <c r="F59" s="190" t="str">
        <f>IF(H59="非个人房产","——",IF(H59="个人住宅","免征",I59))</f>
        <v>——</v>
      </c>
      <c r="G59" s="2493" t="s">
        <v>2213</v>
      </c>
      <c r="H59" s="2487" t="s">
        <v>2221</v>
      </c>
      <c r="I59" s="191">
        <v>0.01</v>
      </c>
      <c r="J59" s="3133">
        <f>J57+1</f>
        <v>5</v>
      </c>
      <c r="K59" s="3132" t="s">
        <v>2222</v>
      </c>
      <c r="L59" s="1811" t="s">
        <v>2216</v>
      </c>
      <c r="M59" s="1762"/>
      <c r="N59" s="1763">
        <f ca="1">M49-N57</f>
        <v>199</v>
      </c>
      <c r="O59" s="2494"/>
    </row>
    <row r="60" spans="1:35" ht="12" customHeight="1">
      <c r="A60" s="2495"/>
      <c r="B60" s="2417"/>
      <c r="C60" s="2417"/>
      <c r="D60" s="2417"/>
      <c r="E60" s="2165"/>
      <c r="F60" s="2488"/>
      <c r="G60" s="2488"/>
      <c r="H60" s="2496"/>
      <c r="I60" s="138"/>
      <c r="J60" s="3134"/>
      <c r="K60" s="3132"/>
      <c r="L60" s="2489" t="s">
        <v>2219</v>
      </c>
      <c r="M60" s="1761"/>
      <c r="N60" s="2491" t="str">
        <f ca="1">NUMBERSTRING(INT(N59*10000),2)&amp;"元整"</f>
        <v>壹佰玖拾玖万元整</v>
      </c>
      <c r="O60" s="2492"/>
    </row>
    <row r="61" spans="1:35" ht="13.5" thickBot="1">
      <c r="A61" s="3079" t="s">
        <v>2223</v>
      </c>
      <c r="B61" s="3079"/>
      <c r="C61" s="3079"/>
      <c r="D61" s="3079"/>
      <c r="E61" s="3079"/>
      <c r="F61" s="2488"/>
      <c r="G61" s="2488"/>
      <c r="H61" s="2496"/>
      <c r="I61" s="138"/>
      <c r="J61" s="1811">
        <f>J59+1</f>
        <v>6</v>
      </c>
      <c r="K61" s="3132" t="s">
        <v>2224</v>
      </c>
      <c r="L61" s="3132"/>
      <c r="M61" s="1764"/>
      <c r="N61" s="1765">
        <f ca="1">ROUND(N59*10000/'数据-汇总表'!E3,0)</f>
        <v>21744</v>
      </c>
      <c r="O61" s="2497"/>
    </row>
    <row r="62" spans="1:35" ht="12.75">
      <c r="A62" s="3095" t="s">
        <v>2225</v>
      </c>
      <c r="B62" s="3096"/>
      <c r="C62" s="1803"/>
      <c r="D62" s="1803" t="s">
        <v>2226</v>
      </c>
      <c r="E62" s="192" t="s">
        <v>2227</v>
      </c>
      <c r="F62" s="2488"/>
      <c r="G62" s="2488"/>
      <c r="H62" s="2496"/>
      <c r="I62" s="138"/>
    </row>
    <row r="63" spans="1:35" ht="12.75">
      <c r="A63" s="203" t="s">
        <v>775</v>
      </c>
      <c r="B63" s="193" t="s">
        <v>2228</v>
      </c>
      <c r="C63" s="194">
        <f ca="1">ROUND((C64+C65)/(1+'数据-取费表'!C42),0)</f>
        <v>435</v>
      </c>
      <c r="D63" s="195"/>
      <c r="E63" s="196"/>
      <c r="F63" s="2488"/>
      <c r="G63" s="2488"/>
      <c r="H63" s="2496"/>
      <c r="I63" s="138"/>
      <c r="J63" s="3157" t="s">
        <v>2229</v>
      </c>
      <c r="K63" s="2498" t="s">
        <v>2230</v>
      </c>
      <c r="L63" s="1752">
        <f ca="1">IF(M49&gt;10000,M49*0.5%,IF(AND(M49&gt;1000,M49&lt;=10000),M49*1%,IF(AND(M49&gt;100,M49&lt;=1000),M49*3%,IF(AND(M49&gt;10,M49&lt;=100),M49*5%,M49*8%))))</f>
        <v>13.709999999999999</v>
      </c>
      <c r="M63" s="24">
        <f ca="1">ROUND(L63,1)</f>
        <v>13.7</v>
      </c>
      <c r="Z63" s="2422"/>
      <c r="AI63" s="2423"/>
    </row>
    <row r="64" spans="1:35" ht="14.25" customHeight="1">
      <c r="A64" s="197" t="s">
        <v>770</v>
      </c>
      <c r="B64" s="198" t="s">
        <v>2231</v>
      </c>
      <c r="C64" s="199">
        <f ca="1">D45</f>
        <v>457</v>
      </c>
      <c r="D64" s="200" t="s">
        <v>32</v>
      </c>
      <c r="E64" s="201"/>
      <c r="F64" s="2488"/>
      <c r="G64" s="2488"/>
      <c r="H64" s="2496"/>
      <c r="I64" s="138"/>
      <c r="J64" s="3157"/>
      <c r="K64" s="2498" t="s">
        <v>2232</v>
      </c>
      <c r="L64" s="1752">
        <f ca="1">IF(M49&gt;2000,M49*0.5%,IF(AND(M49&gt;1000,M49&lt;=2000),M49*0.6%,IF(AND(M49&gt;500,M49&lt;=1000),M49*0.7%,IF(AND(M49&gt;200,M49&lt;=500),M49*0.8%,IF(AND(M49&gt;100,M49&lt;=200),M49*0.9%,IF(AND(M49&gt;50,M49&lt;=100),M49*1%,IF(AND(M49&gt;20,M49&lt;=50),M49*1.5%,IF(AND(M49&gt;10,M49&lt;=20),M49*2%,IF(AND(M49&gt;1,M49&lt;=10),M49*2.5%)))))))))</f>
        <v>3.6560000000000001</v>
      </c>
      <c r="M64" s="24">
        <f t="shared" ref="M64:M65" ca="1" si="1">ROUND(L64,1)</f>
        <v>3.7</v>
      </c>
      <c r="N64" s="138" t="s">
        <v>2233</v>
      </c>
      <c r="Z64" s="2422"/>
      <c r="AI64" s="2423"/>
    </row>
    <row r="65" spans="1:35" ht="14.25" customHeight="1">
      <c r="A65" s="197" t="s">
        <v>771</v>
      </c>
      <c r="B65" s="198" t="s">
        <v>2234</v>
      </c>
      <c r="C65" s="202"/>
      <c r="D65" s="200"/>
      <c r="E65" s="201"/>
      <c r="F65" s="2488"/>
      <c r="G65" s="2488"/>
      <c r="H65" s="2496"/>
      <c r="I65" s="138"/>
      <c r="J65" s="3157"/>
      <c r="K65" s="2498" t="s">
        <v>2235</v>
      </c>
      <c r="L65" s="1752">
        <f ca="1">IF(M49&gt;1000,M49*0.1%,IF(AND(M49&gt;500,M49&lt;=1000),M49*0.5%,IF(AND(M49&gt;50,M49&lt;=500),M49*1%,IF(AND(M49&gt;1,M49&lt;=50),M49*1.5%))))</f>
        <v>4.57</v>
      </c>
      <c r="M65" s="24">
        <f t="shared" ca="1" si="1"/>
        <v>4.5999999999999996</v>
      </c>
      <c r="N65" s="138" t="s">
        <v>2233</v>
      </c>
      <c r="Z65" s="2422"/>
      <c r="AI65" s="2423"/>
    </row>
    <row r="66" spans="1:35" ht="14.25" customHeight="1">
      <c r="A66" s="203" t="s">
        <v>772</v>
      </c>
      <c r="B66" s="204" t="s">
        <v>2236</v>
      </c>
      <c r="C66" s="205"/>
      <c r="D66" s="206" t="s">
        <v>32</v>
      </c>
      <c r="E66" s="1775" t="s">
        <v>1371</v>
      </c>
      <c r="F66" s="2488"/>
      <c r="G66" s="2488"/>
      <c r="H66" s="2496"/>
      <c r="I66" s="138"/>
      <c r="J66" s="3157"/>
      <c r="K66" s="2498" t="s">
        <v>2237</v>
      </c>
      <c r="L66" s="1752">
        <f ca="1">M49*0.5%</f>
        <v>2.2850000000000001</v>
      </c>
      <c r="M66" s="24">
        <f ca="1">IF(L66&gt;0.5,0.5,ROUND(L66,0))</f>
        <v>0.5</v>
      </c>
      <c r="N66" s="138" t="s">
        <v>2238</v>
      </c>
      <c r="Z66" s="2422"/>
      <c r="AI66" s="2423"/>
    </row>
    <row r="67" spans="1:35" ht="14.25" customHeight="1">
      <c r="A67" s="203" t="s">
        <v>773</v>
      </c>
      <c r="B67" s="204" t="s">
        <v>2239</v>
      </c>
      <c r="C67" s="207">
        <f ca="1">C63-C66</f>
        <v>435</v>
      </c>
      <c r="D67" s="200" t="s">
        <v>32</v>
      </c>
      <c r="E67" s="201"/>
      <c r="F67" s="2488"/>
      <c r="G67" s="2488"/>
      <c r="H67" s="2496"/>
      <c r="I67" s="138"/>
      <c r="J67" s="3157"/>
      <c r="K67" s="2498" t="s">
        <v>2240</v>
      </c>
      <c r="L67" s="1752">
        <f ca="1">IF(M49&gt;=10000,(8.25+(M49-10000)*0.01%),IF(AND(M49&gt;=8000,M49&lt;10000),(7.85+(M49-8000)*0.02%),IF(AND(M49&gt;=5000,M49&lt;8000),(6.65+(M49-5000)*0.04%),IF(AND(M49&gt;=2000,M49&lt;5000),(4.25+(PM49-2000)*0.08%),IF(AND(M49&gt;=1000,M49&lt;2000),(2.75+(M49-1000)*0.15%),IF(AND(M49&gt;=100,M49&lt;1000),(0.5+(M49-100)*0.25%),IF(AND(M49&gt;0,M49&lt;100),M49*0.5%)))))))</f>
        <v>1.3925000000000001</v>
      </c>
      <c r="M67" s="24">
        <f ca="1">ROUND(L67*0.9,1)</f>
        <v>1.3</v>
      </c>
      <c r="Z67" s="2422"/>
      <c r="AI67" s="2423"/>
    </row>
    <row r="68" spans="1:35" ht="14.25" customHeight="1" thickBot="1">
      <c r="A68" s="208" t="s">
        <v>774</v>
      </c>
      <c r="B68" s="209" t="s">
        <v>2241</v>
      </c>
      <c r="C68" s="210">
        <f ca="1">IF(C67&lt;=0,0,ROUND(C67*D68,0))</f>
        <v>24</v>
      </c>
      <c r="D68" s="211">
        <f>'数据-取费表'!B41</f>
        <v>5.6000000000000001E-2</v>
      </c>
      <c r="E68" s="212"/>
      <c r="F68" s="2488"/>
      <c r="G68" s="2488"/>
      <c r="H68" s="2496"/>
      <c r="I68" s="138"/>
      <c r="J68" s="3157"/>
      <c r="K68" s="2498" t="s">
        <v>2242</v>
      </c>
      <c r="L68" s="1752">
        <f ca="1">IF(M49&gt;10000,M49*0.5%,IF(AND(M49&gt;5000,M49&lt;=10000),M49*1%,IF(AND(M49&gt;1000,M49&lt;=5000),M49*2%,IF(AND(M49&gt;200,M49&lt;=1000),M49*3%,M49*5%))))</f>
        <v>13.709999999999999</v>
      </c>
      <c r="M68" s="24">
        <f ca="1">ROUND(L68,1)</f>
        <v>13.7</v>
      </c>
      <c r="Z68" s="2422"/>
      <c r="AI68" s="2423"/>
    </row>
    <row r="69" spans="1:35" s="2445" customFormat="1" ht="16.5" customHeight="1">
      <c r="A69" s="2499"/>
      <c r="B69" s="2500"/>
      <c r="C69" s="2501"/>
      <c r="D69" s="2502"/>
      <c r="E69" s="2503"/>
      <c r="F69" s="2165"/>
      <c r="G69" s="2165"/>
      <c r="H69" s="2164"/>
      <c r="I69" s="2417"/>
      <c r="J69" s="3157"/>
      <c r="K69" s="2498" t="s">
        <v>2243</v>
      </c>
      <c r="L69" s="2504"/>
      <c r="M69" s="24">
        <f ca="1">ROUND(SUM(M63:M68),0)</f>
        <v>38</v>
      </c>
      <c r="N69" s="1753">
        <f ca="1">M69/M49</f>
        <v>8.3150984682713341E-2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16" t="s">
        <v>2244</v>
      </c>
      <c r="B70" s="3117"/>
      <c r="C70" s="3117"/>
      <c r="D70" s="3117"/>
      <c r="E70" s="3117"/>
      <c r="F70" s="3117"/>
      <c r="G70" s="3117"/>
      <c r="H70" s="3117"/>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5" t="s">
        <v>2225</v>
      </c>
      <c r="B71" s="3096"/>
      <c r="C71" s="1803"/>
      <c r="D71" s="1803" t="s">
        <v>2226</v>
      </c>
      <c r="E71" s="213" t="s">
        <v>2227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2245</v>
      </c>
      <c r="C72" s="207">
        <f ca="1">ROUND(D45/(1+'数据-取费表'!C42),0)</f>
        <v>435</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2246</v>
      </c>
      <c r="C73" s="207">
        <f ca="1">C74+C78</f>
        <v>3</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2247</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2248</v>
      </c>
      <c r="C75" s="218"/>
      <c r="D75" s="200" t="s">
        <v>32</v>
      </c>
      <c r="E75" s="219" t="s">
        <v>2249</v>
      </c>
      <c r="F75" s="2510" t="s">
        <v>2250</v>
      </c>
      <c r="G75" s="219" t="s">
        <v>2251</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2252</v>
      </c>
      <c r="C76" s="200">
        <f>IF(F75="购房发票",ROUND(C75*H75*D76,0),0)</f>
        <v>0</v>
      </c>
      <c r="D76" s="222">
        <v>0.05</v>
      </c>
      <c r="E76" s="3090" t="s">
        <v>2253</v>
      </c>
      <c r="F76" s="3067"/>
      <c r="G76" s="3067"/>
      <c r="H76" s="3115"/>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512" t="s">
        <v>2256</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2257</v>
      </c>
      <c r="C78" s="225">
        <f ca="1">ROUND(D45*D78/(1+'数据-取费表'!C42),0)</f>
        <v>3</v>
      </c>
      <c r="D78" s="226">
        <f>'数据-取费表'!B43</f>
        <v>6.000000000000001E-3</v>
      </c>
      <c r="E78" s="3076" t="s">
        <v>2258</v>
      </c>
      <c r="F78" s="3077"/>
      <c r="G78" s="3077"/>
      <c r="H78" s="3086"/>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2259</v>
      </c>
      <c r="C79" s="207">
        <f ca="1">C72-C73</f>
        <v>432</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2260</v>
      </c>
      <c r="C80" s="227">
        <f ca="1">IF(C79&lt;=0,0,C79/C73)</f>
        <v>144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2261</v>
      </c>
      <c r="C81" s="228">
        <f ca="1">ROUND(IF(C79&lt;=0,0,IF(C80&gt;=200%,C79*60%-C73*35%,IF(C80&gt;=100%,C79*50%-C73*15%,IF(C80&gt;=50%,C79*40%-C73*5%,IF(C80&lt;50%,C79*30%,0))))),0)</f>
        <v>258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6" t="s">
        <v>2262</v>
      </c>
      <c r="B83" s="3117"/>
      <c r="C83" s="3117"/>
      <c r="D83" s="3117"/>
      <c r="E83" s="3117"/>
      <c r="F83" s="3117"/>
      <c r="G83" s="3117"/>
      <c r="H83" s="3117"/>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5" t="s">
        <v>2225</v>
      </c>
      <c r="B84" s="3096"/>
      <c r="C84" s="1803"/>
      <c r="D84" s="1803" t="s">
        <v>2226</v>
      </c>
      <c r="E84" s="213" t="s">
        <v>2227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2245</v>
      </c>
      <c r="C85" s="207">
        <f ca="1">ROUND(D45/(1+'数据-取费表'!C42),0)</f>
        <v>435</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2246</v>
      </c>
      <c r="C86" s="207">
        <f ca="1">IF(H88="仅含出让金",C87+C90+C91+C92+C93+C94,C87+C91+C92+C93+C94)</f>
        <v>3</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2263</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2264</v>
      </c>
      <c r="C88" s="236"/>
      <c r="D88" s="226"/>
      <c r="E88" s="237" t="s">
        <v>2265</v>
      </c>
      <c r="F88" s="1799"/>
      <c r="G88" s="238" t="s">
        <v>2266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2254</v>
      </c>
      <c r="C89" s="225">
        <f>ROUND(C88*D89,0)</f>
        <v>0</v>
      </c>
      <c r="D89" s="226">
        <f>'数据-取费表'!B48+'数据-取费表'!B49</f>
        <v>3.0499999999999999E-2</v>
      </c>
      <c r="E89" s="237" t="s">
        <v>2267</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2268</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2269</v>
      </c>
      <c r="B91" s="198" t="s">
        <v>2270</v>
      </c>
      <c r="C91" s="225">
        <f>IF(H91="——",成本法!C33,I91)</f>
        <v>0</v>
      </c>
      <c r="D91" s="226"/>
      <c r="E91" s="3076" t="s">
        <v>2271</v>
      </c>
      <c r="F91" s="3077"/>
      <c r="G91" s="3077"/>
      <c r="H91" s="2517" t="s">
        <v>2272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2273</v>
      </c>
      <c r="B92" s="198" t="s">
        <v>2274</v>
      </c>
      <c r="C92" s="225">
        <f>ROUND((C87+C90+C91)*D92,0)</f>
        <v>0</v>
      </c>
      <c r="D92" s="226">
        <v>0.1</v>
      </c>
      <c r="E92" s="3076" t="s">
        <v>2275</v>
      </c>
      <c r="F92" s="3077"/>
      <c r="G92" s="3077"/>
      <c r="H92" s="3086"/>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2276</v>
      </c>
      <c r="B93" s="198" t="s">
        <v>2257</v>
      </c>
      <c r="C93" s="225">
        <f ca="1">ROUND(D45*D93/(1+'数据-取费表'!C42),0)</f>
        <v>3</v>
      </c>
      <c r="D93" s="226">
        <f>'数据-取费表'!B43</f>
        <v>6.000000000000001E-3</v>
      </c>
      <c r="E93" s="3076" t="s">
        <v>2258</v>
      </c>
      <c r="F93" s="3077"/>
      <c r="G93" s="3077"/>
      <c r="H93" s="3086"/>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2277</v>
      </c>
      <c r="B94" s="198" t="s">
        <v>2278</v>
      </c>
      <c r="C94" s="236">
        <f>ROUND((C87+C90+C91)*D94,0)</f>
        <v>0</v>
      </c>
      <c r="D94" s="226">
        <v>0.2</v>
      </c>
      <c r="E94" s="3087" t="s">
        <v>2279</v>
      </c>
      <c r="F94" s="3088"/>
      <c r="G94" s="3088"/>
      <c r="H94" s="3089"/>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2259</v>
      </c>
      <c r="C95" s="207">
        <f ca="1">ROUND(C85-C86,0)</f>
        <v>432</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2260</v>
      </c>
      <c r="C96" s="227">
        <f ca="1">IF(C95&lt;=0,0,C95/C86)</f>
        <v>144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2261</v>
      </c>
      <c r="C97" s="228">
        <f ca="1">ROUND(IF(C95&lt;=0,0,IF(C96&gt;=200%,C95*60%-C86*35%,IF(C96&gt;=100%,C95*50%-C86*15%,IF(C96&gt;=50%,C95*40%-C86*5%,IF(C96&lt;50%,C95*30%,0))))),0)</f>
        <v>258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2280</v>
      </c>
      <c r="B99" s="2417"/>
      <c r="C99" s="2417"/>
      <c r="D99" s="2417"/>
      <c r="E99" s="2165"/>
      <c r="F99" s="2165"/>
      <c r="G99" s="2165"/>
      <c r="H99" s="2164"/>
      <c r="I99" s="138"/>
    </row>
    <row r="100" spans="1:35" ht="18.75" customHeight="1">
      <c r="A100" s="3061" t="s">
        <v>2281</v>
      </c>
      <c r="B100" s="3062"/>
      <c r="C100" s="3062"/>
      <c r="D100" s="3078"/>
      <c r="E100" s="3062" t="s">
        <v>2282</v>
      </c>
      <c r="F100" s="3062"/>
      <c r="G100" s="3062"/>
      <c r="H100" s="3078"/>
      <c r="I100" s="138"/>
    </row>
    <row r="101" spans="1:35" ht="18.75" customHeight="1">
      <c r="A101" s="3140" t="s">
        <v>2283</v>
      </c>
      <c r="B101" s="3141"/>
      <c r="C101" s="736" t="str">
        <f>C4</f>
        <v>比较法-住宅</v>
      </c>
      <c r="D101" s="737" t="str">
        <f>D4</f>
        <v>收益法 (元)</v>
      </c>
      <c r="E101" s="3154" t="s">
        <v>2284</v>
      </c>
      <c r="F101" s="3108"/>
      <c r="G101" s="2519" t="s">
        <v>2285</v>
      </c>
      <c r="H101" s="1048">
        <f ca="1">H118</f>
        <v>457</v>
      </c>
      <c r="I101" s="138"/>
    </row>
    <row r="102" spans="1:35" ht="18.75" customHeight="1">
      <c r="A102" s="3110" t="s">
        <v>2286</v>
      </c>
      <c r="B102" s="2519" t="s">
        <v>2285</v>
      </c>
      <c r="C102" s="736">
        <f ca="1">C19</f>
        <v>523</v>
      </c>
      <c r="D102" s="737">
        <f ca="1">D19</f>
        <v>191</v>
      </c>
      <c r="E102" s="3154"/>
      <c r="F102" s="3108"/>
      <c r="G102" s="2519" t="s">
        <v>2287</v>
      </c>
      <c r="H102" s="371">
        <f ca="1">I118</f>
        <v>49934</v>
      </c>
      <c r="I102" s="138"/>
    </row>
    <row r="103" spans="1:35" ht="42.75" customHeight="1">
      <c r="A103" s="3110"/>
      <c r="B103" s="2519" t="s">
        <v>2287</v>
      </c>
      <c r="C103" s="738">
        <f ca="1">C20</f>
        <v>57144</v>
      </c>
      <c r="D103" s="739">
        <f ca="1">D20</f>
        <v>20900</v>
      </c>
      <c r="E103" s="3149" t="s">
        <v>2288</v>
      </c>
      <c r="F103" s="3150"/>
      <c r="G103" s="2520" t="s">
        <v>2289</v>
      </c>
      <c r="H103" s="1048">
        <f>IF(D36="正常操作",H104+H105+H106,H105+H106)</f>
        <v>0</v>
      </c>
      <c r="I103" s="138"/>
    </row>
    <row r="104" spans="1:35" ht="18.75" customHeight="1">
      <c r="A104" s="3110" t="s">
        <v>2290</v>
      </c>
      <c r="B104" s="2521" t="s">
        <v>2285</v>
      </c>
      <c r="C104" s="740">
        <f ca="1">H118</f>
        <v>457</v>
      </c>
      <c r="D104" s="741"/>
      <c r="E104" s="2266" t="s">
        <v>2291</v>
      </c>
      <c r="F104" s="2257"/>
      <c r="G104" s="2520" t="s">
        <v>2289</v>
      </c>
      <c r="H104" s="1049">
        <f>IF(D36="同一抵押权人同一抵押物续贷",C36&amp;"（未扣减，详见特别提示）",C36)</f>
        <v>0</v>
      </c>
      <c r="I104" s="138"/>
    </row>
    <row r="105" spans="1:35" ht="18.75" customHeight="1" thickBot="1">
      <c r="A105" s="3111"/>
      <c r="B105" s="2522" t="s">
        <v>2287</v>
      </c>
      <c r="C105" s="742">
        <f ca="1">I118</f>
        <v>49934</v>
      </c>
      <c r="D105" s="743"/>
      <c r="E105" s="2266" t="s">
        <v>2292</v>
      </c>
      <c r="F105" s="2257"/>
      <c r="G105" s="2520" t="s">
        <v>2289</v>
      </c>
      <c r="H105" s="1049">
        <f>C37</f>
        <v>0</v>
      </c>
      <c r="I105" s="138"/>
    </row>
    <row r="106" spans="1:35" ht="18.75" customHeight="1">
      <c r="A106" s="2417" t="s">
        <v>2293</v>
      </c>
      <c r="B106" s="2417"/>
      <c r="C106" s="2417"/>
      <c r="D106" s="2417"/>
      <c r="E106" s="2523" t="s">
        <v>2294</v>
      </c>
      <c r="F106" s="2257"/>
      <c r="G106" s="2520" t="s">
        <v>2289</v>
      </c>
      <c r="H106" s="1049">
        <f>C38</f>
        <v>0</v>
      </c>
      <c r="I106" s="138"/>
    </row>
    <row r="107" spans="1:35" ht="18.75" customHeight="1">
      <c r="A107" s="138"/>
      <c r="B107" s="138"/>
      <c r="C107" s="138"/>
      <c r="D107" s="138"/>
      <c r="E107" s="3107" t="str">
        <f>IF(项目基本情况!E8="已注销","——","3.房地产抵押价值")</f>
        <v>3.房地产抵押价值</v>
      </c>
      <c r="F107" s="3108"/>
      <c r="G107" s="2519" t="s">
        <v>2285</v>
      </c>
      <c r="H107" s="1048">
        <f ca="1">IF(E107="——","——",H101-H103)</f>
        <v>457</v>
      </c>
      <c r="I107" s="138"/>
    </row>
    <row r="108" spans="1:35" ht="18.75" customHeight="1">
      <c r="A108" s="138"/>
      <c r="B108" s="138"/>
      <c r="C108" s="138"/>
      <c r="D108" s="138"/>
      <c r="E108" s="3107"/>
      <c r="F108" s="3108"/>
      <c r="G108" s="2519" t="s">
        <v>2287</v>
      </c>
      <c r="H108" s="371">
        <f ca="1">ROUND(H107*10000/'数据-汇总表'!E3,0)</f>
        <v>49934</v>
      </c>
      <c r="I108" s="138"/>
    </row>
    <row r="109" spans="1:35" ht="18.75" customHeight="1">
      <c r="A109" s="138"/>
      <c r="B109" s="138"/>
      <c r="C109" s="138"/>
      <c r="D109" s="138"/>
      <c r="E109" s="3107" t="str">
        <f>IF(项目基本情况!E8="已注销及未注销","4.抵押担保权已注销时的房地产抵押价值",IF(项目基本情况!E8="已注销","3.抵押担保权已注销时的房地产抵押价值","——"))</f>
        <v>——</v>
      </c>
      <c r="F109" s="3108"/>
      <c r="G109" s="2519" t="s">
        <v>2285</v>
      </c>
      <c r="H109" s="348" t="str">
        <f>IF(E109="——","——",H101-H105-H106)</f>
        <v>——</v>
      </c>
      <c r="I109" s="138"/>
    </row>
    <row r="110" spans="1:35" ht="18.75" customHeight="1">
      <c r="A110" s="138"/>
      <c r="B110" s="138"/>
      <c r="C110" s="138"/>
      <c r="D110" s="138"/>
      <c r="E110" s="3107"/>
      <c r="F110" s="3108"/>
      <c r="G110" s="2519" t="s">
        <v>2287</v>
      </c>
      <c r="H110" s="371" t="str">
        <f>IF(H109="——","——",ROUND(H109*10000/'数据-汇总表'!E3,0))</f>
        <v>——</v>
      </c>
      <c r="I110" s="138"/>
    </row>
    <row r="111" spans="1:35" ht="18.75" customHeight="1">
      <c r="A111" s="138"/>
      <c r="B111" s="138"/>
      <c r="C111" s="138"/>
      <c r="D111" s="138"/>
      <c r="E111" s="3142" t="str">
        <f>IF(项目基本情况!E9="抵押净值",IF(OR(项目基本情况!E8="已注销",项目基本情况!E8="房地产抵押价值"),"4.抵押净值","5.抵押净值"),"——")</f>
        <v>——</v>
      </c>
      <c r="F111" s="3143"/>
      <c r="G111" s="2519" t="s">
        <v>2285</v>
      </c>
      <c r="H111" s="1048" t="str">
        <f>IF(E111="——","——",N59)</f>
        <v>——</v>
      </c>
      <c r="I111" s="138"/>
    </row>
    <row r="112" spans="1:35" ht="18.75" customHeight="1" thickBot="1">
      <c r="A112" s="138"/>
      <c r="B112" s="138"/>
      <c r="C112" s="138"/>
      <c r="D112" s="138"/>
      <c r="E112" s="3144"/>
      <c r="F112" s="3145"/>
      <c r="G112" s="2524" t="s">
        <v>2287</v>
      </c>
      <c r="H112" s="790" t="str">
        <f>IF(E111="——","——",N61)</f>
        <v>——</v>
      </c>
      <c r="I112" s="138"/>
    </row>
    <row r="113" spans="1:11" ht="18.75" customHeight="1">
      <c r="A113" s="138"/>
      <c r="B113" s="138"/>
      <c r="C113" s="138"/>
      <c r="D113" s="138"/>
      <c r="E113" s="3112" t="s">
        <v>2293</v>
      </c>
      <c r="F113" s="3112"/>
      <c r="G113" s="3112"/>
      <c r="H113" s="3112"/>
      <c r="I113" s="138"/>
    </row>
    <row r="114" spans="1:11" ht="3.75" customHeight="1">
      <c r="A114" s="2417"/>
      <c r="B114" s="2417"/>
      <c r="C114" s="2417"/>
      <c r="D114" s="2417"/>
      <c r="E114" s="2495"/>
      <c r="F114" s="2495"/>
      <c r="G114" s="2495"/>
      <c r="H114" s="2495"/>
      <c r="I114" s="2417"/>
    </row>
    <row r="115" spans="1:11" ht="18.75" customHeight="1">
      <c r="A115" s="3125" t="s">
        <v>2295</v>
      </c>
      <c r="B115" s="3126"/>
      <c r="C115" s="3126"/>
      <c r="D115" s="3126"/>
      <c r="E115" s="3126"/>
      <c r="F115" s="3126"/>
      <c r="G115" s="3126"/>
      <c r="H115" s="3126"/>
      <c r="I115" s="3127"/>
    </row>
    <row r="116" spans="1:11" ht="27" customHeight="1">
      <c r="A116" s="3018" t="s">
        <v>2296</v>
      </c>
      <c r="B116" s="3113" t="s">
        <v>2297</v>
      </c>
      <c r="C116" s="3113" t="s">
        <v>2298</v>
      </c>
      <c r="D116" s="3129" t="s">
        <v>2299</v>
      </c>
      <c r="E116" s="3130"/>
      <c r="F116" s="3121" t="s">
        <v>2300</v>
      </c>
      <c r="G116" s="3121"/>
      <c r="H116" s="3018" t="s">
        <v>2301</v>
      </c>
      <c r="I116" s="3018"/>
    </row>
    <row r="117" spans="1:11" ht="18.75" customHeight="1">
      <c r="A117" s="3018"/>
      <c r="B117" s="3114"/>
      <c r="C117" s="3114"/>
      <c r="D117" s="1797" t="s">
        <v>2302</v>
      </c>
      <c r="E117" s="1797" t="s">
        <v>2303</v>
      </c>
      <c r="F117" s="1797" t="s">
        <v>2302</v>
      </c>
      <c r="G117" s="1797" t="s">
        <v>2304</v>
      </c>
      <c r="H117" s="1797" t="s">
        <v>2302</v>
      </c>
      <c r="I117" s="1797" t="s">
        <v>2304</v>
      </c>
    </row>
    <row r="118" spans="1:11" ht="24.75" customHeight="1">
      <c r="A118" s="2525" t="str">
        <f>项目基本情况!S2</f>
        <v>北京市朝阳区建国路29号兴隆家园38号楼4门102号住宅用房房地产</v>
      </c>
      <c r="B118" s="1797">
        <f>M18</f>
        <v>91.52</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457</v>
      </c>
      <c r="I118" s="1797">
        <f ca="1">ROUND(IF(D32="楼面单价",C32,H118*10000/B118),0)</f>
        <v>49934</v>
      </c>
    </row>
    <row r="119" spans="1:11" ht="18.75" customHeight="1">
      <c r="A119" s="3018" t="s">
        <v>2305</v>
      </c>
      <c r="B119" s="3018"/>
      <c r="C119" s="3018"/>
      <c r="D119" s="3118" t="e">
        <f ca="1">NUMBERSTRING(INT(D118*10000),2)&amp;"元整"</f>
        <v>#REF!</v>
      </c>
      <c r="E119" s="3120"/>
      <c r="F119" s="3118" t="e">
        <f ca="1">NUMBERSTRING(INT(F118*10000),2)&amp;"元整"</f>
        <v>#REF!</v>
      </c>
      <c r="G119" s="3120"/>
      <c r="H119" s="3118" t="str">
        <f ca="1">NUMBERSTRING(INT(H118*10000),2)&amp;"元整"</f>
        <v>肆佰伍拾柒万元整</v>
      </c>
      <c r="I119" s="3120"/>
    </row>
    <row r="120" spans="1:11" ht="18.75" customHeight="1">
      <c r="A120" s="3146" t="str">
        <f>IF(项目基本情况!B9="房地产市场价值","",MID(E103,3,LEN(E103)-2))</f>
        <v>估价师知悉的法定优先受偿款</v>
      </c>
      <c r="B120" s="3147"/>
      <c r="C120" s="3148"/>
      <c r="D120" s="3146">
        <f>H103</f>
        <v>0</v>
      </c>
      <c r="E120" s="3147"/>
      <c r="F120" s="3147"/>
      <c r="G120" s="3147"/>
      <c r="H120" s="3147"/>
      <c r="I120" s="3148"/>
      <c r="K120" s="2422" t="str">
        <f>IF(D120=0,"故，本次评估不存在"&amp;A120,"故，本次评估"&amp;A120&amp;"为人民币"&amp;D120&amp;"万元整。")</f>
        <v>故，本次评估不存在估价师知悉的法定优先受偿款</v>
      </c>
    </row>
    <row r="121" spans="1:11" ht="18.75" customHeight="1">
      <c r="A121" s="3122" t="s">
        <v>2305</v>
      </c>
      <c r="B121" s="3123"/>
      <c r="C121" s="3124"/>
      <c r="D121" s="3118" t="str">
        <f>IF(D120=0,"零元整",NUMBERSTRING(INT(D120*10000),2)&amp;"元整")</f>
        <v>零元整</v>
      </c>
      <c r="E121" s="3119"/>
      <c r="F121" s="3119"/>
      <c r="G121" s="3119"/>
      <c r="H121" s="3119"/>
      <c r="I121" s="3120"/>
    </row>
    <row r="122" spans="1:11" ht="18.75" customHeight="1">
      <c r="A122" s="3109" t="str">
        <f>IF(项目基本情况!B9="房地产市场价值","",MID(E107,3,LEN(E107)-2))</f>
        <v>房地产抵押价值</v>
      </c>
      <c r="B122" s="3109"/>
      <c r="C122" s="3109"/>
      <c r="D122" s="3146">
        <f ca="1">H107</f>
        <v>457</v>
      </c>
      <c r="E122" s="3147"/>
      <c r="F122" s="3147"/>
      <c r="G122" s="3147"/>
      <c r="H122" s="3147"/>
      <c r="I122" s="3148"/>
    </row>
    <row r="123" spans="1:11" ht="18.75" customHeight="1">
      <c r="A123" s="3018" t="s">
        <v>2305</v>
      </c>
      <c r="B123" s="3018"/>
      <c r="C123" s="3018"/>
      <c r="D123" s="3118" t="str">
        <f ca="1">NUMBERSTRING(INT(D122*10000),2)&amp;"元整"</f>
        <v>肆佰伍拾柒万元整</v>
      </c>
      <c r="E123" s="3119"/>
      <c r="F123" s="3119"/>
      <c r="G123" s="3119"/>
      <c r="H123" s="3119"/>
      <c r="I123" s="3120"/>
    </row>
    <row r="124" spans="1:11" ht="18.75" customHeight="1">
      <c r="A124" s="3109" t="str">
        <f>IF(项目基本情况!B9="房地产市场价值","",MID(E109,3,LEN(E109)-2))</f>
        <v/>
      </c>
      <c r="B124" s="3109"/>
      <c r="C124" s="3109"/>
      <c r="D124" s="3146" t="str">
        <f>H109</f>
        <v>——</v>
      </c>
      <c r="E124" s="3147"/>
      <c r="F124" s="3147"/>
      <c r="G124" s="3147"/>
      <c r="H124" s="3147"/>
      <c r="I124" s="3148"/>
    </row>
    <row r="125" spans="1:11" ht="18.75" customHeight="1">
      <c r="A125" s="3018" t="s">
        <v>2305</v>
      </c>
      <c r="B125" s="3018"/>
      <c r="C125" s="3018"/>
      <c r="D125" s="3118" t="e">
        <f>NUMBERSTRING(INT(D124*10000),2)&amp;"元整"</f>
        <v>#VALUE!</v>
      </c>
      <c r="E125" s="3119"/>
      <c r="F125" s="3119"/>
      <c r="G125" s="3119"/>
      <c r="H125" s="3119"/>
      <c r="I125" s="3120"/>
    </row>
    <row r="126" spans="1:11" ht="18.75" customHeight="1">
      <c r="A126" s="3109" t="str">
        <f>IF(项目基本情况!B9="房地产市场价值","",MID(E111,3,LEN(E111)-2))</f>
        <v/>
      </c>
      <c r="B126" s="3109"/>
      <c r="C126" s="3109"/>
      <c r="D126" s="3146" t="str">
        <f>H111</f>
        <v>——</v>
      </c>
      <c r="E126" s="3147"/>
      <c r="F126" s="3147"/>
      <c r="G126" s="3147"/>
      <c r="H126" s="3147"/>
      <c r="I126" s="3148"/>
    </row>
    <row r="127" spans="1:11" ht="18.75" customHeight="1">
      <c r="A127" s="3018" t="s">
        <v>2305</v>
      </c>
      <c r="B127" s="3018"/>
      <c r="C127" s="3018"/>
      <c r="D127" s="3118" t="e">
        <f>NUMBERSTRING(INT(D126*10000),2)&amp;"元整"</f>
        <v>#VALUE!</v>
      </c>
      <c r="E127" s="3119"/>
      <c r="F127" s="3119"/>
      <c r="G127" s="3119"/>
      <c r="H127" s="3119"/>
      <c r="I127" s="3120"/>
    </row>
    <row r="128" spans="1:11" ht="21.75" customHeight="1">
      <c r="A128" s="3128" t="s">
        <v>2306</v>
      </c>
      <c r="B128" s="3128"/>
      <c r="C128" s="3128"/>
      <c r="D128" s="3128"/>
      <c r="E128" s="3128"/>
      <c r="F128" s="3128"/>
      <c r="G128" s="3128"/>
      <c r="H128" s="3128"/>
      <c r="I128" s="3128"/>
    </row>
    <row r="129" spans="1:35" ht="21.75" customHeight="1">
      <c r="A129" s="2526" t="s">
        <v>2307</v>
      </c>
      <c r="B129" s="2527"/>
      <c r="C129" s="2528" t="s">
        <v>2308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2309</v>
      </c>
      <c r="G135" s="2543"/>
      <c r="H135" s="2543"/>
      <c r="I135" s="2544" t="s">
        <v>2310</v>
      </c>
    </row>
    <row r="136" spans="1:35" ht="21.75" customHeight="1">
      <c r="A136" s="795"/>
      <c r="B136" s="2545"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2312</v>
      </c>
    </row>
    <row r="139" spans="1:35" ht="21.75" customHeight="1">
      <c r="A139" s="795"/>
      <c r="B139" s="2545" t="s">
        <v>2313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9"/>
      <c r="C1" s="242"/>
      <c r="D1" s="242"/>
      <c r="E1" s="242"/>
      <c r="F1" s="242"/>
      <c r="G1" s="1382">
        <f>MATCH(B1,'数据-取费表'!A6:A16,0)+5</f>
        <v>7</v>
      </c>
    </row>
    <row r="2" spans="1:9" s="244" customFormat="1" ht="18" customHeight="1">
      <c r="A2" s="245" t="s">
        <v>2315</v>
      </c>
      <c r="B2" s="246">
        <f ca="1">IF(D2="——",C52,C52-E2)</f>
        <v>25</v>
      </c>
      <c r="C2" s="243" t="s">
        <v>2316</v>
      </c>
      <c r="D2" s="2548" t="s">
        <v>70</v>
      </c>
      <c r="E2" s="1443" t="e">
        <f ca="1">SUMIF(INDIRECT("'"&amp;G2&amp;"'"&amp;"!A:A"),"承租人权益价值",INDIRECT("'"&amp;G2&amp;"'"&amp;"!c:c"))</f>
        <v>#REF!</v>
      </c>
      <c r="F2" s="2549" t="s">
        <v>2316</v>
      </c>
      <c r="G2" s="2550"/>
    </row>
    <row r="3" spans="1:9" s="244" customFormat="1" ht="18" customHeight="1" thickBot="1">
      <c r="A3" s="247" t="s">
        <v>2317</v>
      </c>
      <c r="B3" s="248">
        <f ca="1">ROUND(B2*10000/(IF(B1="",'数据-汇总表'!E3,INDIRECT("'数据-取费表'!k"&amp;$G$1))),0)</f>
        <v>2732</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2</v>
      </c>
      <c r="D5" s="255" t="s">
        <v>2322</v>
      </c>
      <c r="E5" s="256" t="s">
        <v>2323</v>
      </c>
      <c r="F5" s="256" t="s">
        <v>2324</v>
      </c>
      <c r="G5" s="257"/>
    </row>
    <row r="6" spans="1:9" s="258" customFormat="1" ht="13.5" customHeight="1">
      <c r="A6" s="952" t="s">
        <v>2325</v>
      </c>
      <c r="B6" s="259" t="s">
        <v>2326</v>
      </c>
      <c r="C6" s="260"/>
      <c r="D6" s="261"/>
      <c r="E6" s="262"/>
      <c r="F6" s="262"/>
      <c r="G6" s="263"/>
    </row>
    <row r="7" spans="1:9" s="258" customFormat="1" ht="13.5" customHeight="1">
      <c r="A7" s="952" t="s">
        <v>2327</v>
      </c>
      <c r="B7" s="259" t="s">
        <v>2328</v>
      </c>
      <c r="C7" s="264">
        <f>ROUND(C6*F7,0)</f>
        <v>0</v>
      </c>
      <c r="D7" s="264"/>
      <c r="E7" s="262"/>
      <c r="F7" s="265">
        <f>'数据-取费表'!B48+'数据-取费表'!B49</f>
        <v>3.0499999999999999E-2</v>
      </c>
      <c r="G7" s="263"/>
    </row>
    <row r="8" spans="1:9" s="267" customFormat="1">
      <c r="A8" s="952" t="s">
        <v>2329</v>
      </c>
      <c r="B8" s="259" t="s">
        <v>2330</v>
      </c>
      <c r="C8" s="264">
        <f>IF(G8="已包含在土地购买价格中","0",IF(B1="",'数据-取费表'!B29,IF(G9="全部缴纳",C9+C10,H9)))</f>
        <v>2</v>
      </c>
      <c r="D8" s="266"/>
      <c r="E8" s="264"/>
      <c r="F8" s="265"/>
      <c r="G8" s="2551"/>
    </row>
    <row r="9" spans="1:9" s="258" customFormat="1" ht="13.5" customHeight="1">
      <c r="A9" s="953" t="s">
        <v>800</v>
      </c>
      <c r="B9" s="268" t="s">
        <v>2331</v>
      </c>
      <c r="C9" s="269">
        <f ca="1">ROUND(D9*E9/10000,0)</f>
        <v>2</v>
      </c>
      <c r="D9" s="1035">
        <f ca="1">IF(B1="",'数据-汇总表'!E5,IF(INDIRECT("'数据-取费表'!c"&amp;$G$1)="住宅",INDIRECT("'数据-取费表'!k"&amp;$G$1),0))</f>
        <v>91.52</v>
      </c>
      <c r="E9" s="269">
        <f>'数据-取费表'!B27</f>
        <v>200</v>
      </c>
      <c r="F9" s="265"/>
      <c r="G9" s="2552"/>
      <c r="H9" s="1393"/>
      <c r="I9" s="2553" t="s">
        <v>2332</v>
      </c>
    </row>
    <row r="10" spans="1:9" s="258" customFormat="1" ht="13.5" customHeight="1">
      <c r="A10" s="953" t="s">
        <v>801</v>
      </c>
      <c r="B10" s="268" t="s">
        <v>2333</v>
      </c>
      <c r="C10" s="269">
        <f ca="1">ROUND(D10*E10/10000,0)</f>
        <v>0</v>
      </c>
      <c r="D10" s="1035">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f ca="1">IF(G19="已包含在土地取得成本中","0",ROUND(D19*E19/10000,0))</f>
        <v>2</v>
      </c>
      <c r="D19" s="1039">
        <f ca="1">D9+D10</f>
        <v>91.52</v>
      </c>
      <c r="E19" s="255">
        <f>'数据-取费表'!B31</f>
        <v>200</v>
      </c>
      <c r="F19" s="275"/>
      <c r="G19" s="2551"/>
    </row>
    <row r="20" spans="1:7" s="258" customFormat="1" ht="13.5" customHeight="1">
      <c r="A20" s="299" t="s">
        <v>2346</v>
      </c>
      <c r="B20" s="254" t="s">
        <v>2347</v>
      </c>
      <c r="C20" s="276">
        <f ca="1">ROUND((C5+C19)*F20,0)</f>
        <v>0</v>
      </c>
      <c r="D20" s="276"/>
      <c r="E20" s="276"/>
      <c r="F20" s="277">
        <f>'数据-取费表'!B37</f>
        <v>0.01</v>
      </c>
      <c r="G20" s="278" t="s">
        <v>2348</v>
      </c>
    </row>
    <row r="21" spans="1:7" s="258" customFormat="1" ht="13.5" customHeight="1">
      <c r="A21" s="299" t="s">
        <v>2349</v>
      </c>
      <c r="B21" s="254" t="s">
        <v>2350</v>
      </c>
      <c r="C21" s="279">
        <f>F21</f>
        <v>0.01</v>
      </c>
      <c r="D21" s="280" t="s">
        <v>2351</v>
      </c>
      <c r="E21" s="276"/>
      <c r="F21" s="277">
        <f>'数据-取费表'!B38</f>
        <v>0.01</v>
      </c>
      <c r="G21" s="278" t="s">
        <v>2352</v>
      </c>
    </row>
    <row r="22" spans="1:7" s="258" customFormat="1" ht="13.5" customHeight="1">
      <c r="A22" s="299" t="s">
        <v>2353</v>
      </c>
      <c r="B22" s="254" t="s">
        <v>2354</v>
      </c>
      <c r="C22" s="1357">
        <f ca="1">ROUND(SUM(C23:C25),0)</f>
        <v>0</v>
      </c>
      <c r="D22" s="279">
        <f ca="1">C26</f>
        <v>2.0000000000000001E-4</v>
      </c>
      <c r="E22" s="280" t="s">
        <v>2351</v>
      </c>
      <c r="F22" s="281">
        <f ca="1">'数据-取费表'!B40</f>
        <v>4.3499999999999997E-2</v>
      </c>
      <c r="G22" s="278" t="str">
        <f>IF('数据-取费表'!B22&lt;=1,"单利计息","复利计息")</f>
        <v>单利计息</v>
      </c>
    </row>
    <row r="23" spans="1:7" s="258" customFormat="1" ht="13.5" customHeight="1">
      <c r="A23" s="954" t="s">
        <v>2355</v>
      </c>
      <c r="B23" s="259" t="s">
        <v>2356</v>
      </c>
      <c r="C23" s="1358">
        <f ca="1">ROUND(IF('数据-取费表'!B22&lt;=1,C5*F22*'数据-取费表'!B23,C5*(POWER((1+F22),'数据-取费表'!B23)-1)),0)</f>
        <v>0</v>
      </c>
      <c r="D23" s="282"/>
      <c r="E23" s="282"/>
      <c r="F23" s="283"/>
      <c r="G23" s="284" t="s">
        <v>2357</v>
      </c>
    </row>
    <row r="24" spans="1:7" s="258" customFormat="1" ht="13.5" customHeight="1">
      <c r="A24" s="954" t="s">
        <v>2358</v>
      </c>
      <c r="B24" s="259" t="s">
        <v>2359</v>
      </c>
      <c r="C24" s="1358">
        <f ca="1">ROUND(IF('数据-取费表'!B22&lt;=1,C19*F22*('数据-取费表'!B19/2+'数据-取费表'!B21),C19*(POWER((1+F22),('数据-取费表'!B19/2+'数据-取费表'!B21))-1)),0)</f>
        <v>0</v>
      </c>
      <c r="D24" s="282"/>
      <c r="E24" s="282"/>
      <c r="F24" s="283"/>
      <c r="G24" s="284" t="s">
        <v>2360</v>
      </c>
    </row>
    <row r="25" spans="1:7" s="258" customFormat="1" ht="24">
      <c r="A25" s="954" t="s">
        <v>2361</v>
      </c>
      <c r="B25" s="259" t="s">
        <v>2362</v>
      </c>
      <c r="C25" s="1358">
        <f ca="1">ROUND(IF('数据-取费表'!B22&lt;=1,C20*F22*'数据-取费表'!B23/2,C20*(POWER((1+F22),'数据-取费表'!B23/2)-1)),0)</f>
        <v>0</v>
      </c>
      <c r="D25" s="282"/>
      <c r="E25" s="285"/>
      <c r="F25" s="283"/>
      <c r="G25" s="286" t="s">
        <v>2363</v>
      </c>
    </row>
    <row r="26" spans="1:7" s="258" customFormat="1">
      <c r="A26" s="954" t="s">
        <v>795</v>
      </c>
      <c r="B26" s="259" t="s">
        <v>2364</v>
      </c>
      <c r="C26" s="282">
        <f ca="1">ROUND(IF('数据-取费表'!B22&lt;=1,F21*F22*'数据-取费表'!B23/2,F21*(POWER((1+F22),'数据-取费表'!B23/2)-1)),4)</f>
        <v>2.0000000000000001E-4</v>
      </c>
      <c r="D26" s="282"/>
      <c r="E26" s="285"/>
      <c r="F26" s="283"/>
      <c r="G26" s="287"/>
    </row>
    <row r="27" spans="1:7" s="258" customFormat="1" ht="24.75">
      <c r="A27" s="299" t="s">
        <v>2365</v>
      </c>
      <c r="B27" s="288" t="s">
        <v>2366</v>
      </c>
      <c r="C27" s="289">
        <f ca="1">C28</f>
        <v>1</v>
      </c>
      <c r="D27" s="279">
        <f ca="1">C29</f>
        <v>2E-3</v>
      </c>
      <c r="E27" s="280" t="s">
        <v>2367</v>
      </c>
      <c r="F27" s="290">
        <f ca="1">IF(B1="",'数据-取费表'!Q16,INDIRECT("'数据-取费表'!q"&amp;$G$1))</f>
        <v>0.2</v>
      </c>
      <c r="G27" s="291" t="s">
        <v>2368</v>
      </c>
    </row>
    <row r="28" spans="1:7" s="258" customFormat="1" ht="13.5" customHeight="1">
      <c r="A28" s="954" t="s">
        <v>791</v>
      </c>
      <c r="B28" s="292" t="s">
        <v>2369</v>
      </c>
      <c r="C28" s="293">
        <f ca="1">ROUND((C5+C19+C20)*F27*'数据-取费表'!B21/'数据-取费表'!B20,0)</f>
        <v>1</v>
      </c>
      <c r="D28" s="279"/>
      <c r="E28" s="280"/>
      <c r="F28" s="290"/>
      <c r="G28" s="291"/>
    </row>
    <row r="29" spans="1:7" s="258" customFormat="1" ht="13.5" customHeight="1">
      <c r="A29" s="954" t="s">
        <v>792</v>
      </c>
      <c r="B29" s="292" t="s">
        <v>2370</v>
      </c>
      <c r="C29" s="282">
        <f ca="1">ROUND(C21*F27*'数据-取费表'!B21/'数据-取费表'!B20,4)</f>
        <v>2E-3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5</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22</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18</v>
      </c>
      <c r="D34" s="261"/>
      <c r="E34" s="264"/>
      <c r="F34" s="301">
        <f ca="1">IF('数据-取费表'!B24=0,1,IF(B1="",'数据-取费表'!N16,INDIRECT("'数据-取费表'!n"&amp;$G$1)))</f>
        <v>1</v>
      </c>
      <c r="G34" s="263" t="s">
        <v>2379</v>
      </c>
    </row>
    <row r="35" spans="1:7" ht="13.5" customHeight="1">
      <c r="A35" s="954" t="s">
        <v>796</v>
      </c>
      <c r="B35" s="259" t="s">
        <v>2380</v>
      </c>
      <c r="C35" s="264">
        <f ca="1">ROUND(C34*F35,0)</f>
        <v>1</v>
      </c>
      <c r="D35" s="264"/>
      <c r="E35" s="264"/>
      <c r="F35" s="303">
        <f>'数据-取费表'!B33</f>
        <v>0.03</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1</v>
      </c>
      <c r="D36" s="264"/>
      <c r="E36" s="264"/>
      <c r="F36" s="303">
        <f>'数据-取费表'!B34</f>
        <v>0.03</v>
      </c>
      <c r="G36" s="304" t="s">
        <v>2383</v>
      </c>
    </row>
    <row r="37" spans="1:7" s="302" customFormat="1" ht="13.5" customHeight="1">
      <c r="A37" s="954" t="s">
        <v>798</v>
      </c>
      <c r="B37" s="259" t="s">
        <v>2384</v>
      </c>
      <c r="C37" s="293">
        <f ca="1">ROUND(E37*D37*F34/10000,0)</f>
        <v>2</v>
      </c>
      <c r="D37" s="261">
        <f ca="1">D19</f>
        <v>91.52</v>
      </c>
      <c r="E37" s="293">
        <f>'数据-取费表'!B35</f>
        <v>200</v>
      </c>
      <c r="F37" s="303"/>
      <c r="G37" s="305" t="s">
        <v>2385</v>
      </c>
    </row>
    <row r="38" spans="1:7" ht="13.5" customHeight="1">
      <c r="A38" s="954" t="s">
        <v>799</v>
      </c>
      <c r="B38" s="259" t="s">
        <v>2386</v>
      </c>
      <c r="C38" s="264">
        <f ca="1">ROUND(C34*F38,0)</f>
        <v>0</v>
      </c>
      <c r="D38" s="264"/>
      <c r="E38" s="264"/>
      <c r="F38" s="303">
        <f>'数据-取费表'!B36</f>
        <v>1.4999999999999999E-2</v>
      </c>
      <c r="G38" s="263" t="s">
        <v>2381</v>
      </c>
    </row>
    <row r="39" spans="1:7" s="258" customFormat="1" ht="13.5" customHeight="1">
      <c r="A39" s="299" t="s">
        <v>2387</v>
      </c>
      <c r="B39" s="254" t="s">
        <v>2388</v>
      </c>
      <c r="C39" s="276">
        <f ca="1">ROUND(C33*F20,0)</f>
        <v>0</v>
      </c>
      <c r="D39" s="276"/>
      <c r="E39" s="276"/>
      <c r="F39" s="277"/>
      <c r="G39" s="278" t="s">
        <v>2389</v>
      </c>
    </row>
    <row r="40" spans="1:7" s="258" customFormat="1" ht="13.5" customHeight="1">
      <c r="A40" s="299" t="s">
        <v>2390</v>
      </c>
      <c r="B40" s="254" t="s">
        <v>2391</v>
      </c>
      <c r="C40" s="1731">
        <f>F21</f>
        <v>0.01</v>
      </c>
      <c r="D40" s="280" t="s">
        <v>2392</v>
      </c>
      <c r="E40" s="276"/>
      <c r="F40" s="277"/>
      <c r="G40" s="278" t="s">
        <v>2393</v>
      </c>
    </row>
    <row r="41" spans="1:7" s="258" customFormat="1" ht="13.5" customHeight="1">
      <c r="A41" s="299" t="s">
        <v>2394</v>
      </c>
      <c r="B41" s="254" t="s">
        <v>2395</v>
      </c>
      <c r="C41" s="276">
        <f ca="1">ROUND(SUM(C42:C43),0)</f>
        <v>0</v>
      </c>
      <c r="D41" s="279">
        <f ca="1">C44</f>
        <v>2.0000000000000001E-4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ROUND(IF('数据-取费表'!B22&lt;=1,C33*F22*'数据-取费表'!B21/2,C33*(POWER((1+F22),'数据-取费表'!B21/2)-1)),0)</f>
        <v>0</v>
      </c>
      <c r="D42" s="282"/>
      <c r="E42" s="282"/>
      <c r="F42" s="283"/>
      <c r="G42" s="3160" t="s">
        <v>2397</v>
      </c>
    </row>
    <row r="43" spans="1:7" ht="13.5" customHeight="1">
      <c r="A43" s="954" t="s">
        <v>792</v>
      </c>
      <c r="B43" s="259" t="s">
        <v>2398</v>
      </c>
      <c r="C43" s="282">
        <f ca="1">ROUND(IF('数据-取费表'!B22&lt;=1,C39*F22*'数据-取费表'!B21/2,C39*(POWER((1+F22),'数据-取费表'!B21/2)-1)),0)</f>
        <v>0</v>
      </c>
      <c r="D43" s="282"/>
      <c r="E43" s="282"/>
      <c r="F43" s="283"/>
      <c r="G43" s="3161"/>
    </row>
    <row r="44" spans="1:7" ht="13.5" customHeight="1">
      <c r="A44" s="954" t="s">
        <v>793</v>
      </c>
      <c r="B44" s="259" t="s">
        <v>2399</v>
      </c>
      <c r="C44" s="282">
        <f ca="1">ROUND(IF('数据-取费表'!B22&lt;=1,C40*F22*'数据-取费表'!B21/2,C40*(POWER((1+F22),'数据-取费表'!B21/2)-1)),4)</f>
        <v>2.0000000000000001E-4</v>
      </c>
      <c r="D44" s="282"/>
      <c r="E44" s="282"/>
      <c r="F44" s="283"/>
      <c r="G44" s="3162"/>
    </row>
    <row r="45" spans="1:7" s="258" customFormat="1" ht="13.5" customHeight="1">
      <c r="A45" s="299" t="s">
        <v>2400</v>
      </c>
      <c r="B45" s="288" t="s">
        <v>2366</v>
      </c>
      <c r="C45" s="289">
        <f ca="1">C46</f>
        <v>4</v>
      </c>
      <c r="D45" s="279">
        <f ca="1">C47</f>
        <v>2E-3</v>
      </c>
      <c r="E45" s="280" t="s">
        <v>2392</v>
      </c>
      <c r="F45" s="290"/>
      <c r="G45" s="291" t="s">
        <v>2401</v>
      </c>
    </row>
    <row r="46" spans="1:7" s="258" customFormat="1" ht="13.5" customHeight="1">
      <c r="A46" s="954" t="s">
        <v>791</v>
      </c>
      <c r="B46" s="292" t="s">
        <v>2402</v>
      </c>
      <c r="C46" s="293">
        <f ca="1">ROUND((C33+C39)*F27,0)</f>
        <v>4</v>
      </c>
      <c r="D46" s="307"/>
      <c r="E46" s="280"/>
      <c r="F46" s="290"/>
      <c r="G46" s="291"/>
    </row>
    <row r="47" spans="1:7" s="258" customFormat="1" ht="13.5" customHeight="1">
      <c r="A47" s="954" t="s">
        <v>792</v>
      </c>
      <c r="B47" s="292" t="s">
        <v>2403</v>
      </c>
      <c r="C47" s="282">
        <f ca="1">ROUND(C40*F27,4)</f>
        <v>2E-3</v>
      </c>
      <c r="D47" s="307"/>
      <c r="E47" s="280"/>
      <c r="F47" s="290"/>
      <c r="G47" s="291"/>
    </row>
    <row r="48" spans="1:7" s="258" customFormat="1" ht="13.5" customHeight="1">
      <c r="A48" s="299" t="s">
        <v>2365</v>
      </c>
      <c r="B48" s="254" t="s">
        <v>2404</v>
      </c>
      <c r="C48" s="1731">
        <f>ROUND(F30/(1+'数据-取费表'!C42),4)</f>
        <v>5.33E-2</v>
      </c>
      <c r="D48" s="280" t="s">
        <v>2392</v>
      </c>
      <c r="E48" s="276"/>
      <c r="F48" s="281"/>
      <c r="G48" s="278" t="s">
        <v>2405</v>
      </c>
    </row>
    <row r="49" spans="1:7" ht="16.5" customHeight="1">
      <c r="A49" s="299" t="s">
        <v>2371</v>
      </c>
      <c r="B49" s="254" t="s">
        <v>2406</v>
      </c>
      <c r="C49" s="276">
        <f ca="1">ROUND((C33+C39+C41+C45)/(1-C40-D41-D45-C48),0)</f>
        <v>28</v>
      </c>
      <c r="D49" s="276"/>
      <c r="E49" s="276"/>
      <c r="F49" s="308"/>
      <c r="G49" s="278" t="s">
        <v>2407</v>
      </c>
    </row>
    <row r="50" spans="1:7" s="302" customFormat="1" ht="24">
      <c r="A50" s="299" t="s">
        <v>2408</v>
      </c>
      <c r="B50" s="254" t="s">
        <v>2409</v>
      </c>
      <c r="C50" s="276"/>
      <c r="D50" s="276"/>
      <c r="E50" s="276"/>
      <c r="F50" s="308">
        <f>IF('数据-取费表'!B24=0,'数据-取费表'!N16,1)</f>
        <v>0.7</v>
      </c>
      <c r="G50" s="291" t="s">
        <v>2410</v>
      </c>
    </row>
    <row r="51" spans="1:7" ht="16.5" customHeight="1">
      <c r="A51" s="299" t="s">
        <v>2411</v>
      </c>
      <c r="B51" s="254" t="s">
        <v>2412</v>
      </c>
      <c r="C51" s="276">
        <f ca="1">ROUND(C49*F50,0)</f>
        <v>20</v>
      </c>
      <c r="D51" s="276"/>
      <c r="E51" s="276"/>
      <c r="F51" s="308"/>
      <c r="G51" s="278" t="s">
        <v>2413</v>
      </c>
    </row>
    <row r="52" spans="1:7" s="252" customFormat="1" ht="16.5" thickBot="1">
      <c r="A52" s="309" t="s">
        <v>2414</v>
      </c>
      <c r="B52" s="310"/>
      <c r="C52" s="311">
        <f ca="1">C31+C51</f>
        <v>25</v>
      </c>
      <c r="D52" s="310"/>
      <c r="E52" s="310"/>
      <c r="F52" s="310"/>
      <c r="G52" s="312"/>
    </row>
    <row r="55" spans="1:7" ht="15">
      <c r="B55" s="314" t="s">
        <v>2415</v>
      </c>
      <c r="C55" s="315"/>
    </row>
    <row r="56" spans="1:7">
      <c r="B56" s="317" t="s">
        <v>1513</v>
      </c>
      <c r="C56" s="319">
        <f ca="1">1-C57</f>
        <v>0.19999999999999996</v>
      </c>
    </row>
    <row r="57" spans="1:7">
      <c r="B57" s="317" t="s">
        <v>1514</v>
      </c>
      <c r="C57" s="318">
        <f ca="1">ROUND(C51/C52,3)</f>
        <v>0.8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4" t="str">
        <f>项目基本情况!B1</f>
        <v>北京市朝阳区建国路29号兴隆家园38号楼4门102号住宅用房房地产抵押价值预评估</v>
      </c>
      <c r="C37" s="2974"/>
      <c r="D37" s="2974"/>
      <c r="E37" s="2974"/>
      <c r="F37" s="2974"/>
      <c r="G37" s="2974"/>
      <c r="H37" s="2974"/>
      <c r="I37" s="2974"/>
    </row>
    <row r="38" spans="1:9">
      <c r="A38" s="1019"/>
      <c r="B38" s="1019"/>
    </row>
    <row r="39" spans="1:9">
      <c r="A39" s="1017" t="s">
        <v>818</v>
      </c>
      <c r="B39" s="1017" t="s">
        <v>820</v>
      </c>
    </row>
    <row r="40" spans="1:9">
      <c r="A40" s="1017"/>
      <c r="B40" s="1944" t="str">
        <f>项目基本情况!B5</f>
        <v>北京力创昕业科技发展有限公司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康正预评字2018-1-0372-P01DYGJ1号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9"/>
      <c r="C1" s="2554" t="s">
        <v>2416</v>
      </c>
      <c r="D1" s="242"/>
      <c r="E1" s="242"/>
      <c r="F1" s="242"/>
      <c r="G1" s="1382">
        <f>MATCH(B1,'数据-取费表'!A6:A16,0)+5</f>
        <v>7</v>
      </c>
      <c r="H1" s="1285" t="str">
        <f>IF(ISERROR(FIND("住宅",B1)),"非住宅","住宅")</f>
        <v>非住宅</v>
      </c>
    </row>
    <row r="2" spans="1:8" s="244" customFormat="1" ht="18" customHeight="1">
      <c r="A2" s="245" t="s">
        <v>2315</v>
      </c>
      <c r="B2" s="246">
        <f ca="1">ROUND(IF(D2="——",C52/10000,C52/10000-E2),0)</f>
        <v>25</v>
      </c>
      <c r="C2" s="243" t="s">
        <v>2316</v>
      </c>
      <c r="D2" s="2548" t="s">
        <v>70</v>
      </c>
      <c r="E2" s="1443" t="e">
        <f ca="1">SUMIF(INDIRECT("'"&amp;G2&amp;"'"&amp;"!A:A"),"承租人权益价值",INDIRECT("'"&amp;G2&amp;"'"&amp;"!c:c"))</f>
        <v>#REF!</v>
      </c>
      <c r="F2" s="2549" t="s">
        <v>2316</v>
      </c>
      <c r="G2" s="2550"/>
    </row>
    <row r="3" spans="1:8" s="244" customFormat="1" ht="18" customHeight="1" thickBot="1">
      <c r="A3" s="247" t="s">
        <v>2317</v>
      </c>
      <c r="B3" s="248">
        <f ca="1">ROUND(B2*10000/(IF(B1="",'数据-汇总表'!E3,INDIRECT("'数据-取费表'!k"&amp;$G$1))),0)</f>
        <v>2732</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18304</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3.0499999999999999E-2</v>
      </c>
      <c r="G7" s="263"/>
    </row>
    <row r="8" spans="1:8" s="267" customFormat="1">
      <c r="A8" s="952" t="s">
        <v>2329</v>
      </c>
      <c r="B8" s="259" t="s">
        <v>2330</v>
      </c>
      <c r="C8" s="264">
        <f ca="1">IF(G8="已包含在土地购买价格中",0,C9+C10)</f>
        <v>18304</v>
      </c>
      <c r="D8" s="266"/>
      <c r="E8" s="264"/>
      <c r="F8" s="265"/>
      <c r="G8" s="2551"/>
    </row>
    <row r="9" spans="1:8" s="258" customFormat="1" ht="13.5" customHeight="1">
      <c r="A9" s="953" t="s">
        <v>800</v>
      </c>
      <c r="B9" s="268" t="s">
        <v>2331</v>
      </c>
      <c r="C9" s="269">
        <f ca="1">ROUND(D9*E9,0)</f>
        <v>18304</v>
      </c>
      <c r="D9" s="1035">
        <f ca="1">IF(B1="",'数据-汇总表'!E5,IF(INDIRECT("'数据-取费表'!c"&amp;$G$1)="住宅",INDIRECT("'数据-取费表'!k"&amp;$G$1),0))</f>
        <v>91.52</v>
      </c>
      <c r="E9" s="269">
        <f>'数据-取费表'!B27</f>
        <v>200</v>
      </c>
      <c r="F9" s="265"/>
      <c r="G9" s="270"/>
    </row>
    <row r="10" spans="1:8" s="258" customFormat="1" ht="13.5" customHeight="1">
      <c r="A10" s="953" t="s">
        <v>801</v>
      </c>
      <c r="B10" s="268" t="s">
        <v>2333</v>
      </c>
      <c r="C10" s="269">
        <f ca="1">ROUND(D10*E10,0)</f>
        <v>0</v>
      </c>
      <c r="D10" s="1035">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18304</v>
      </c>
      <c r="D19" s="1039">
        <f ca="1">D9+D10</f>
        <v>91.52</v>
      </c>
      <c r="E19" s="255">
        <f>'数据-取费表'!B31</f>
        <v>200</v>
      </c>
      <c r="F19" s="275"/>
      <c r="G19" s="2551"/>
    </row>
    <row r="20" spans="1:7" s="258" customFormat="1" ht="13.5" customHeight="1">
      <c r="A20" s="299" t="s">
        <v>2427</v>
      </c>
      <c r="B20" s="254" t="s">
        <v>2428</v>
      </c>
      <c r="C20" s="276">
        <f ca="1">ROUND((C5+C19)*F20,0)</f>
        <v>366</v>
      </c>
      <c r="D20" s="276"/>
      <c r="E20" s="276"/>
      <c r="F20" s="277">
        <f>'数据-取费表'!B37</f>
        <v>0.01</v>
      </c>
      <c r="G20" s="278" t="s">
        <v>2429</v>
      </c>
    </row>
    <row r="21" spans="1:7" s="258" customFormat="1" ht="13.5" customHeight="1">
      <c r="A21" s="299" t="s">
        <v>2430</v>
      </c>
      <c r="B21" s="254" t="s">
        <v>2431</v>
      </c>
      <c r="C21" s="279">
        <f>F21</f>
        <v>0.01</v>
      </c>
      <c r="D21" s="280" t="s">
        <v>2432</v>
      </c>
      <c r="E21" s="276"/>
      <c r="F21" s="277">
        <f>'数据-取费表'!B38</f>
        <v>0.01</v>
      </c>
      <c r="G21" s="278" t="s">
        <v>2433</v>
      </c>
    </row>
    <row r="22" spans="1:7" s="258" customFormat="1" ht="13.5" customHeight="1">
      <c r="A22" s="299" t="s">
        <v>2434</v>
      </c>
      <c r="B22" s="254" t="s">
        <v>2435</v>
      </c>
      <c r="C22" s="1383">
        <f ca="1">ROUND(SUM(C23:C25),0)</f>
        <v>1600</v>
      </c>
      <c r="D22" s="279">
        <f ca="1">C26</f>
        <v>2.0000000000000001E-4</v>
      </c>
      <c r="E22" s="280" t="s">
        <v>2432</v>
      </c>
      <c r="F22" s="281">
        <f ca="1">'数据-取费表'!B40</f>
        <v>4.3499999999999997E-2</v>
      </c>
      <c r="G22" s="278" t="str">
        <f>IF('数据-取费表'!B22&lt;=1,"单利计息","复利计息")</f>
        <v>单利计息</v>
      </c>
    </row>
    <row r="23" spans="1:7" s="258" customFormat="1" ht="13.5" customHeight="1">
      <c r="A23" s="954" t="s">
        <v>2325</v>
      </c>
      <c r="B23" s="259" t="s">
        <v>2436</v>
      </c>
      <c r="C23" s="1384">
        <f ca="1">ROUND(IF('数据-取费表'!B22&lt;=1,C5*F22*'数据-取费表'!B22,C5*(POWER((1+F22),'数据-取费表'!B22)-1)),0)</f>
        <v>796</v>
      </c>
      <c r="D23" s="282"/>
      <c r="E23" s="282"/>
      <c r="F23" s="283"/>
      <c r="G23" s="284" t="s">
        <v>2437</v>
      </c>
    </row>
    <row r="24" spans="1:7" s="258" customFormat="1" ht="13.5" customHeight="1">
      <c r="A24" s="954" t="s">
        <v>2327</v>
      </c>
      <c r="B24" s="259" t="s">
        <v>2438</v>
      </c>
      <c r="C24" s="1384">
        <f ca="1">ROUND(IF('数据-取费表'!B22&lt;=1,C19*F22*('数据-取费表'!B19/2+'数据-取费表'!B20),C19*(POWER((1+F22),('数据-取费表'!B19/2+'数据-取费表'!B20))-1)),0)</f>
        <v>796</v>
      </c>
      <c r="D24" s="282"/>
      <c r="E24" s="282"/>
      <c r="F24" s="283"/>
      <c r="G24" s="284" t="s">
        <v>2439</v>
      </c>
    </row>
    <row r="25" spans="1:7" s="258" customFormat="1" ht="24">
      <c r="A25" s="954" t="s">
        <v>2329</v>
      </c>
      <c r="B25" s="259" t="s">
        <v>2440</v>
      </c>
      <c r="C25" s="1384">
        <f ca="1">ROUND(IF('数据-取费表'!B22&lt;=1,C20*F22*'数据-取费表'!B22/2,C20*(POWER((1+F22),'数据-取费表'!B22/2)-1)),0)</f>
        <v>8</v>
      </c>
      <c r="D25" s="282"/>
      <c r="E25" s="285"/>
      <c r="F25" s="283"/>
      <c r="G25" s="286" t="s">
        <v>2441</v>
      </c>
    </row>
    <row r="26" spans="1:7" s="258" customFormat="1">
      <c r="A26" s="954" t="s">
        <v>795</v>
      </c>
      <c r="B26" s="259" t="s">
        <v>2364</v>
      </c>
      <c r="C26" s="282">
        <f ca="1">ROUND(IF('数据-取费表'!B22&lt;=1,F21*F22*'数据-取费表'!B22/2,F21*(POWER((1+F22),'数据-取费表'!B22/2)-1)),4)</f>
        <v>2.0000000000000001E-4</v>
      </c>
      <c r="D26" s="282"/>
      <c r="E26" s="285"/>
      <c r="F26" s="283"/>
      <c r="G26" s="287"/>
    </row>
    <row r="27" spans="1:7" s="258" customFormat="1" ht="24.75">
      <c r="A27" s="299" t="s">
        <v>2365</v>
      </c>
      <c r="B27" s="288" t="s">
        <v>2366</v>
      </c>
      <c r="C27" s="289">
        <f ca="1">C28</f>
        <v>7395</v>
      </c>
      <c r="D27" s="279">
        <f ca="1">C29</f>
        <v>2E-3</v>
      </c>
      <c r="E27" s="280" t="s">
        <v>2367</v>
      </c>
      <c r="F27" s="290">
        <f ca="1">IF(B1="",'数据-取费表'!Q16,INDIRECT("'数据-取费表'!q"&amp;$G$1))</f>
        <v>0.2</v>
      </c>
      <c r="G27" s="291" t="s">
        <v>2368</v>
      </c>
    </row>
    <row r="28" spans="1:7" s="258" customFormat="1" ht="13.5" customHeight="1">
      <c r="A28" s="954" t="s">
        <v>791</v>
      </c>
      <c r="B28" s="292" t="s">
        <v>2369</v>
      </c>
      <c r="C28" s="293">
        <f ca="1">ROUND((C5+C19+C20)*F27,0)</f>
        <v>7395</v>
      </c>
      <c r="D28" s="279"/>
      <c r="E28" s="280"/>
      <c r="F28" s="290"/>
      <c r="G28" s="291"/>
    </row>
    <row r="29" spans="1:7" s="258" customFormat="1" ht="13.5" customHeight="1">
      <c r="A29" s="954" t="s">
        <v>792</v>
      </c>
      <c r="B29" s="292" t="s">
        <v>2370</v>
      </c>
      <c r="C29" s="282">
        <f ca="1">ROUND(C21*F27,4)</f>
        <v>2E-3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49191</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215072</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183040</v>
      </c>
      <c r="D34" s="261"/>
      <c r="E34" s="264"/>
      <c r="F34" s="301"/>
      <c r="G34" s="263"/>
    </row>
    <row r="35" spans="1:7" ht="13.5" customHeight="1">
      <c r="A35" s="954" t="s">
        <v>796</v>
      </c>
      <c r="B35" s="259" t="s">
        <v>2380</v>
      </c>
      <c r="C35" s="264">
        <f ca="1">ROUND(C34*F35,0)</f>
        <v>5491</v>
      </c>
      <c r="D35" s="264"/>
      <c r="E35" s="264"/>
      <c r="F35" s="303">
        <f>'数据-取费表'!B33</f>
        <v>0.03</v>
      </c>
      <c r="G35" s="263" t="s">
        <v>2381</v>
      </c>
    </row>
    <row r="36" spans="1:7" ht="24">
      <c r="A36" s="954" t="s">
        <v>797</v>
      </c>
      <c r="B36" s="259" t="s">
        <v>2382</v>
      </c>
      <c r="C36" s="264">
        <f ca="1">ROUND(IF(B1="",SUM('数据-取费表'!AP6:AP13)*F36,IF(INDIRECT("'数据-取费表'!c"&amp;$G$1)="住宅",INDIRECT("'数据-取费表'!k"&amp;$G$1)*INDIRECT("'数据-取费表'!l"&amp;$G$1)*F36,0)),0)</f>
        <v>5491</v>
      </c>
      <c r="D36" s="264"/>
      <c r="E36" s="264"/>
      <c r="F36" s="303">
        <f>'数据-取费表'!B34</f>
        <v>0.03</v>
      </c>
      <c r="G36" s="304" t="s">
        <v>2383</v>
      </c>
    </row>
    <row r="37" spans="1:7" s="302" customFormat="1" ht="13.5" customHeight="1">
      <c r="A37" s="954" t="s">
        <v>798</v>
      </c>
      <c r="B37" s="259" t="s">
        <v>2384</v>
      </c>
      <c r="C37" s="293">
        <f ca="1">ROUND(E37*D37,0)</f>
        <v>18304</v>
      </c>
      <c r="D37" s="261">
        <f ca="1">D19</f>
        <v>91.52</v>
      </c>
      <c r="E37" s="293">
        <f>'数据-取费表'!B35</f>
        <v>200</v>
      </c>
      <c r="F37" s="303"/>
      <c r="G37" s="305"/>
    </row>
    <row r="38" spans="1:7" ht="13.5" customHeight="1">
      <c r="A38" s="954" t="s">
        <v>799</v>
      </c>
      <c r="B38" s="259" t="s">
        <v>2386</v>
      </c>
      <c r="C38" s="264">
        <f ca="1">ROUND(C34*F38,0)</f>
        <v>2746</v>
      </c>
      <c r="D38" s="264"/>
      <c r="E38" s="264"/>
      <c r="F38" s="303">
        <f>'数据-取费表'!B36</f>
        <v>1.4999999999999999E-2</v>
      </c>
      <c r="G38" s="263" t="s">
        <v>2381</v>
      </c>
    </row>
    <row r="39" spans="1:7" s="258" customFormat="1" ht="13.5" customHeight="1">
      <c r="A39" s="299" t="s">
        <v>2387</v>
      </c>
      <c r="B39" s="254" t="s">
        <v>2388</v>
      </c>
      <c r="C39" s="276">
        <f ca="1">ROUND(C33*F20,0)</f>
        <v>2151</v>
      </c>
      <c r="D39" s="276"/>
      <c r="E39" s="276"/>
      <c r="F39" s="277"/>
      <c r="G39" s="278" t="s">
        <v>2389</v>
      </c>
    </row>
    <row r="40" spans="1:7" s="258" customFormat="1" ht="13.5" customHeight="1">
      <c r="A40" s="299" t="s">
        <v>2390</v>
      </c>
      <c r="B40" s="254" t="s">
        <v>2391</v>
      </c>
      <c r="C40" s="1731">
        <f>F21</f>
        <v>0.01</v>
      </c>
      <c r="D40" s="280" t="s">
        <v>2392</v>
      </c>
      <c r="E40" s="276"/>
      <c r="F40" s="277"/>
      <c r="G40" s="278" t="s">
        <v>2393</v>
      </c>
    </row>
    <row r="41" spans="1:7" s="258" customFormat="1" ht="13.5" customHeight="1">
      <c r="A41" s="299" t="s">
        <v>2394</v>
      </c>
      <c r="B41" s="254" t="s">
        <v>2395</v>
      </c>
      <c r="C41" s="276">
        <f ca="1">ROUND(SUM(C42:C43),0)</f>
        <v>4725</v>
      </c>
      <c r="D41" s="279">
        <f ca="1">C44</f>
        <v>2.0000000000000001E-4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ROUND(IF('数据-取费表'!B22&lt;=1,C33*F22*'数据-取费表'!B20/2,C33*(POWER((1+F22),'数据-取费表'!B20/2)-1)),0)</f>
        <v>4678</v>
      </c>
      <c r="D42" s="282"/>
      <c r="E42" s="282"/>
      <c r="F42" s="283"/>
      <c r="G42" s="3160" t="s">
        <v>2444</v>
      </c>
    </row>
    <row r="43" spans="1:7" ht="13.5" customHeight="1">
      <c r="A43" s="954" t="s">
        <v>792</v>
      </c>
      <c r="B43" s="259" t="s">
        <v>2398</v>
      </c>
      <c r="C43" s="282">
        <f ca="1">ROUND(IF('数据-取费表'!B22&lt;=1,C39*F22*'数据-取费表'!B20/2,C39*(POWER((1+F22),'数据-取费表'!B20/2)-1)),0)</f>
        <v>47</v>
      </c>
      <c r="D43" s="282"/>
      <c r="E43" s="282"/>
      <c r="F43" s="283"/>
      <c r="G43" s="3161"/>
    </row>
    <row r="44" spans="1:7" ht="13.5" customHeight="1">
      <c r="A44" s="954" t="s">
        <v>793</v>
      </c>
      <c r="B44" s="259" t="s">
        <v>2399</v>
      </c>
      <c r="C44" s="282">
        <f ca="1">ROUND(IF('数据-取费表'!B22&lt;=1,C40*F22*'数据-取费表'!B20/2,C40*(POWER((1+F22),'数据-取费表'!B20/2)-1)),4)</f>
        <v>2.0000000000000001E-4</v>
      </c>
      <c r="D44" s="282"/>
      <c r="E44" s="282"/>
      <c r="F44" s="283"/>
      <c r="G44" s="3162"/>
    </row>
    <row r="45" spans="1:7" s="258" customFormat="1" ht="13.5" customHeight="1">
      <c r="A45" s="299" t="s">
        <v>2400</v>
      </c>
      <c r="B45" s="288" t="s">
        <v>2366</v>
      </c>
      <c r="C45" s="289">
        <f ca="1">C46</f>
        <v>43445</v>
      </c>
      <c r="D45" s="279">
        <f ca="1">C47</f>
        <v>2E-3</v>
      </c>
      <c r="E45" s="280" t="s">
        <v>2392</v>
      </c>
      <c r="F45" s="290"/>
      <c r="G45" s="291" t="s">
        <v>2401</v>
      </c>
    </row>
    <row r="46" spans="1:7" s="258" customFormat="1" ht="13.5" customHeight="1">
      <c r="A46" s="954" t="s">
        <v>791</v>
      </c>
      <c r="B46" s="292" t="s">
        <v>2402</v>
      </c>
      <c r="C46" s="293">
        <f ca="1">ROUND((C33+C39)*F27,0)</f>
        <v>43445</v>
      </c>
      <c r="D46" s="307"/>
      <c r="E46" s="280"/>
      <c r="F46" s="290"/>
      <c r="G46" s="291"/>
    </row>
    <row r="47" spans="1:7" s="258" customFormat="1" ht="13.5" customHeight="1">
      <c r="A47" s="954" t="s">
        <v>792</v>
      </c>
      <c r="B47" s="292" t="s">
        <v>2403</v>
      </c>
      <c r="C47" s="282">
        <f ca="1">ROUND(C40*F27,4)</f>
        <v>2E-3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283995</v>
      </c>
      <c r="D49" s="276"/>
      <c r="E49" s="276"/>
      <c r="F49" s="308"/>
      <c r="G49" s="278" t="s">
        <v>2407</v>
      </c>
    </row>
    <row r="50" spans="1:7" s="302" customFormat="1">
      <c r="A50" s="299" t="s">
        <v>2408</v>
      </c>
      <c r="B50" s="254" t="s">
        <v>2409</v>
      </c>
      <c r="C50" s="276"/>
      <c r="D50" s="276"/>
      <c r="E50" s="276"/>
      <c r="F50" s="308">
        <f>IF('数据-取费表'!B24=0,'数据-取费表'!N16,1)</f>
        <v>0.7</v>
      </c>
      <c r="G50" s="291"/>
    </row>
    <row r="51" spans="1:7" ht="16.5" customHeight="1">
      <c r="A51" s="299" t="s">
        <v>2411</v>
      </c>
      <c r="B51" s="254" t="s">
        <v>2446</v>
      </c>
      <c r="C51" s="276">
        <f ca="1">ROUND(C49*F50,0)</f>
        <v>198797</v>
      </c>
      <c r="D51" s="276"/>
      <c r="E51" s="276"/>
      <c r="F51" s="308"/>
      <c r="G51" s="278" t="s">
        <v>2413</v>
      </c>
    </row>
    <row r="52" spans="1:7" s="252" customFormat="1" ht="16.5" thickBot="1">
      <c r="A52" s="309" t="s">
        <v>2414</v>
      </c>
      <c r="B52" s="310"/>
      <c r="C52" s="311">
        <f ca="1">C31+C51</f>
        <v>247988</v>
      </c>
      <c r="D52" s="310"/>
      <c r="E52" s="310"/>
      <c r="F52" s="310"/>
      <c r="G52" s="312"/>
    </row>
    <row r="55" spans="1:7" ht="15">
      <c r="B55" s="314" t="s">
        <v>2415</v>
      </c>
      <c r="C55" s="315"/>
    </row>
    <row r="56" spans="1:7">
      <c r="B56" s="317" t="s">
        <v>1513</v>
      </c>
      <c r="C56" s="319">
        <f ca="1">1-C57</f>
        <v>0.19799999999999995</v>
      </c>
    </row>
    <row r="57" spans="1:7">
      <c r="B57" s="317" t="s">
        <v>1514</v>
      </c>
      <c r="C57" s="318">
        <f ca="1">ROUND(C51/C52,3)</f>
        <v>0.80200000000000005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2447</v>
      </c>
      <c r="B1" s="1584"/>
      <c r="C1" s="1585"/>
      <c r="D1" s="1583"/>
      <c r="E1" s="320"/>
      <c r="F1" s="320"/>
      <c r="G1" s="1584"/>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9" customFormat="1" ht="16.5" customHeight="1">
      <c r="A4" s="956" t="s">
        <v>2450</v>
      </c>
      <c r="B4" s="957"/>
      <c r="C4" s="999">
        <f>SUM(C8:K8)</f>
        <v>0</v>
      </c>
      <c r="D4" s="957"/>
      <c r="E4" s="957"/>
      <c r="F4" s="957"/>
      <c r="G4" s="957"/>
      <c r="H4" s="957"/>
      <c r="I4" s="957"/>
      <c r="J4" s="957"/>
      <c r="K4" s="958"/>
    </row>
    <row r="5" spans="1:33" s="963" customFormat="1" ht="24.75">
      <c r="A5" s="960" t="s">
        <v>2451</v>
      </c>
      <c r="B5" s="961" t="s">
        <v>2452</v>
      </c>
      <c r="C5" s="2555" t="s">
        <v>2453</v>
      </c>
      <c r="D5" s="2555" t="s">
        <v>2454</v>
      </c>
      <c r="E5" s="2555" t="s">
        <v>2455</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2459</v>
      </c>
      <c r="B8" s="177" t="s">
        <v>2460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2469</v>
      </c>
      <c r="C12" s="24">
        <f ca="1">ROUND(C11*F12,0)</f>
        <v>0</v>
      </c>
      <c r="D12" s="976"/>
      <c r="E12" s="375"/>
      <c r="F12" s="979">
        <f>'数据-取费表'!B33</f>
        <v>0.03</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0.03</v>
      </c>
      <c r="G13" s="8" t="s">
        <v>2472</v>
      </c>
      <c r="H13" s="971"/>
      <c r="I13" s="971"/>
      <c r="J13" s="971"/>
      <c r="K13" s="972"/>
    </row>
    <row r="14" spans="1:33" s="980" customFormat="1" ht="13.5" customHeight="1">
      <c r="A14" s="974" t="s">
        <v>1337</v>
      </c>
      <c r="B14" s="975" t="s">
        <v>2473</v>
      </c>
      <c r="C14" s="24">
        <f ca="1">ROUND(D14*E14*F11/10000,0)</f>
        <v>0</v>
      </c>
      <c r="D14" s="1036">
        <f ca="1">IF(C1="",'数据-汇总表'!E3,INDIRECT("'数据-取费表'!K"&amp;$K$1)+INDIRECT("'数据-取费表'!S"&amp;$K$1))</f>
        <v>91.52</v>
      </c>
      <c r="E14" s="24">
        <f>'数据-取费表'!B35</f>
        <v>200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0</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91.52</v>
      </c>
      <c r="E17" s="24">
        <f>'数据-取费表'!B32</f>
        <v>0</v>
      </c>
      <c r="F17" s="981"/>
      <c r="G17" s="140" t="s">
        <v>2479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0</v>
      </c>
      <c r="D18" s="1036"/>
      <c r="E18" s="24"/>
      <c r="F18" s="979"/>
      <c r="G18" s="2557"/>
      <c r="H18" s="1580"/>
      <c r="I18" s="2558" t="s">
        <v>2481</v>
      </c>
      <c r="J18" s="982"/>
      <c r="K18" s="983"/>
    </row>
    <row r="19" spans="1:33" s="978" customFormat="1" ht="13.5" customHeight="1">
      <c r="A19" s="974" t="s">
        <v>805</v>
      </c>
      <c r="B19" s="975" t="s">
        <v>2482</v>
      </c>
      <c r="C19" s="24">
        <f ca="1">ROUND(D19*E19/10000,0)</f>
        <v>2</v>
      </c>
      <c r="D19" s="1036">
        <f ca="1">IF(C1="",'数据-汇总表'!E5,IF(INDIRECT("'数据-取费表'!c"&amp;$K$1)="住宅",INDIRECT("'数据-取费表'!k"&amp;$K$1),0))</f>
        <v>91.52</v>
      </c>
      <c r="E19" s="24">
        <f>'数据-取费表'!B27</f>
        <v>200</v>
      </c>
      <c r="F19" s="979"/>
      <c r="G19" s="15"/>
      <c r="H19" s="1582"/>
      <c r="I19" s="984"/>
      <c r="J19" s="984"/>
      <c r="K19" s="985"/>
    </row>
    <row r="20" spans="1:33" s="978" customFormat="1" ht="13.5" customHeight="1">
      <c r="A20" s="974" t="s">
        <v>806</v>
      </c>
      <c r="B20" s="975" t="s">
        <v>2483</v>
      </c>
      <c r="C20" s="24">
        <f ca="1">ROUND(D20*E20/10000,0)</f>
        <v>0</v>
      </c>
      <c r="D20" s="1036">
        <f ca="1">IF(C1="",'数据-汇总表'!E6,IF(INDIRECT("'数据-取费表'!c"&amp;$K$1)="住宅",INDIRECT("'数据-取费表'!s"&amp;$K$1),INDIRECT("'数据-取费表'!k"&amp;$K$1)+INDIRECT("'数据-取费表'!s"&amp;$K$1)))</f>
        <v>0</v>
      </c>
      <c r="E20" s="24">
        <f>'数据-取费表'!B28</f>
        <v>0</v>
      </c>
      <c r="F20" s="979"/>
      <c r="G20" s="15"/>
      <c r="H20" s="984"/>
      <c r="I20" s="984"/>
      <c r="J20" s="984"/>
      <c r="K20" s="985"/>
    </row>
    <row r="21" spans="1:33" s="978" customFormat="1" ht="13.5" customHeight="1">
      <c r="A21" s="964" t="s">
        <v>802</v>
      </c>
      <c r="B21" s="988" t="s">
        <v>2484</v>
      </c>
      <c r="C21" s="989">
        <f ca="1">C16+C17+C18</f>
        <v>0</v>
      </c>
      <c r="D21" s="990"/>
      <c r="E21" s="325"/>
      <c r="F21" s="325"/>
      <c r="G21" s="140" t="s">
        <v>2485</v>
      </c>
      <c r="H21" s="982"/>
      <c r="I21" s="982"/>
      <c r="J21" s="982"/>
      <c r="K21" s="983"/>
    </row>
    <row r="22" spans="1:33" s="978" customFormat="1" ht="13.5" customHeight="1">
      <c r="A22" s="964" t="s">
        <v>2457</v>
      </c>
      <c r="B22" s="988" t="s">
        <v>2486</v>
      </c>
      <c r="C22" s="989">
        <f ca="1">ROUND(C21*F22,0)</f>
        <v>0</v>
      </c>
      <c r="D22" s="325"/>
      <c r="E22" s="325"/>
      <c r="F22" s="991">
        <f>'数据-取费表'!B37</f>
        <v>0.01</v>
      </c>
      <c r="G22" s="8" t="s">
        <v>2487</v>
      </c>
      <c r="H22" s="971"/>
      <c r="I22" s="971"/>
      <c r="J22" s="971"/>
      <c r="K22" s="972"/>
    </row>
    <row r="23" spans="1:33" s="978" customFormat="1" ht="13.5" customHeight="1">
      <c r="A23" s="964" t="s">
        <v>2459</v>
      </c>
      <c r="B23" s="988" t="s">
        <v>2488</v>
      </c>
      <c r="C23" s="989">
        <f ca="1">ROUND(C4*F23*F11,0)</f>
        <v>0</v>
      </c>
      <c r="D23" s="325"/>
      <c r="E23" s="325"/>
      <c r="F23" s="991">
        <f>'数据-取费表'!B38</f>
        <v>0.01</v>
      </c>
      <c r="G23" s="8" t="s">
        <v>2489</v>
      </c>
      <c r="H23" s="971"/>
      <c r="I23" s="971"/>
      <c r="J23" s="971"/>
      <c r="K23" s="972"/>
    </row>
    <row r="24" spans="1:33" s="978" customFormat="1" ht="13.5" customHeight="1">
      <c r="A24" s="964" t="s">
        <v>2490</v>
      </c>
      <c r="B24" s="988" t="s">
        <v>2491</v>
      </c>
      <c r="C24" s="324">
        <f>ROUND(F24/(1+'数据-取费表'!C42),4)</f>
        <v>2.9000000000000001E-2</v>
      </c>
      <c r="D24" s="325" t="s">
        <v>15</v>
      </c>
      <c r="E24" s="325"/>
      <c r="F24" s="991">
        <f>'数据-取费表'!B48+'数据-取费表'!B49</f>
        <v>3.0499999999999999E-2</v>
      </c>
      <c r="G24" s="8" t="s">
        <v>2492</v>
      </c>
      <c r="H24" s="993"/>
      <c r="I24" s="993"/>
      <c r="J24" s="993"/>
      <c r="K24" s="994"/>
    </row>
    <row r="25" spans="1:33" s="978" customFormat="1" ht="13.5" customHeight="1">
      <c r="A25" s="964" t="s">
        <v>2493</v>
      </c>
      <c r="B25" s="990" t="s">
        <v>2494</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2495</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2496</v>
      </c>
      <c r="C27" s="1361">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82"/>
      <c r="I27" s="982"/>
      <c r="J27" s="982"/>
      <c r="K27" s="983"/>
    </row>
    <row r="28" spans="1:33" s="333" customFormat="1" ht="13.5" customHeight="1">
      <c r="A28" s="964" t="s">
        <v>2497</v>
      </c>
      <c r="B28" s="2560" t="s">
        <v>2498</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2499</v>
      </c>
      <c r="C29" s="328">
        <f ca="1">ROUND((1+C24)*F28*'数据-取费表'!B24/'数据-取费表'!B20,4)</f>
        <v>0</v>
      </c>
      <c r="D29" s="328"/>
      <c r="E29" s="329"/>
      <c r="F29" s="334"/>
      <c r="G29" s="140" t="s">
        <v>2500</v>
      </c>
      <c r="H29" s="982"/>
      <c r="I29" s="982"/>
      <c r="J29" s="982"/>
      <c r="K29" s="983"/>
    </row>
    <row r="30" spans="1:33" s="335" customFormat="1" ht="13.5" customHeight="1">
      <c r="A30" s="974" t="s">
        <v>804</v>
      </c>
      <c r="B30" s="997" t="s">
        <v>2501</v>
      </c>
      <c r="C30" s="336">
        <f ca="1">ROUND((C21+C22+C23)*F28,0)</f>
        <v>0</v>
      </c>
      <c r="D30" s="328"/>
      <c r="E30" s="329"/>
      <c r="F30" s="334"/>
      <c r="G30" s="140"/>
      <c r="H30" s="982"/>
      <c r="I30" s="982"/>
      <c r="J30" s="982"/>
      <c r="K30" s="983"/>
    </row>
    <row r="31" spans="1:33" s="978" customFormat="1" ht="13.5" customHeight="1" thickBot="1">
      <c r="A31" s="2561" t="s">
        <v>2502</v>
      </c>
      <c r="B31" s="1008" t="s">
        <v>2503</v>
      </c>
      <c r="C31" s="1009">
        <f>ROUND(C4*F31/(1+'数据-取费表'!C42),0)</f>
        <v>0</v>
      </c>
      <c r="D31" s="1010"/>
      <c r="E31" s="1011"/>
      <c r="F31" s="1012">
        <f>'数据-取费表'!B41</f>
        <v>5.6000000000000001E-2</v>
      </c>
      <c r="G31" s="1013" t="s">
        <v>2504</v>
      </c>
      <c r="H31" s="1014"/>
      <c r="I31" s="1014"/>
      <c r="J31" s="1014"/>
      <c r="K31" s="1015"/>
    </row>
    <row r="32" spans="1:33" s="973" customFormat="1" ht="13.5" customHeight="1" thickBot="1">
      <c r="A32" s="1003" t="s">
        <v>2505</v>
      </c>
      <c r="B32" s="1004"/>
      <c r="C32" s="1005">
        <f ca="1">ROUND((C4-C21-C22-C23-C25-C28-C31)/(1+C24+D25+D28),0)</f>
        <v>0</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53" sqref="C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0</v>
      </c>
      <c r="D5" s="1824" t="s">
        <v>1402</v>
      </c>
      <c r="E5" s="1296"/>
      <c r="F5" s="1297"/>
      <c r="G5" s="1853"/>
      <c r="H5" s="344">
        <v>1</v>
      </c>
      <c r="I5" s="345" t="s">
        <v>1401</v>
      </c>
      <c r="J5" s="1295">
        <f ca="1">J6+J10+J12</f>
        <v>0</v>
      </c>
      <c r="K5" s="1824" t="s">
        <v>1402</v>
      </c>
      <c r="L5" s="1296"/>
      <c r="M5" s="1297"/>
    </row>
    <row r="6" spans="1:37" ht="18" customHeight="1">
      <c r="A6" s="1294" t="s">
        <v>1035</v>
      </c>
      <c r="B6" s="3165" t="s">
        <v>1403</v>
      </c>
      <c r="C6" s="1299">
        <f ca="1">ROUND(F6*F8*F7*(1-F9)/10000,0)</f>
        <v>0</v>
      </c>
      <c r="D6" s="164" t="s">
        <v>3016</v>
      </c>
      <c r="E6" s="347" t="s">
        <v>1405</v>
      </c>
      <c r="F6" s="348">
        <f ca="1">INDIRECT("'数据-取费表'!u"&amp;$G$1)</f>
        <v>0</v>
      </c>
      <c r="G6" s="1853"/>
      <c r="H6" s="1294" t="s">
        <v>1035</v>
      </c>
      <c r="I6" s="3165" t="s">
        <v>1403</v>
      </c>
      <c r="J6" s="346">
        <f ca="1">ROUND(M6*M8*M7*(1-M9)/10000,0)</f>
        <v>0</v>
      </c>
      <c r="K6" s="164" t="s">
        <v>3015</v>
      </c>
      <c r="L6" s="347" t="s">
        <v>1405</v>
      </c>
      <c r="M6" s="348">
        <f ca="1">INDIRECT("'数据-取费表'!z"&amp;$G$1)</f>
        <v>0</v>
      </c>
    </row>
    <row r="7" spans="1:37" ht="18" customHeight="1">
      <c r="A7" s="1298"/>
      <c r="B7" s="3166"/>
      <c r="C7" s="1300"/>
      <c r="D7" s="352"/>
      <c r="E7" s="1301" t="s">
        <v>1406</v>
      </c>
      <c r="F7" s="348">
        <f ca="1">IF(INDIRECT("'数据-取费表'!ah"&amp;$G$1)="",INDIRECT("'数据-取费表'!k"&amp;$G$1),INDIRECT("'数据-取费表'!ah"&amp;$G$1))</f>
        <v>0</v>
      </c>
      <c r="G7" s="1853"/>
      <c r="H7" s="349"/>
      <c r="I7" s="3166"/>
      <c r="J7" s="351"/>
      <c r="K7" s="352"/>
      <c r="L7" s="347" t="s">
        <v>1406</v>
      </c>
      <c r="M7" s="348">
        <f ca="1">F7</f>
        <v>0</v>
      </c>
    </row>
    <row r="8" spans="1:37" ht="18" customHeight="1">
      <c r="A8" s="349"/>
      <c r="B8" s="3166"/>
      <c r="C8" s="351"/>
      <c r="D8" s="352"/>
      <c r="E8" s="347" t="s">
        <v>1407</v>
      </c>
      <c r="F8" s="348">
        <f ca="1">INDIRECT("'数据-取费表'!ai"&amp;$G$1)</f>
        <v>0</v>
      </c>
      <c r="G8" s="1853"/>
      <c r="H8" s="349"/>
      <c r="I8" s="3166"/>
      <c r="J8" s="351"/>
      <c r="K8" s="352"/>
      <c r="L8" s="347" t="s">
        <v>1407</v>
      </c>
      <c r="M8" s="348">
        <f ca="1">INDIRECT("'数据-取费表'!ai"&amp;$G$1)</f>
        <v>0</v>
      </c>
    </row>
    <row r="9" spans="1:37" ht="18" customHeight="1">
      <c r="A9" s="349"/>
      <c r="B9" s="3167"/>
      <c r="C9" s="351"/>
      <c r="D9" s="352"/>
      <c r="E9" s="347" t="s">
        <v>1408</v>
      </c>
      <c r="F9" s="357">
        <f ca="1">INDIRECT("'数据-取费表'!w"&amp;$G$1)</f>
        <v>0</v>
      </c>
      <c r="G9" s="1853"/>
      <c r="H9" s="349"/>
      <c r="I9" s="3167"/>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3025</v>
      </c>
      <c r="E10" s="358" t="s">
        <v>1410</v>
      </c>
      <c r="F10" s="1369"/>
      <c r="G10" s="1853"/>
      <c r="H10" s="1294" t="s">
        <v>1039</v>
      </c>
      <c r="I10" s="1825" t="s">
        <v>1409</v>
      </c>
      <c r="J10" s="346">
        <f ca="1">ROUND(IF(M10="押一",J6/12*M11,IF(M10="押二",J6/12*2*M11,IF(M10="押三",J6/12*3*M11,J11*M11))),0)</f>
        <v>0</v>
      </c>
      <c r="K10" s="1826" t="s">
        <v>3024</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ROUND(F17*(F43+INDIRECT("'数据-取费表'!S"&amp;$G$1))/10000,0)</f>
        <v>0</v>
      </c>
      <c r="D17" s="347" t="s">
        <v>1427</v>
      </c>
      <c r="E17" s="347" t="s">
        <v>1428</v>
      </c>
      <c r="F17" s="26">
        <f>'数据-取费表'!B35</f>
        <v>200</v>
      </c>
      <c r="G17" s="1856"/>
      <c r="H17" s="1204" t="s">
        <v>1035</v>
      </c>
      <c r="I17" s="347" t="s">
        <v>1429</v>
      </c>
      <c r="J17" s="24">
        <f ca="1">ROUND(IF(项目基本情况!B11="自然人",J5*M17,J18+J19+J20),1)</f>
        <v>0</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IF(K19="按租金收入计税",ROUND(J5*M19,2),ROUND(C29*M19*0.7,2))</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0.01</v>
      </c>
      <c r="G20" s="1856"/>
      <c r="H20" s="1204" t="s">
        <v>1389</v>
      </c>
      <c r="I20" s="164" t="s">
        <v>1441</v>
      </c>
      <c r="J20" s="25">
        <f ca="1">ROUND(M20*M21/10000,2)</f>
        <v>0</v>
      </c>
      <c r="K20" s="370" t="s">
        <v>1442</v>
      </c>
      <c r="L20" s="347" t="s">
        <v>1443</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0"/>
      <c r="F22" s="26"/>
      <c r="G22" s="1853"/>
      <c r="H22" s="1204" t="s">
        <v>1039</v>
      </c>
      <c r="I22" s="347" t="s">
        <v>1449</v>
      </c>
      <c r="J22" s="24">
        <f ca="1">ROUND(J14*M22,1)</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ROUND(J13*M23,1)</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6"/>
      <c r="H24" s="1342" t="s">
        <v>1393</v>
      </c>
      <c r="I24" s="1343" t="s">
        <v>1439</v>
      </c>
      <c r="J24" s="1344">
        <f ca="1">ROUND(J5*M24,1)</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0</v>
      </c>
      <c r="D31" s="1802" t="s">
        <v>1430</v>
      </c>
      <c r="E31" s="1800" t="s">
        <v>1481</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1433</v>
      </c>
      <c r="C32" s="24" t="str">
        <f>IF(项目基本情况!B11="自然人","——",ROUND(C5*F32/(1+'数据-取费表'!C42),2))</f>
        <v>——</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t="str">
        <f ca="1">IF(项目基本情况!B11="自然人","——",IF(D33="按租金收入计税",ROUND(C5*F33,2),IF(D33="按房产原值计税",ROUND(C29*F33*0.7,2),INDIRECT("'数据-取费表'!Aj"&amp;$G$1))))</f>
        <v>——</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t="str">
        <f>IF(项目基本情况!B11="自然人","——",ROUND(F34*F35/10000,2))</f>
        <v>——</v>
      </c>
      <c r="D34" s="370" t="s">
        <v>1442</v>
      </c>
      <c r="E34" s="347" t="s">
        <v>1443</v>
      </c>
      <c r="F34" s="371">
        <f>'数据-取费表'!B52</f>
        <v>3</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ROUND(C29*F36,1)</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ROUND(C13*F37,1)</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ROUND(F49*F51*F50*(1-F52)/10000,0)</f>
        <v>0</v>
      </c>
      <c r="D49" s="1279" t="s">
        <v>3017</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371"/>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24.75" thickBot="1">
      <c r="A53" s="1408" t="s">
        <v>1137</v>
      </c>
      <c r="B53" s="1833" t="s">
        <v>1409</v>
      </c>
      <c r="C53" s="361">
        <f ca="1">ROUND(IF(F53="押一",C49/12*F11,IF(F53="押二",C49/12*2*F11,IF(F53="押三",C49/12*3*F11,C54*F11))),0)</f>
        <v>0</v>
      </c>
      <c r="D53" s="1826" t="s">
        <v>3024</v>
      </c>
      <c r="E53" s="358" t="s">
        <v>1410</v>
      </c>
      <c r="F53" s="1369"/>
      <c r="I53" s="1907" t="s">
        <v>1547</v>
      </c>
      <c r="J53" s="1908" t="b">
        <f>IF(M47="住宅",J51,IF(D1="——",MIN(J51,L48),IF(D1="在建（套用方法）",MIN(J51,L48-'数据-取费表'!B24),IF(D1="土地（套用方法）",MIN(J51,L48-'数据-取费表'!B20)))))</f>
        <v>0</v>
      </c>
      <c r="K53" s="3163" t="s">
        <v>1548</v>
      </c>
      <c r="L53" s="3164"/>
      <c r="O53" s="1886" t="s">
        <v>1046</v>
      </c>
      <c r="P53" s="1887" t="s">
        <v>1549</v>
      </c>
      <c r="Q53" s="1888" t="e">
        <f ca="1">Q47+Q48</f>
        <v>#DIV/0!</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0</v>
      </c>
      <c r="D59" s="1185" t="s">
        <v>1430</v>
      </c>
      <c r="E59" s="1186" t="s">
        <v>1431</v>
      </c>
      <c r="F59" s="368">
        <f ca="1">IF(项目基本情况!B11="企业","",IF(INDIRECT("'数据-取费表'!c"&amp;$G$1)="住宅",5%,IF(F49*F50*F51/12/(1+'数据-取费表'!C42)&gt;20000,12%,7%)))</f>
        <v>7.0000000000000007E-2</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t="str">
        <f>IF(项目基本情况!B11="自然人","——",ROUND(C48*F60/(1+'数据-取费表'!C42),2))</f>
        <v>——</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t="str">
        <f ca="1">IF(项目基本情况!B11="自然人","——",IF(D61="按租金收入计税",ROUND(C48*F61,2),IF(D61="按房产原值计税",ROUND(C57*F61*0.7,2),INDIRECT("'数据-取费表'!Aj"&amp;$G$1))))</f>
        <v>——</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t="str">
        <f>IF(项目基本情况!B11="自然人","——",ROUND(F62*F63/10000,2))</f>
        <v>——</v>
      </c>
      <c r="D62" s="1187" t="s">
        <v>1497</v>
      </c>
      <c r="E62" s="1172" t="s">
        <v>1498</v>
      </c>
      <c r="F62" s="371">
        <f t="shared" si="0"/>
        <v>3</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ROUND(C48*F66,1)</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c r="O70" s="1896" t="s">
        <v>1049</v>
      </c>
      <c r="P70" s="1936" t="s">
        <v>1585</v>
      </c>
      <c r="Q70" s="1888">
        <f ca="1">C13</f>
        <v>0</v>
      </c>
      <c r="R70" s="1888" t="s">
        <v>1529</v>
      </c>
    </row>
    <row r="71" spans="1:18" s="1844" customFormat="1" ht="13.5" thickBot="1">
      <c r="A71" s="1193" t="s">
        <v>1033</v>
      </c>
      <c r="B71" s="1194" t="s">
        <v>1487</v>
      </c>
      <c r="C71" s="382" t="e">
        <f ca="1">ROUND(C68*10000/F71,0)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L54" sqref="L54"/>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3" t="s">
        <v>2517</v>
      </c>
      <c r="C1" s="1637" t="s">
        <v>2518</v>
      </c>
      <c r="D1" s="1624" t="s">
        <v>3050</v>
      </c>
      <c r="E1" s="2584"/>
      <c r="F1" s="2585" t="s">
        <v>2519</v>
      </c>
      <c r="G1" s="1634" t="s">
        <v>2520</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523</v>
      </c>
      <c r="C2" s="2587" t="s">
        <v>70</v>
      </c>
      <c r="D2" s="1368" t="e">
        <f ca="1">SUMIF(INDIRECT("'"&amp;F2&amp;"'"&amp;"!A:A"),"承租人权益价值",INDIRECT("'"&amp;F2&amp;"'"&amp;"!c:c"))</f>
        <v>#REF!</v>
      </c>
      <c r="E2" s="2588" t="s">
        <v>2521</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f>IF(C2="——",C49,ROUND(B2*10000/D3,0))</f>
        <v>57144</v>
      </c>
      <c r="C3" s="400" t="s">
        <v>2522</v>
      </c>
      <c r="D3" s="399">
        <f>IF(D1="",'数据-汇总表'!E3,SUMIF('数据-汇总表'!$C19:$C33,D1,'数据-汇总表'!$E19:$E33))</f>
        <v>91.52</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2523</v>
      </c>
      <c r="B4" s="402"/>
      <c r="C4" s="3186" t="s">
        <v>2524</v>
      </c>
      <c r="D4" s="3187"/>
      <c r="E4" s="3188" t="s">
        <v>2525</v>
      </c>
      <c r="F4" s="3189"/>
      <c r="G4" s="3186" t="s">
        <v>2526</v>
      </c>
      <c r="H4" s="3187"/>
      <c r="I4" s="3186" t="s">
        <v>2527</v>
      </c>
      <c r="J4" s="3187"/>
      <c r="K4" s="2597" t="s">
        <v>2528</v>
      </c>
      <c r="L4" s="1133"/>
      <c r="M4" s="1134"/>
      <c r="N4" s="1134"/>
      <c r="O4" s="1134"/>
      <c r="P4" s="3190" t="s">
        <v>2529</v>
      </c>
      <c r="Q4" s="3191"/>
      <c r="R4" s="3196" t="s">
        <v>2525</v>
      </c>
      <c r="S4" s="3197"/>
      <c r="T4" s="3196" t="s">
        <v>2526</v>
      </c>
      <c r="U4" s="3197"/>
      <c r="V4" s="3202" t="s">
        <v>2527</v>
      </c>
      <c r="W4" s="3202"/>
      <c r="X4" s="1815"/>
      <c r="Y4" s="3196" t="s">
        <v>2529</v>
      </c>
      <c r="Z4" s="3197"/>
      <c r="AA4" s="3183" t="s">
        <v>2525</v>
      </c>
      <c r="AB4" s="3183" t="s">
        <v>2526</v>
      </c>
      <c r="AC4" s="3183" t="s">
        <v>2527</v>
      </c>
    </row>
    <row r="5" spans="1:29" ht="15">
      <c r="A5" s="404"/>
      <c r="B5" s="405"/>
      <c r="C5" s="3205" t="s">
        <v>3101</v>
      </c>
      <c r="D5" s="3206"/>
      <c r="E5" s="3205" t="s">
        <v>3101</v>
      </c>
      <c r="F5" s="3206"/>
      <c r="G5" s="3205" t="s">
        <v>3101</v>
      </c>
      <c r="H5" s="3206"/>
      <c r="I5" s="3205" t="s">
        <v>3101</v>
      </c>
      <c r="J5" s="3206"/>
      <c r="K5" s="2598"/>
      <c r="L5" s="1133"/>
      <c r="M5" s="1134"/>
      <c r="N5" s="1134"/>
      <c r="O5" s="1134"/>
      <c r="P5" s="3192"/>
      <c r="Q5" s="3193"/>
      <c r="R5" s="3198"/>
      <c r="S5" s="3199"/>
      <c r="T5" s="3198"/>
      <c r="U5" s="3199"/>
      <c r="V5" s="3202"/>
      <c r="W5" s="3202"/>
      <c r="X5" s="1815"/>
      <c r="Y5" s="3198"/>
      <c r="Z5" s="3199"/>
      <c r="AA5" s="3184"/>
      <c r="AB5" s="3184"/>
      <c r="AC5" s="3184"/>
    </row>
    <row r="6" spans="1:29" ht="15.75" thickBot="1">
      <c r="A6" s="406"/>
      <c r="B6" s="407"/>
      <c r="C6" s="3203" t="s">
        <v>2534</v>
      </c>
      <c r="D6" s="3204"/>
      <c r="E6" s="3210" t="s">
        <v>2534</v>
      </c>
      <c r="F6" s="3211"/>
      <c r="G6" s="3203" t="s">
        <v>2534</v>
      </c>
      <c r="H6" s="3204"/>
      <c r="I6" s="3203" t="s">
        <v>2534</v>
      </c>
      <c r="J6" s="3204"/>
      <c r="K6" s="2598" t="s">
        <v>2535</v>
      </c>
      <c r="L6" s="1133"/>
      <c r="M6" s="1134"/>
      <c r="N6" s="1134"/>
      <c r="O6" s="1134"/>
      <c r="P6" s="3194"/>
      <c r="Q6" s="3195"/>
      <c r="R6" s="3198"/>
      <c r="S6" s="3199"/>
      <c r="T6" s="3200"/>
      <c r="U6" s="3201"/>
      <c r="V6" s="3202"/>
      <c r="W6" s="3202"/>
      <c r="X6" s="1815"/>
      <c r="Y6" s="3200"/>
      <c r="Z6" s="3201"/>
      <c r="AA6" s="3185"/>
      <c r="AB6" s="3185"/>
      <c r="AC6" s="3185"/>
    </row>
    <row r="7" spans="1:29" s="117" customFormat="1" ht="15.75" thickBot="1">
      <c r="A7" s="408" t="s">
        <v>2536</v>
      </c>
      <c r="B7" s="409"/>
      <c r="C7" s="410">
        <f>'数据-取费表'!B2</f>
        <v>43249</v>
      </c>
      <c r="D7" s="411">
        <v>100</v>
      </c>
      <c r="E7" s="412">
        <f>案例!E140</f>
        <v>43226</v>
      </c>
      <c r="F7" s="413">
        <f>SUMIF(58:58,YEAR(E7)&amp;"-"&amp;MONTH(E7),59:59)</f>
        <v>100</v>
      </c>
      <c r="G7" s="412">
        <f>案例!E141</f>
        <v>43210</v>
      </c>
      <c r="H7" s="411">
        <f>SUMIF(58:58,YEAR(G7)&amp;"-"&amp;MONTH(G7),59:59)</f>
        <v>99.5</v>
      </c>
      <c r="I7" s="412">
        <f>案例!E142</f>
        <v>43199</v>
      </c>
      <c r="J7" s="411">
        <f>SUMIF(58:58,YEAR(I7)&amp;"-"&amp;MONTH(I7),59:59)</f>
        <v>99.5</v>
      </c>
      <c r="K7" s="2599"/>
      <c r="L7" s="1135"/>
      <c r="M7" s="1136"/>
      <c r="N7" s="1136"/>
      <c r="O7" s="1136"/>
      <c r="P7" s="3207" t="s">
        <v>2537</v>
      </c>
      <c r="Q7" s="3209"/>
      <c r="R7" s="770" t="s">
        <v>23</v>
      </c>
      <c r="S7" s="771">
        <f t="shared" ref="S7:S15" si="0">F7</f>
        <v>100</v>
      </c>
      <c r="T7" s="770" t="s">
        <v>23</v>
      </c>
      <c r="U7" s="771">
        <f t="shared" ref="U7:U15" si="1">H7</f>
        <v>99.5</v>
      </c>
      <c r="V7" s="770" t="s">
        <v>23</v>
      </c>
      <c r="W7" s="771">
        <f t="shared" ref="W7:W15" si="2">J7</f>
        <v>99.5</v>
      </c>
      <c r="X7" s="772"/>
      <c r="Y7" s="3207" t="s">
        <v>2537</v>
      </c>
      <c r="Z7" s="3208"/>
      <c r="AA7" s="773">
        <f>D7/F7</f>
        <v>1</v>
      </c>
      <c r="AB7" s="773">
        <f>D7/H7</f>
        <v>1.0050251256281406</v>
      </c>
      <c r="AC7" s="773">
        <f>D7/J7</f>
        <v>1.0050251256281406</v>
      </c>
    </row>
    <row r="8" spans="1:29" s="117" customFormat="1" ht="15.75" thickBot="1">
      <c r="A8" s="408" t="s">
        <v>2538</v>
      </c>
      <c r="B8" s="409"/>
      <c r="C8" s="414" t="s">
        <v>2539</v>
      </c>
      <c r="D8" s="411">
        <v>100</v>
      </c>
      <c r="E8" s="414" t="s">
        <v>2539</v>
      </c>
      <c r="F8" s="413">
        <f>SUMIF(61:61,E8,62:62)-SUMIF(61:61,C8,62:62)+100</f>
        <v>100</v>
      </c>
      <c r="G8" s="414" t="s">
        <v>2539</v>
      </c>
      <c r="H8" s="411">
        <f>SUMIF(61:61,G8,62:62)-SUMIF(61:61,C8,62:62)+100</f>
        <v>100</v>
      </c>
      <c r="I8" s="414" t="s">
        <v>2539</v>
      </c>
      <c r="J8" s="411">
        <f>SUMIF(61:61,I8,62:62)-SUMIF(61:61,C8,62:62)+100</f>
        <v>100</v>
      </c>
      <c r="K8" s="2599"/>
      <c r="L8" s="1135"/>
      <c r="M8" s="1136"/>
      <c r="N8" s="1136"/>
      <c r="O8" s="1136"/>
      <c r="P8" s="3207" t="s">
        <v>2540</v>
      </c>
      <c r="Q8" s="3208"/>
      <c r="R8" s="770" t="s">
        <v>23</v>
      </c>
      <c r="S8" s="771">
        <f t="shared" si="0"/>
        <v>100</v>
      </c>
      <c r="T8" s="770" t="s">
        <v>23</v>
      </c>
      <c r="U8" s="771">
        <f t="shared" si="1"/>
        <v>100</v>
      </c>
      <c r="V8" s="770" t="s">
        <v>23</v>
      </c>
      <c r="W8" s="771">
        <f t="shared" si="2"/>
        <v>100</v>
      </c>
      <c r="X8" s="772"/>
      <c r="Y8" s="3207" t="s">
        <v>2540</v>
      </c>
      <c r="Z8" s="3208"/>
      <c r="AA8" s="773">
        <f t="shared" ref="AA8:AA19" si="3">D8/F8</f>
        <v>1</v>
      </c>
      <c r="AB8" s="773">
        <f t="shared" ref="AB8:AB19" si="4">D8/H8</f>
        <v>1</v>
      </c>
      <c r="AC8" s="773">
        <f t="shared" ref="AC8:AC19" si="5">D8/J8</f>
        <v>1</v>
      </c>
    </row>
    <row r="9" spans="1:29" s="117" customFormat="1">
      <c r="A9" s="415" t="s">
        <v>2541</v>
      </c>
      <c r="B9" s="71" t="s">
        <v>2542</v>
      </c>
      <c r="C9" s="2943" t="s">
        <v>3059</v>
      </c>
      <c r="D9" s="135">
        <v>100</v>
      </c>
      <c r="E9" s="417" t="s">
        <v>3049</v>
      </c>
      <c r="F9" s="418">
        <f>SUMIF(63:63,E9,64:64)-SUMIF(63:63,C9,64:64)+100</f>
        <v>100</v>
      </c>
      <c r="G9" s="417" t="s">
        <v>3049</v>
      </c>
      <c r="H9" s="135">
        <f>SUMIF(63:63,G9,64:64)-SUMIF(63:63,C9,64:64)+100</f>
        <v>100</v>
      </c>
      <c r="I9" s="417" t="s">
        <v>3049</v>
      </c>
      <c r="J9" s="135">
        <f>SUMIF(63:63,I9,64:64)-SUMIF(63:63,C9,64:64)+100</f>
        <v>100</v>
      </c>
      <c r="K9" s="2599"/>
      <c r="L9" s="1135"/>
      <c r="M9" s="1136"/>
      <c r="N9" s="1136"/>
      <c r="O9" s="1136"/>
      <c r="P9" s="3182" t="s">
        <v>2543</v>
      </c>
      <c r="Q9" s="1797" t="str">
        <f t="shared" ref="Q9:Q15" si="6">B9</f>
        <v>用途</v>
      </c>
      <c r="R9" s="770" t="s">
        <v>17</v>
      </c>
      <c r="S9" s="771">
        <f t="shared" si="0"/>
        <v>100</v>
      </c>
      <c r="T9" s="770" t="s">
        <v>17</v>
      </c>
      <c r="U9" s="771">
        <f t="shared" si="1"/>
        <v>100</v>
      </c>
      <c r="V9" s="770" t="s">
        <v>17</v>
      </c>
      <c r="W9" s="771">
        <f t="shared" si="2"/>
        <v>100</v>
      </c>
      <c r="X9" s="772"/>
      <c r="Y9" s="3018" t="s">
        <v>2544</v>
      </c>
      <c r="Z9" s="55" t="str">
        <f t="shared" ref="Z9:Z15" si="7">Q9</f>
        <v>用途</v>
      </c>
      <c r="AA9" s="773">
        <f t="shared" si="3"/>
        <v>1</v>
      </c>
      <c r="AB9" s="773">
        <f t="shared" si="4"/>
        <v>1</v>
      </c>
      <c r="AC9" s="773">
        <f t="shared" si="5"/>
        <v>1</v>
      </c>
    </row>
    <row r="10" spans="1:29" s="427" customFormat="1" ht="27.75" thickBot="1">
      <c r="A10" s="421"/>
      <c r="B10" s="422" t="s">
        <v>2545</v>
      </c>
      <c r="C10" s="423" t="s">
        <v>3060</v>
      </c>
      <c r="D10" s="136">
        <v>100</v>
      </c>
      <c r="E10" s="423" t="s">
        <v>3060</v>
      </c>
      <c r="F10" s="425">
        <f>SUMIF(65:65,E10,66:66)-SUMIF(65:65,C10,66:66)+100</f>
        <v>100</v>
      </c>
      <c r="G10" s="423" t="s">
        <v>3060</v>
      </c>
      <c r="H10" s="136">
        <f>SUMIF(65:65,G10,66:66)-SUMIF(65:65,C10,66:66)+100</f>
        <v>100</v>
      </c>
      <c r="I10" s="423" t="s">
        <v>3060</v>
      </c>
      <c r="J10" s="136">
        <f>SUMIF(65:65,I10,66:66)-SUMIF(65:65,C10,66:66)+100</f>
        <v>100</v>
      </c>
      <c r="K10" s="426">
        <v>1</v>
      </c>
      <c r="L10" s="1138"/>
      <c r="M10" s="1139"/>
      <c r="N10" s="1139"/>
      <c r="O10" s="1139"/>
      <c r="P10" s="3182"/>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75" hidden="1" thickBot="1">
      <c r="A11" s="428"/>
      <c r="B11" s="422" t="s">
        <v>2546</v>
      </c>
      <c r="C11" s="429">
        <v>2</v>
      </c>
      <c r="D11" s="136">
        <v>100</v>
      </c>
      <c r="E11" s="429">
        <v>2</v>
      </c>
      <c r="F11" s="425">
        <f>LOOKUP(E11,68:68,69:69)-LOOKUP(C11,68:68,69:69)+100</f>
        <v>100</v>
      </c>
      <c r="G11" s="429">
        <v>2</v>
      </c>
      <c r="H11" s="136">
        <f>LOOKUP(G11,68:68,69:69)-LOOKUP(C11,68:68,69:69)+100</f>
        <v>100</v>
      </c>
      <c r="I11" s="429">
        <v>2</v>
      </c>
      <c r="J11" s="136">
        <f>LOOKUP(I11,68:68,69:69)-LOOKUP(C11,68:68,69:69)+100</f>
        <v>100</v>
      </c>
      <c r="K11" s="426">
        <v>0</v>
      </c>
      <c r="L11" s="1141"/>
      <c r="M11" s="1134"/>
      <c r="N11" s="1134"/>
      <c r="O11" s="1134"/>
      <c r="P11" s="3182"/>
      <c r="Q11" s="1797" t="str">
        <f t="shared" si="6"/>
        <v>容积率</v>
      </c>
      <c r="R11" s="770" t="s">
        <v>21</v>
      </c>
      <c r="S11" s="771">
        <f t="shared" si="0"/>
        <v>100</v>
      </c>
      <c r="T11" s="770" t="s">
        <v>21</v>
      </c>
      <c r="U11" s="771">
        <f t="shared" si="1"/>
        <v>100</v>
      </c>
      <c r="V11" s="770" t="s">
        <v>21</v>
      </c>
      <c r="W11" s="771">
        <f t="shared" si="2"/>
        <v>100</v>
      </c>
      <c r="X11" s="772"/>
      <c r="Y11" s="3018"/>
      <c r="Z11" s="55" t="str">
        <f t="shared" si="7"/>
        <v>容积率</v>
      </c>
      <c r="AA11" s="773">
        <f t="shared" si="3"/>
        <v>1</v>
      </c>
      <c r="AB11" s="773">
        <f t="shared" si="4"/>
        <v>1</v>
      </c>
      <c r="AC11" s="773">
        <f t="shared" si="5"/>
        <v>1</v>
      </c>
    </row>
    <row r="12" spans="1:29" s="117" customFormat="1" ht="15" hidden="1">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82"/>
      <c r="Q12" s="1797">
        <f t="shared" si="6"/>
        <v>111</v>
      </c>
      <c r="R12" s="770" t="s">
        <v>21</v>
      </c>
      <c r="S12" s="771">
        <f t="shared" si="0"/>
        <v>100</v>
      </c>
      <c r="T12" s="770" t="s">
        <v>21</v>
      </c>
      <c r="U12" s="771">
        <f t="shared" si="1"/>
        <v>100</v>
      </c>
      <c r="V12" s="770" t="s">
        <v>21</v>
      </c>
      <c r="W12" s="771">
        <f t="shared" si="2"/>
        <v>100</v>
      </c>
      <c r="X12" s="772"/>
      <c r="Y12" s="3018"/>
      <c r="Z12" s="55">
        <f t="shared" si="7"/>
        <v>111</v>
      </c>
      <c r="AA12" s="773">
        <f>D12/F12</f>
        <v>1</v>
      </c>
      <c r="AB12" s="773">
        <f>D12/H12</f>
        <v>1</v>
      </c>
      <c r="AC12" s="773">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82"/>
      <c r="Q13" s="1797">
        <f t="shared" si="6"/>
        <v>111</v>
      </c>
      <c r="R13" s="770" t="s">
        <v>21</v>
      </c>
      <c r="S13" s="771">
        <f t="shared" si="0"/>
        <v>100</v>
      </c>
      <c r="T13" s="770" t="s">
        <v>21</v>
      </c>
      <c r="U13" s="771">
        <f t="shared" si="1"/>
        <v>100</v>
      </c>
      <c r="V13" s="770" t="s">
        <v>21</v>
      </c>
      <c r="W13" s="771">
        <f t="shared" si="2"/>
        <v>100</v>
      </c>
      <c r="X13" s="772"/>
      <c r="Y13" s="3018"/>
      <c r="Z13" s="55">
        <f t="shared" si="7"/>
        <v>111</v>
      </c>
      <c r="AA13" s="773">
        <f t="shared" si="3"/>
        <v>1</v>
      </c>
      <c r="AB13" s="773">
        <f t="shared" si="4"/>
        <v>1</v>
      </c>
      <c r="AC13" s="773">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82"/>
      <c r="Q14" s="1797">
        <f t="shared" si="6"/>
        <v>111</v>
      </c>
      <c r="R14" s="770" t="s">
        <v>21</v>
      </c>
      <c r="S14" s="771">
        <f t="shared" si="0"/>
        <v>100</v>
      </c>
      <c r="T14" s="770" t="s">
        <v>21</v>
      </c>
      <c r="U14" s="771">
        <f t="shared" si="1"/>
        <v>100</v>
      </c>
      <c r="V14" s="770" t="s">
        <v>21</v>
      </c>
      <c r="W14" s="771">
        <f t="shared" si="2"/>
        <v>100</v>
      </c>
      <c r="X14" s="772"/>
      <c r="Y14" s="3018"/>
      <c r="Z14" s="55">
        <f t="shared" si="7"/>
        <v>111</v>
      </c>
      <c r="AA14" s="773">
        <f t="shared" si="3"/>
        <v>1</v>
      </c>
      <c r="AB14" s="773">
        <f t="shared" si="4"/>
        <v>1</v>
      </c>
      <c r="AC14" s="773">
        <f t="shared" si="5"/>
        <v>1</v>
      </c>
    </row>
    <row r="15" spans="1:29" ht="15">
      <c r="A15" s="440" t="s">
        <v>2547</v>
      </c>
      <c r="B15" s="69" t="s">
        <v>2081</v>
      </c>
      <c r="C15" s="2603"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180" t="s">
        <v>2548</v>
      </c>
      <c r="Q15" s="1812" t="str">
        <f t="shared" si="6"/>
        <v>居住社区成熟度</v>
      </c>
      <c r="R15" s="774" t="s">
        <v>21</v>
      </c>
      <c r="S15" s="775">
        <f t="shared" si="0"/>
        <v>100</v>
      </c>
      <c r="T15" s="774" t="s">
        <v>21</v>
      </c>
      <c r="U15" s="775">
        <f t="shared" si="1"/>
        <v>100</v>
      </c>
      <c r="V15" s="774" t="s">
        <v>21</v>
      </c>
      <c r="W15" s="775">
        <f t="shared" si="2"/>
        <v>100</v>
      </c>
      <c r="X15" s="1815"/>
      <c r="Y15" s="3173" t="s">
        <v>2548</v>
      </c>
      <c r="Z15" s="1816" t="str">
        <f t="shared" si="7"/>
        <v>居住社区成熟度</v>
      </c>
      <c r="AA15" s="1813">
        <f t="shared" si="3"/>
        <v>1</v>
      </c>
      <c r="AB15" s="1813">
        <f t="shared" si="4"/>
        <v>1</v>
      </c>
      <c r="AC15" s="1813">
        <f t="shared" si="5"/>
        <v>1</v>
      </c>
    </row>
    <row r="16" spans="1:29" ht="15">
      <c r="A16" s="428"/>
      <c r="B16" s="446"/>
      <c r="C16" s="447" t="s">
        <v>3054</v>
      </c>
      <c r="D16" s="448"/>
      <c r="E16" s="447" t="s">
        <v>3054</v>
      </c>
      <c r="F16" s="448"/>
      <c r="G16" s="447" t="s">
        <v>3054</v>
      </c>
      <c r="H16" s="450"/>
      <c r="I16" s="447" t="s">
        <v>3054</v>
      </c>
      <c r="J16" s="448"/>
      <c r="K16" s="2606"/>
      <c r="L16" s="1143"/>
      <c r="M16" s="1134"/>
      <c r="N16" s="1134"/>
      <c r="O16" s="1134"/>
      <c r="P16" s="3181"/>
      <c r="Q16" s="1812"/>
      <c r="R16" s="774"/>
      <c r="S16" s="775"/>
      <c r="T16" s="774"/>
      <c r="U16" s="775"/>
      <c r="V16" s="774"/>
      <c r="W16" s="775"/>
      <c r="X16" s="1815"/>
      <c r="Y16" s="3174"/>
      <c r="Z16" s="1816"/>
      <c r="AA16" s="1813">
        <v>1</v>
      </c>
      <c r="AB16" s="1813">
        <v>1</v>
      </c>
      <c r="AC16" s="1813">
        <v>1</v>
      </c>
    </row>
    <row r="17" spans="1:29" ht="15">
      <c r="A17" s="428"/>
      <c r="B17" s="451" t="s">
        <v>2087</v>
      </c>
      <c r="C17" s="2607"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181"/>
      <c r="Q17" s="1812" t="str">
        <f>B17</f>
        <v>交通便捷度</v>
      </c>
      <c r="R17" s="774" t="s">
        <v>21</v>
      </c>
      <c r="S17" s="775">
        <f>F17</f>
        <v>100</v>
      </c>
      <c r="T17" s="774" t="s">
        <v>21</v>
      </c>
      <c r="U17" s="775">
        <f>H17</f>
        <v>100</v>
      </c>
      <c r="V17" s="774" t="s">
        <v>21</v>
      </c>
      <c r="W17" s="775">
        <f>J17</f>
        <v>100</v>
      </c>
      <c r="X17" s="1815"/>
      <c r="Y17" s="3174"/>
      <c r="Z17" s="1816" t="str">
        <f>Q17</f>
        <v>交通便捷度</v>
      </c>
      <c r="AA17" s="1813">
        <f t="shared" si="3"/>
        <v>1</v>
      </c>
      <c r="AB17" s="1813">
        <f t="shared" si="4"/>
        <v>1</v>
      </c>
      <c r="AC17" s="1813">
        <f t="shared" si="5"/>
        <v>1</v>
      </c>
    </row>
    <row r="18" spans="1:29" ht="15">
      <c r="A18" s="428"/>
      <c r="B18" s="456"/>
      <c r="C18" s="2608" t="s">
        <v>3054</v>
      </c>
      <c r="D18" s="450"/>
      <c r="E18" s="2608" t="s">
        <v>3054</v>
      </c>
      <c r="F18" s="450"/>
      <c r="G18" s="2608" t="s">
        <v>3054</v>
      </c>
      <c r="H18" s="448"/>
      <c r="I18" s="2608" t="s">
        <v>3054</v>
      </c>
      <c r="J18" s="448"/>
      <c r="K18" s="2606"/>
      <c r="L18" s="1143"/>
      <c r="M18" s="1134"/>
      <c r="N18" s="1134"/>
      <c r="O18" s="1134"/>
      <c r="P18" s="3181"/>
      <c r="Q18" s="1812"/>
      <c r="R18" s="774"/>
      <c r="S18" s="775"/>
      <c r="T18" s="774"/>
      <c r="U18" s="775"/>
      <c r="V18" s="774"/>
      <c r="W18" s="775"/>
      <c r="X18" s="1815"/>
      <c r="Y18" s="3174"/>
      <c r="Z18" s="1816"/>
      <c r="AA18" s="1813">
        <v>1</v>
      </c>
      <c r="AB18" s="1813">
        <v>1</v>
      </c>
      <c r="AC18" s="1813">
        <v>1</v>
      </c>
    </row>
    <row r="19" spans="1:29" ht="15">
      <c r="A19" s="428"/>
      <c r="B19" s="451" t="s">
        <v>2086</v>
      </c>
      <c r="C19" s="2607"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181"/>
      <c r="Q19" s="1812" t="str">
        <f>B19</f>
        <v>公共配套设施</v>
      </c>
      <c r="R19" s="774" t="s">
        <v>21</v>
      </c>
      <c r="S19" s="775">
        <f>F19</f>
        <v>100</v>
      </c>
      <c r="T19" s="774" t="s">
        <v>21</v>
      </c>
      <c r="U19" s="775">
        <f>H19</f>
        <v>100</v>
      </c>
      <c r="V19" s="774" t="s">
        <v>21</v>
      </c>
      <c r="W19" s="775">
        <f>J19</f>
        <v>100</v>
      </c>
      <c r="X19" s="1815"/>
      <c r="Y19" s="3174"/>
      <c r="Z19" s="1816" t="str">
        <f>Q19</f>
        <v>公共配套设施</v>
      </c>
      <c r="AA19" s="1813">
        <f t="shared" si="3"/>
        <v>1</v>
      </c>
      <c r="AB19" s="1813">
        <f t="shared" si="4"/>
        <v>1</v>
      </c>
      <c r="AC19" s="1813">
        <f t="shared" si="5"/>
        <v>1</v>
      </c>
    </row>
    <row r="20" spans="1:29" ht="15">
      <c r="A20" s="428"/>
      <c r="B20" s="456"/>
      <c r="C20" s="447" t="s">
        <v>3054</v>
      </c>
      <c r="D20" s="448"/>
      <c r="E20" s="447" t="s">
        <v>3054</v>
      </c>
      <c r="F20" s="448"/>
      <c r="G20" s="447" t="s">
        <v>3054</v>
      </c>
      <c r="H20" s="448"/>
      <c r="I20" s="447" t="s">
        <v>3054</v>
      </c>
      <c r="J20" s="448"/>
      <c r="K20" s="2606"/>
      <c r="L20" s="1143"/>
      <c r="M20" s="1134"/>
      <c r="N20" s="1134"/>
      <c r="O20" s="1134"/>
      <c r="P20" s="3181"/>
      <c r="Q20" s="1812"/>
      <c r="R20" s="774"/>
      <c r="S20" s="775"/>
      <c r="T20" s="774"/>
      <c r="U20" s="775"/>
      <c r="V20" s="774"/>
      <c r="W20" s="775"/>
      <c r="X20" s="1815"/>
      <c r="Y20" s="3174"/>
      <c r="Z20" s="1816"/>
      <c r="AA20" s="1813">
        <v>1</v>
      </c>
      <c r="AB20" s="1813">
        <v>1</v>
      </c>
      <c r="AC20" s="1813">
        <v>1</v>
      </c>
    </row>
    <row r="21" spans="1:29" ht="15">
      <c r="A21" s="428"/>
      <c r="B21" s="1387" t="s">
        <v>2088</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81"/>
      <c r="Q21" s="1812" t="str">
        <f>B21</f>
        <v>基础设施水平</v>
      </c>
      <c r="R21" s="774" t="s">
        <v>17</v>
      </c>
      <c r="S21" s="775">
        <f>F21</f>
        <v>100</v>
      </c>
      <c r="T21" s="774" t="s">
        <v>17</v>
      </c>
      <c r="U21" s="775">
        <f>H21</f>
        <v>100</v>
      </c>
      <c r="V21" s="774" t="s">
        <v>17</v>
      </c>
      <c r="W21" s="775">
        <f>J21</f>
        <v>100</v>
      </c>
      <c r="X21" s="1815"/>
      <c r="Y21" s="3174"/>
      <c r="Z21" s="1816" t="str">
        <f>Q21</f>
        <v>基础设施水平</v>
      </c>
      <c r="AA21" s="1813">
        <f t="shared" ref="AA21" si="8">D21/F21</f>
        <v>1</v>
      </c>
      <c r="AB21" s="1813">
        <f t="shared" ref="AB21" si="9">D21/H21</f>
        <v>1</v>
      </c>
      <c r="AC21" s="1813">
        <f t="shared" ref="AC21" si="10">D21/J21</f>
        <v>1</v>
      </c>
    </row>
    <row r="22" spans="1:29" ht="15">
      <c r="A22" s="428"/>
      <c r="B22" s="1387"/>
      <c r="C22" s="2608" t="s">
        <v>3057</v>
      </c>
      <c r="D22" s="448"/>
      <c r="E22" s="2608" t="s">
        <v>3057</v>
      </c>
      <c r="F22" s="448"/>
      <c r="G22" s="2608" t="s">
        <v>3057</v>
      </c>
      <c r="H22" s="448"/>
      <c r="I22" s="2608" t="s">
        <v>3057</v>
      </c>
      <c r="J22" s="448"/>
      <c r="K22" s="2612"/>
      <c r="L22" s="1143"/>
      <c r="M22" s="1134"/>
      <c r="N22" s="1134"/>
      <c r="O22" s="1134"/>
      <c r="P22" s="3181"/>
      <c r="Q22" s="1812"/>
      <c r="R22" s="774"/>
      <c r="S22" s="775"/>
      <c r="T22" s="774"/>
      <c r="U22" s="775"/>
      <c r="V22" s="774"/>
      <c r="W22" s="775"/>
      <c r="X22" s="1815"/>
      <c r="Y22" s="3174"/>
      <c r="Z22" s="1816"/>
      <c r="AA22" s="1813">
        <v>1</v>
      </c>
      <c r="AB22" s="1813">
        <v>1</v>
      </c>
      <c r="AC22" s="1813">
        <v>1</v>
      </c>
    </row>
    <row r="23" spans="1:29" ht="15">
      <c r="A23" s="428"/>
      <c r="B23" s="451" t="s">
        <v>2090</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181"/>
      <c r="Q23" s="1812" t="str">
        <f>B23</f>
        <v>自然及人文环境</v>
      </c>
      <c r="R23" s="774" t="s">
        <v>21</v>
      </c>
      <c r="S23" s="775">
        <f>F23</f>
        <v>100</v>
      </c>
      <c r="T23" s="774" t="s">
        <v>21</v>
      </c>
      <c r="U23" s="775">
        <f>H23</f>
        <v>100</v>
      </c>
      <c r="V23" s="774" t="s">
        <v>21</v>
      </c>
      <c r="W23" s="775">
        <f>J23</f>
        <v>100</v>
      </c>
      <c r="X23" s="1815"/>
      <c r="Y23" s="3174"/>
      <c r="Z23" s="1816" t="str">
        <f>Q23</f>
        <v>自然及人文环境</v>
      </c>
      <c r="AA23" s="1813">
        <f>D23/F23</f>
        <v>1</v>
      </c>
      <c r="AB23" s="1813">
        <f>D23/H23</f>
        <v>1</v>
      </c>
      <c r="AC23" s="1813">
        <f>D23/J23</f>
        <v>1</v>
      </c>
    </row>
    <row r="24" spans="1:29" ht="15">
      <c r="A24" s="428"/>
      <c r="B24" s="456"/>
      <c r="C24" s="447" t="s">
        <v>3054</v>
      </c>
      <c r="D24" s="448"/>
      <c r="E24" s="447" t="s">
        <v>3054</v>
      </c>
      <c r="F24" s="448"/>
      <c r="G24" s="447" t="s">
        <v>3054</v>
      </c>
      <c r="H24" s="448"/>
      <c r="I24" s="447" t="s">
        <v>3054</v>
      </c>
      <c r="J24" s="448"/>
      <c r="K24" s="2606"/>
      <c r="L24" s="1143"/>
      <c r="M24" s="1134"/>
      <c r="N24" s="1134"/>
      <c r="O24" s="1134"/>
      <c r="P24" s="3181"/>
      <c r="Q24" s="1812"/>
      <c r="R24" s="774"/>
      <c r="S24" s="775"/>
      <c r="T24" s="774"/>
      <c r="U24" s="775"/>
      <c r="V24" s="774"/>
      <c r="W24" s="775"/>
      <c r="X24" s="1815"/>
      <c r="Y24" s="3174"/>
      <c r="Z24" s="1816"/>
      <c r="AA24" s="1813">
        <v>1</v>
      </c>
      <c r="AB24" s="1813">
        <v>1</v>
      </c>
      <c r="AC24" s="1813">
        <v>1</v>
      </c>
    </row>
    <row r="25" spans="1:29" ht="15">
      <c r="A25" s="428"/>
      <c r="B25" s="422" t="s">
        <v>2549</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181"/>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4"/>
      <c r="Z25" s="1816" t="str">
        <f>Q25</f>
        <v>楼层-1</v>
      </c>
      <c r="AA25" s="1813">
        <f t="shared" ref="AA25:AA46" si="15">D25/F25</f>
        <v>1</v>
      </c>
      <c r="AB25" s="1813">
        <f t="shared" ref="AB25:AB46" si="16">D25/H25</f>
        <v>1</v>
      </c>
      <c r="AC25" s="1813">
        <f t="shared" ref="AC25:AC46" si="17">D25/J25</f>
        <v>1</v>
      </c>
    </row>
    <row r="26" spans="1:29" ht="15">
      <c r="A26" s="428"/>
      <c r="B26" s="422" t="s">
        <v>2550</v>
      </c>
      <c r="C26" s="2971" t="s">
        <v>3115</v>
      </c>
      <c r="D26" s="435">
        <v>100</v>
      </c>
      <c r="E26" s="2962" t="s">
        <v>3086</v>
      </c>
      <c r="F26" s="435">
        <f>SUMIF(88:88,E26,89:89)-SUMIF(88:88,C26,89:89)+100</f>
        <v>102</v>
      </c>
      <c r="G26" s="2962" t="s">
        <v>3115</v>
      </c>
      <c r="H26" s="435">
        <f>SUMIF(88:88,G26,89:89)-SUMIF(88:88,C26,89:89)+100</f>
        <v>100</v>
      </c>
      <c r="I26" s="2962" t="s">
        <v>3115</v>
      </c>
      <c r="J26" s="435">
        <f>SUMIF(88:88,I26,89:89)-SUMIF(88:88,C26,89:89)+100</f>
        <v>100</v>
      </c>
      <c r="K26" s="426">
        <v>2</v>
      </c>
      <c r="L26" s="1143"/>
      <c r="M26" s="1134"/>
      <c r="N26" s="1134"/>
      <c r="O26" s="1134"/>
      <c r="P26" s="3181"/>
      <c r="Q26" s="1812" t="str">
        <f t="shared" si="11"/>
        <v>朝向</v>
      </c>
      <c r="R26" s="774" t="s">
        <v>21</v>
      </c>
      <c r="S26" s="775">
        <f t="shared" si="12"/>
        <v>102</v>
      </c>
      <c r="T26" s="774" t="s">
        <v>21</v>
      </c>
      <c r="U26" s="775">
        <f t="shared" si="13"/>
        <v>100</v>
      </c>
      <c r="V26" s="774" t="s">
        <v>21</v>
      </c>
      <c r="W26" s="775">
        <f t="shared" si="14"/>
        <v>100</v>
      </c>
      <c r="X26" s="1815"/>
      <c r="Y26" s="3174"/>
      <c r="Z26" s="1816" t="str">
        <f>Q26</f>
        <v>朝向</v>
      </c>
      <c r="AA26" s="1813">
        <f t="shared" si="15"/>
        <v>0.98039215686274506</v>
      </c>
      <c r="AB26" s="1813">
        <f t="shared" si="16"/>
        <v>1</v>
      </c>
      <c r="AC26" s="1813">
        <f t="shared" si="17"/>
        <v>1</v>
      </c>
    </row>
    <row r="27" spans="1:29" s="117" customFormat="1" ht="15.75" thickBot="1">
      <c r="A27" s="431"/>
      <c r="B27" s="2945" t="s">
        <v>3067</v>
      </c>
      <c r="C27" s="2946" t="s">
        <v>3066</v>
      </c>
      <c r="D27" s="462">
        <v>100</v>
      </c>
      <c r="E27" s="2947" t="s">
        <v>3102</v>
      </c>
      <c r="F27" s="462">
        <f>SUMIF(90:90,E27,91:91)-SUMIF(90:90,C27,91:91)+100</f>
        <v>101</v>
      </c>
      <c r="G27" s="2947" t="s">
        <v>3102</v>
      </c>
      <c r="H27" s="462">
        <f>SUMIF(90:90,G27,91:91)-SUMIF(90:90,C27,91:91)+100</f>
        <v>101</v>
      </c>
      <c r="I27" s="2947" t="s">
        <v>3121</v>
      </c>
      <c r="J27" s="462">
        <f>SUMIF(90:90,I27,91:91)-SUMIF(90:90,C27,91:91)+100</f>
        <v>102</v>
      </c>
      <c r="K27" s="2601"/>
      <c r="L27" s="1135"/>
      <c r="M27" s="1136"/>
      <c r="N27" s="1136"/>
      <c r="O27" s="1136"/>
      <c r="P27" s="3181"/>
      <c r="Q27" s="1797" t="str">
        <f t="shared" si="11"/>
        <v>楼层</v>
      </c>
      <c r="R27" s="770" t="s">
        <v>21</v>
      </c>
      <c r="S27" s="771">
        <f t="shared" si="12"/>
        <v>101</v>
      </c>
      <c r="T27" s="770" t="s">
        <v>21</v>
      </c>
      <c r="U27" s="771">
        <f t="shared" si="13"/>
        <v>101</v>
      </c>
      <c r="V27" s="770" t="s">
        <v>21</v>
      </c>
      <c r="W27" s="771">
        <f t="shared" si="14"/>
        <v>102</v>
      </c>
      <c r="X27" s="772"/>
      <c r="Y27" s="3174"/>
      <c r="Z27" s="55" t="str">
        <f>Q27</f>
        <v>楼层</v>
      </c>
      <c r="AA27" s="1813">
        <f t="shared" si="15"/>
        <v>0.99009900990099009</v>
      </c>
      <c r="AB27" s="1813">
        <f t="shared" si="16"/>
        <v>0.99009900990099009</v>
      </c>
      <c r="AC27" s="1813">
        <f t="shared" si="17"/>
        <v>0.98039215686274506</v>
      </c>
    </row>
    <row r="28" spans="1:29" ht="15" hidden="1">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181"/>
      <c r="Q28" s="1812">
        <f t="shared" si="11"/>
        <v>111</v>
      </c>
      <c r="R28" s="774" t="s">
        <v>21</v>
      </c>
      <c r="S28" s="775">
        <f t="shared" si="12"/>
        <v>100</v>
      </c>
      <c r="T28" s="774" t="s">
        <v>21</v>
      </c>
      <c r="U28" s="775">
        <f t="shared" si="13"/>
        <v>100</v>
      </c>
      <c r="V28" s="774" t="s">
        <v>21</v>
      </c>
      <c r="W28" s="775">
        <f t="shared" si="14"/>
        <v>100</v>
      </c>
      <c r="X28" s="1815"/>
      <c r="Y28" s="3174"/>
      <c r="Z28" s="1816">
        <f t="shared" ref="Z28:Z46" si="18">Q28</f>
        <v>111</v>
      </c>
      <c r="AA28" s="1813">
        <f t="shared" si="15"/>
        <v>1</v>
      </c>
      <c r="AB28" s="1813">
        <f t="shared" si="16"/>
        <v>1</v>
      </c>
      <c r="AC28" s="1813">
        <f t="shared" si="17"/>
        <v>1</v>
      </c>
    </row>
    <row r="29" spans="1:29" ht="15" hidden="1">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181"/>
      <c r="Q29" s="1812">
        <f t="shared" si="11"/>
        <v>111</v>
      </c>
      <c r="R29" s="774" t="s">
        <v>21</v>
      </c>
      <c r="S29" s="775">
        <f t="shared" si="12"/>
        <v>100</v>
      </c>
      <c r="T29" s="774" t="s">
        <v>21</v>
      </c>
      <c r="U29" s="775">
        <f t="shared" si="13"/>
        <v>100</v>
      </c>
      <c r="V29" s="774" t="s">
        <v>21</v>
      </c>
      <c r="W29" s="775">
        <f t="shared" si="14"/>
        <v>100</v>
      </c>
      <c r="X29" s="1815"/>
      <c r="Y29" s="3174"/>
      <c r="Z29" s="1816">
        <f t="shared" si="18"/>
        <v>111</v>
      </c>
      <c r="AA29" s="1813">
        <f t="shared" si="15"/>
        <v>1</v>
      </c>
      <c r="AB29" s="1813">
        <f t="shared" si="16"/>
        <v>1</v>
      </c>
      <c r="AC29" s="1813">
        <f t="shared" si="17"/>
        <v>1</v>
      </c>
    </row>
    <row r="30" spans="1:29" ht="15" hidden="1">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181"/>
      <c r="Q30" s="1812">
        <f t="shared" si="11"/>
        <v>111</v>
      </c>
      <c r="R30" s="774" t="s">
        <v>21</v>
      </c>
      <c r="S30" s="775">
        <f t="shared" si="12"/>
        <v>100</v>
      </c>
      <c r="T30" s="774" t="s">
        <v>21</v>
      </c>
      <c r="U30" s="775">
        <f t="shared" si="13"/>
        <v>100</v>
      </c>
      <c r="V30" s="774" t="s">
        <v>21</v>
      </c>
      <c r="W30" s="775">
        <f t="shared" si="14"/>
        <v>100</v>
      </c>
      <c r="X30" s="1815"/>
      <c r="Y30" s="3174"/>
      <c r="Z30" s="1816">
        <f t="shared" si="18"/>
        <v>111</v>
      </c>
      <c r="AA30" s="1813">
        <f t="shared" si="15"/>
        <v>1</v>
      </c>
      <c r="AB30" s="1813">
        <f t="shared" si="16"/>
        <v>1</v>
      </c>
      <c r="AC30" s="1813">
        <f t="shared" si="17"/>
        <v>1</v>
      </c>
    </row>
    <row r="31" spans="1:29" ht="15.75" hidden="1"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181"/>
      <c r="Q31" s="1812">
        <f t="shared" si="11"/>
        <v>111</v>
      </c>
      <c r="R31" s="774" t="s">
        <v>21</v>
      </c>
      <c r="S31" s="775">
        <f t="shared" si="12"/>
        <v>100</v>
      </c>
      <c r="T31" s="774" t="s">
        <v>21</v>
      </c>
      <c r="U31" s="775">
        <f t="shared" si="13"/>
        <v>100</v>
      </c>
      <c r="V31" s="774" t="s">
        <v>21</v>
      </c>
      <c r="W31" s="775">
        <f t="shared" si="14"/>
        <v>100</v>
      </c>
      <c r="X31" s="1815"/>
      <c r="Y31" s="3174"/>
      <c r="Z31" s="1816">
        <f t="shared" si="18"/>
        <v>111</v>
      </c>
      <c r="AA31" s="1813">
        <f t="shared" si="15"/>
        <v>1</v>
      </c>
      <c r="AB31" s="1813">
        <f t="shared" si="16"/>
        <v>1</v>
      </c>
      <c r="AC31" s="1813">
        <f t="shared" si="17"/>
        <v>1</v>
      </c>
    </row>
    <row r="32" spans="1:29" ht="15">
      <c r="A32" s="440" t="s">
        <v>2551</v>
      </c>
      <c r="B32" s="71" t="s">
        <v>2552</v>
      </c>
      <c r="C32" s="2617" t="s">
        <v>3122</v>
      </c>
      <c r="D32" s="467">
        <v>100</v>
      </c>
      <c r="E32" s="2617" t="s">
        <v>3122</v>
      </c>
      <c r="F32" s="461">
        <f>SUMIF(100:100,E32,101:101)-SUMIF(100:100,C32,101:101)+100</f>
        <v>100</v>
      </c>
      <c r="G32" s="2617" t="s">
        <v>3122</v>
      </c>
      <c r="H32" s="467">
        <f>SUMIF(100:100,G32,101:101)-SUMIF(100:100,C32,101:101)+100</f>
        <v>100</v>
      </c>
      <c r="I32" s="2617" t="s">
        <v>3122</v>
      </c>
      <c r="J32" s="435">
        <f>SUMIF(100:100,I32,101:101)-SUMIF(100:100,C32,101:101)+100</f>
        <v>100</v>
      </c>
      <c r="K32" s="426">
        <v>2</v>
      </c>
      <c r="L32" s="1143"/>
      <c r="M32" s="1134"/>
      <c r="N32" s="1134"/>
      <c r="O32" s="1134"/>
      <c r="P32" s="3175" t="s">
        <v>2553</v>
      </c>
      <c r="Q32" s="1812" t="str">
        <f t="shared" si="11"/>
        <v>建筑类型</v>
      </c>
      <c r="R32" s="774" t="s">
        <v>21</v>
      </c>
      <c r="S32" s="775">
        <f t="shared" si="12"/>
        <v>100</v>
      </c>
      <c r="T32" s="774" t="s">
        <v>21</v>
      </c>
      <c r="U32" s="775">
        <f t="shared" si="13"/>
        <v>100</v>
      </c>
      <c r="V32" s="774" t="s">
        <v>21</v>
      </c>
      <c r="W32" s="775">
        <f t="shared" si="14"/>
        <v>100</v>
      </c>
      <c r="X32" s="1815"/>
      <c r="Y32" s="3178" t="s">
        <v>2553</v>
      </c>
      <c r="Z32" s="1816" t="str">
        <f t="shared" si="18"/>
        <v>建筑类型</v>
      </c>
      <c r="AA32" s="1813">
        <f t="shared" si="15"/>
        <v>1</v>
      </c>
      <c r="AB32" s="1813">
        <f t="shared" si="16"/>
        <v>1</v>
      </c>
      <c r="AC32" s="1813">
        <f t="shared" si="17"/>
        <v>1</v>
      </c>
    </row>
    <row r="33" spans="1:29" s="471" customFormat="1" ht="15">
      <c r="A33" s="468"/>
      <c r="B33" s="422" t="s">
        <v>2554</v>
      </c>
      <c r="C33" s="469">
        <f>'数据-汇总表'!E3</f>
        <v>91.52</v>
      </c>
      <c r="D33" s="136">
        <v>100</v>
      </c>
      <c r="E33" s="430">
        <f>案例!H140</f>
        <v>72</v>
      </c>
      <c r="F33" s="425">
        <f>LOOKUP(E33,103:103,104:104)-LOOKUP(C33,103:103,104:104)+100</f>
        <v>101</v>
      </c>
      <c r="G33" s="429">
        <f>案例!H141</f>
        <v>72.22</v>
      </c>
      <c r="H33" s="136">
        <f>LOOKUP(G33,103:103,104:104)-LOOKUP(C33,103:103,104:104)+100</f>
        <v>101</v>
      </c>
      <c r="I33" s="430">
        <f>案例!H142</f>
        <v>70.67</v>
      </c>
      <c r="J33" s="136">
        <f>LOOKUP(I33,103:103,104:104)-LOOKUP(C33,103:103,104:104)+100</f>
        <v>101</v>
      </c>
      <c r="K33" s="2601"/>
      <c r="L33" s="1141"/>
      <c r="M33" s="1144"/>
      <c r="N33" s="1144"/>
      <c r="O33" s="1144"/>
      <c r="P33" s="3176"/>
      <c r="Q33" s="776" t="str">
        <f t="shared" si="11"/>
        <v>项目建筑规模</v>
      </c>
      <c r="R33" s="777" t="s">
        <v>21</v>
      </c>
      <c r="S33" s="778">
        <f t="shared" si="12"/>
        <v>101</v>
      </c>
      <c r="T33" s="777" t="s">
        <v>21</v>
      </c>
      <c r="U33" s="778">
        <f t="shared" si="13"/>
        <v>101</v>
      </c>
      <c r="V33" s="777" t="s">
        <v>21</v>
      </c>
      <c r="W33" s="778">
        <f t="shared" si="14"/>
        <v>101</v>
      </c>
      <c r="X33" s="779"/>
      <c r="Y33" s="3178"/>
      <c r="Z33" s="780" t="str">
        <f t="shared" si="18"/>
        <v>项目建筑规模</v>
      </c>
      <c r="AA33" s="1813">
        <f t="shared" si="15"/>
        <v>0.99009900990099009</v>
      </c>
      <c r="AB33" s="1813">
        <f t="shared" si="16"/>
        <v>0.99009900990099009</v>
      </c>
      <c r="AC33" s="1813">
        <f t="shared" si="17"/>
        <v>0.99009900990099009</v>
      </c>
    </row>
    <row r="34" spans="1:29" ht="15">
      <c r="A34" s="472"/>
      <c r="B34" s="422" t="s">
        <v>2555</v>
      </c>
      <c r="C34" s="2618" t="s">
        <v>3125</v>
      </c>
      <c r="D34" s="435">
        <v>100</v>
      </c>
      <c r="E34" s="2618" t="s">
        <v>3125</v>
      </c>
      <c r="F34" s="461">
        <f>SUMIF(105:105,E34,106:106)-SUMIF(105:105,C34,106:106)+100</f>
        <v>100</v>
      </c>
      <c r="G34" s="2618" t="s">
        <v>3125</v>
      </c>
      <c r="H34" s="435">
        <f>SUMIF(105:105,G34,106:106)-SUMIF(105:105,C34,106:106)+100</f>
        <v>100</v>
      </c>
      <c r="I34" s="2618" t="s">
        <v>3125</v>
      </c>
      <c r="J34" s="435">
        <f>SUMIF(105:105,I34,106:106)-SUMIF(105:105,C34,106:106)+100</f>
        <v>100</v>
      </c>
      <c r="K34" s="426">
        <v>2</v>
      </c>
      <c r="L34" s="1143"/>
      <c r="M34" s="1134"/>
      <c r="N34" s="1134"/>
      <c r="O34" s="1134"/>
      <c r="P34" s="3176"/>
      <c r="Q34" s="1812" t="str">
        <f t="shared" si="11"/>
        <v>建筑结构</v>
      </c>
      <c r="R34" s="774" t="s">
        <v>21</v>
      </c>
      <c r="S34" s="775">
        <f t="shared" si="12"/>
        <v>100</v>
      </c>
      <c r="T34" s="774" t="s">
        <v>21</v>
      </c>
      <c r="U34" s="775">
        <f t="shared" si="13"/>
        <v>100</v>
      </c>
      <c r="V34" s="774" t="s">
        <v>21</v>
      </c>
      <c r="W34" s="775">
        <f t="shared" si="14"/>
        <v>100</v>
      </c>
      <c r="X34" s="1815"/>
      <c r="Y34" s="3178"/>
      <c r="Z34" s="1816" t="str">
        <f t="shared" si="18"/>
        <v>建筑结构</v>
      </c>
      <c r="AA34" s="1813">
        <f t="shared" si="15"/>
        <v>1</v>
      </c>
      <c r="AB34" s="1813">
        <f t="shared" si="16"/>
        <v>1</v>
      </c>
      <c r="AC34" s="1813">
        <f t="shared" si="17"/>
        <v>1</v>
      </c>
    </row>
    <row r="35" spans="1:29" ht="15">
      <c r="A35" s="472"/>
      <c r="B35" s="422" t="s">
        <v>2556</v>
      </c>
      <c r="C35" s="2613" t="s">
        <v>3069</v>
      </c>
      <c r="D35" s="435">
        <v>100</v>
      </c>
      <c r="E35" s="2613" t="s">
        <v>3069</v>
      </c>
      <c r="F35" s="461">
        <f>SUMIF(107:107,E35,108:108)-SUMIF(107:107,C35,108:108)+100</f>
        <v>100</v>
      </c>
      <c r="G35" s="2613" t="s">
        <v>3069</v>
      </c>
      <c r="H35" s="435">
        <f>SUMIF(107:107,G35,108:108)-SUMIF(107:107,C35,108:108)+100</f>
        <v>100</v>
      </c>
      <c r="I35" s="2613" t="s">
        <v>3069</v>
      </c>
      <c r="J35" s="435">
        <f>SUMIF(107:107,I35,108:108)-SUMIF(107:107,C35,108:108)+100</f>
        <v>100</v>
      </c>
      <c r="K35" s="426">
        <v>2</v>
      </c>
      <c r="L35" s="1143"/>
      <c r="M35" s="1134"/>
      <c r="N35" s="1134"/>
      <c r="O35" s="1134"/>
      <c r="P35" s="3176"/>
      <c r="Q35" s="1812" t="str">
        <f t="shared" si="11"/>
        <v>建筑品质</v>
      </c>
      <c r="R35" s="774" t="s">
        <v>21</v>
      </c>
      <c r="S35" s="775">
        <f t="shared" si="12"/>
        <v>100</v>
      </c>
      <c r="T35" s="774" t="s">
        <v>21</v>
      </c>
      <c r="U35" s="775">
        <f t="shared" si="13"/>
        <v>100</v>
      </c>
      <c r="V35" s="774" t="s">
        <v>21</v>
      </c>
      <c r="W35" s="775">
        <f t="shared" si="14"/>
        <v>100</v>
      </c>
      <c r="X35" s="1815"/>
      <c r="Y35" s="3178"/>
      <c r="Z35" s="1816" t="str">
        <f t="shared" si="18"/>
        <v>建筑品质</v>
      </c>
      <c r="AA35" s="1813">
        <f t="shared" si="15"/>
        <v>1</v>
      </c>
      <c r="AB35" s="1813">
        <f t="shared" si="16"/>
        <v>1</v>
      </c>
      <c r="AC35" s="1813">
        <f t="shared" si="17"/>
        <v>1</v>
      </c>
    </row>
    <row r="36" spans="1:29" ht="15">
      <c r="A36" s="472"/>
      <c r="B36" s="422" t="s">
        <v>2557</v>
      </c>
      <c r="C36" s="2613" t="s">
        <v>3127</v>
      </c>
      <c r="D36" s="435">
        <v>100</v>
      </c>
      <c r="E36" s="2613" t="s">
        <v>3127</v>
      </c>
      <c r="F36" s="461">
        <f>SUMIF(109:109,E36,110:110)-SUMIF(109:109,C36,110:110)+100</f>
        <v>100</v>
      </c>
      <c r="G36" s="2613" t="s">
        <v>3127</v>
      </c>
      <c r="H36" s="435">
        <f>SUMIF(109:109,G36,110:110)-SUMIF(109:109,C36,110:110)+100</f>
        <v>100</v>
      </c>
      <c r="I36" s="2613" t="s">
        <v>3127</v>
      </c>
      <c r="J36" s="435">
        <f>SUMIF(109:109,I36,110:110)-SUMIF(109:109,C36,110:110)+100</f>
        <v>100</v>
      </c>
      <c r="K36" s="426">
        <v>2</v>
      </c>
      <c r="L36" s="1143"/>
      <c r="M36" s="1134"/>
      <c r="N36" s="1134"/>
      <c r="O36" s="1134"/>
      <c r="P36" s="3176"/>
      <c r="Q36" s="1812" t="str">
        <f t="shared" si="11"/>
        <v>公共部分装修</v>
      </c>
      <c r="R36" s="774" t="s">
        <v>21</v>
      </c>
      <c r="S36" s="775">
        <f t="shared" si="12"/>
        <v>100</v>
      </c>
      <c r="T36" s="774" t="s">
        <v>21</v>
      </c>
      <c r="U36" s="775">
        <f t="shared" si="13"/>
        <v>100</v>
      </c>
      <c r="V36" s="774" t="s">
        <v>21</v>
      </c>
      <c r="W36" s="775">
        <f t="shared" si="14"/>
        <v>100</v>
      </c>
      <c r="X36" s="1815"/>
      <c r="Y36" s="3178"/>
      <c r="Z36" s="1816" t="str">
        <f t="shared" si="18"/>
        <v>公共部分装修</v>
      </c>
      <c r="AA36" s="1813">
        <f t="shared" si="15"/>
        <v>1</v>
      </c>
      <c r="AB36" s="1813">
        <f t="shared" si="16"/>
        <v>1</v>
      </c>
      <c r="AC36" s="1813">
        <f t="shared" si="17"/>
        <v>1</v>
      </c>
    </row>
    <row r="37" spans="1:29" s="117" customFormat="1" ht="15">
      <c r="A37" s="473"/>
      <c r="B37" s="422" t="s">
        <v>2558</v>
      </c>
      <c r="C37" s="474">
        <f>'数据-取费表'!N6</f>
        <v>0.7</v>
      </c>
      <c r="D37" s="136">
        <v>100</v>
      </c>
      <c r="E37" s="474">
        <f>C37</f>
        <v>0.7</v>
      </c>
      <c r="F37" s="425">
        <f>LOOKUP(E37,112:112,113:113)-LOOKUP(C37,112:112,113:113)+100</f>
        <v>100</v>
      </c>
      <c r="G37" s="476">
        <f>C37</f>
        <v>0.7</v>
      </c>
      <c r="H37" s="136">
        <f>LOOKUP(G37,112:112,113:113)-LOOKUP(C37,112:112,113:113)+100</f>
        <v>100</v>
      </c>
      <c r="I37" s="475">
        <f>C37</f>
        <v>0.7</v>
      </c>
      <c r="J37" s="136">
        <f>LOOKUP(I37,112:112,113:113)-LOOKUP(C37,112:112,113:113)+100</f>
        <v>100</v>
      </c>
      <c r="K37" s="426">
        <v>1</v>
      </c>
      <c r="L37" s="1135"/>
      <c r="M37" s="1136"/>
      <c r="N37" s="1136"/>
      <c r="O37" s="1136"/>
      <c r="P37" s="3176"/>
      <c r="Q37" s="1797" t="str">
        <f t="shared" si="11"/>
        <v>成新度</v>
      </c>
      <c r="R37" s="770" t="s">
        <v>21</v>
      </c>
      <c r="S37" s="771">
        <f t="shared" si="12"/>
        <v>100</v>
      </c>
      <c r="T37" s="770" t="s">
        <v>21</v>
      </c>
      <c r="U37" s="771">
        <f t="shared" si="13"/>
        <v>100</v>
      </c>
      <c r="V37" s="770" t="s">
        <v>21</v>
      </c>
      <c r="W37" s="771">
        <f t="shared" si="14"/>
        <v>100</v>
      </c>
      <c r="X37" s="772"/>
      <c r="Y37" s="3178"/>
      <c r="Z37" s="55" t="str">
        <f t="shared" si="18"/>
        <v>成新度</v>
      </c>
      <c r="AA37" s="773">
        <f t="shared" si="15"/>
        <v>1</v>
      </c>
      <c r="AB37" s="773">
        <f t="shared" si="16"/>
        <v>1</v>
      </c>
      <c r="AC37" s="773">
        <f t="shared" si="17"/>
        <v>1</v>
      </c>
    </row>
    <row r="38" spans="1:29" ht="15">
      <c r="A38" s="472"/>
      <c r="B38" s="422" t="s">
        <v>2559</v>
      </c>
      <c r="C38" s="2613" t="s">
        <v>3129</v>
      </c>
      <c r="D38" s="435">
        <v>100</v>
      </c>
      <c r="E38" s="2613" t="s">
        <v>3129</v>
      </c>
      <c r="F38" s="461">
        <f>SUMIF(114:114,E38,115:115)-SUMIF(114:114,C38,115:115)+100</f>
        <v>100</v>
      </c>
      <c r="G38" s="2613" t="s">
        <v>3129</v>
      </c>
      <c r="H38" s="435">
        <f>SUMIF(114:114,G38,115:115)-SUMIF(114:114,C38,115:115)+100</f>
        <v>100</v>
      </c>
      <c r="I38" s="2613" t="s">
        <v>3129</v>
      </c>
      <c r="J38" s="435">
        <f>SUMIF(114:114,I38,115:115)-SUMIF(114:114,C38,115:115)+100</f>
        <v>100</v>
      </c>
      <c r="K38" s="426">
        <v>2</v>
      </c>
      <c r="L38" s="1143"/>
      <c r="M38" s="1134"/>
      <c r="N38" s="1134"/>
      <c r="O38" s="1134"/>
      <c r="P38" s="3176" t="s">
        <v>2553</v>
      </c>
      <c r="Q38" s="1812" t="str">
        <f t="shared" si="11"/>
        <v>物业管理</v>
      </c>
      <c r="R38" s="774" t="s">
        <v>21</v>
      </c>
      <c r="S38" s="775">
        <f t="shared" si="12"/>
        <v>100</v>
      </c>
      <c r="T38" s="774" t="s">
        <v>21</v>
      </c>
      <c r="U38" s="775">
        <f t="shared" si="13"/>
        <v>100</v>
      </c>
      <c r="V38" s="774" t="s">
        <v>21</v>
      </c>
      <c r="W38" s="775">
        <f t="shared" si="14"/>
        <v>100</v>
      </c>
      <c r="X38" s="1815"/>
      <c r="Y38" s="3178" t="s">
        <v>2553</v>
      </c>
      <c r="Z38" s="1816" t="str">
        <f t="shared" si="18"/>
        <v>物业管理</v>
      </c>
      <c r="AA38" s="1813">
        <f t="shared" si="15"/>
        <v>1</v>
      </c>
      <c r="AB38" s="1813">
        <f t="shared" si="16"/>
        <v>1</v>
      </c>
      <c r="AC38" s="1813">
        <f t="shared" si="17"/>
        <v>1</v>
      </c>
    </row>
    <row r="39" spans="1:29" ht="15">
      <c r="A39" s="472"/>
      <c r="B39" s="422" t="s">
        <v>2560</v>
      </c>
      <c r="C39" s="2613" t="s">
        <v>3057</v>
      </c>
      <c r="D39" s="435">
        <v>100</v>
      </c>
      <c r="E39" s="2613" t="s">
        <v>3057</v>
      </c>
      <c r="F39" s="461">
        <f>SUMIF(116:116,E39,117:117)-SUMIF(116:116,C39,117:117)+100</f>
        <v>100</v>
      </c>
      <c r="G39" s="2613" t="s">
        <v>3057</v>
      </c>
      <c r="H39" s="435">
        <f>SUMIF(116:116,G39,117:117)-SUMIF(116:116,C39,117:117)+100</f>
        <v>100</v>
      </c>
      <c r="I39" s="2613" t="s">
        <v>3057</v>
      </c>
      <c r="J39" s="435">
        <f>SUMIF(116:116,I39,117:117)-SUMIF(116:116,C39,117:117)+100</f>
        <v>100</v>
      </c>
      <c r="K39" s="426">
        <v>1</v>
      </c>
      <c r="L39" s="1143"/>
      <c r="M39" s="1134"/>
      <c r="N39" s="1134"/>
      <c r="O39" s="1134"/>
      <c r="P39" s="3176"/>
      <c r="Q39" s="1812" t="str">
        <f t="shared" si="11"/>
        <v>市政基础设施</v>
      </c>
      <c r="R39" s="774" t="s">
        <v>21</v>
      </c>
      <c r="S39" s="775">
        <f t="shared" si="12"/>
        <v>100</v>
      </c>
      <c r="T39" s="774" t="s">
        <v>21</v>
      </c>
      <c r="U39" s="775">
        <f t="shared" si="13"/>
        <v>100</v>
      </c>
      <c r="V39" s="774" t="s">
        <v>21</v>
      </c>
      <c r="W39" s="775">
        <f t="shared" si="14"/>
        <v>100</v>
      </c>
      <c r="X39" s="1815"/>
      <c r="Y39" s="3178"/>
      <c r="Z39" s="1816" t="str">
        <f t="shared" si="18"/>
        <v>市政基础设施</v>
      </c>
      <c r="AA39" s="1813">
        <f t="shared" si="15"/>
        <v>1</v>
      </c>
      <c r="AB39" s="1813">
        <f t="shared" si="16"/>
        <v>1</v>
      </c>
      <c r="AC39" s="1813">
        <f t="shared" si="17"/>
        <v>1</v>
      </c>
    </row>
    <row r="40" spans="1:29" ht="15.75" thickBot="1">
      <c r="A40" s="472"/>
      <c r="B40" s="422" t="s">
        <v>2561</v>
      </c>
      <c r="C40" s="2613" t="s">
        <v>3074</v>
      </c>
      <c r="D40" s="435">
        <v>100</v>
      </c>
      <c r="E40" s="2613" t="s">
        <v>3074</v>
      </c>
      <c r="F40" s="461">
        <f>SUMIF(118:118,E40,119:119)-SUMIF(118:118,C40,119:119)+100</f>
        <v>100</v>
      </c>
      <c r="G40" s="2613" t="s">
        <v>3074</v>
      </c>
      <c r="H40" s="435">
        <f>SUMIF(118:118,G40,119:119)-SUMIF(118:118,C40,119:119)+100</f>
        <v>100</v>
      </c>
      <c r="I40" s="2613" t="s">
        <v>3074</v>
      </c>
      <c r="J40" s="435">
        <f>SUMIF(118:118,I40,119:119)-SUMIF(118:118,C40,119:119)+100</f>
        <v>100</v>
      </c>
      <c r="K40" s="426">
        <v>2</v>
      </c>
      <c r="L40" s="1143"/>
      <c r="M40" s="1134"/>
      <c r="N40" s="1134"/>
      <c r="O40" s="1134"/>
      <c r="P40" s="3176"/>
      <c r="Q40" s="1812" t="str">
        <f t="shared" si="11"/>
        <v>房型</v>
      </c>
      <c r="R40" s="774" t="s">
        <v>21</v>
      </c>
      <c r="S40" s="775">
        <f t="shared" si="12"/>
        <v>100</v>
      </c>
      <c r="T40" s="774" t="s">
        <v>21</v>
      </c>
      <c r="U40" s="775">
        <f t="shared" si="13"/>
        <v>100</v>
      </c>
      <c r="V40" s="774" t="s">
        <v>21</v>
      </c>
      <c r="W40" s="775">
        <f t="shared" si="14"/>
        <v>100</v>
      </c>
      <c r="X40" s="1815"/>
      <c r="Y40" s="3178"/>
      <c r="Z40" s="1816" t="str">
        <f t="shared" si="18"/>
        <v>房型</v>
      </c>
      <c r="AA40" s="1813">
        <f t="shared" si="15"/>
        <v>1</v>
      </c>
      <c r="AB40" s="1813">
        <f t="shared" si="16"/>
        <v>1</v>
      </c>
      <c r="AC40" s="1813">
        <f t="shared" si="17"/>
        <v>1</v>
      </c>
    </row>
    <row r="41" spans="1:29" s="471" customFormat="1" ht="29.25" thickTop="1">
      <c r="A41" s="468"/>
      <c r="B41" s="422" t="s">
        <v>2562</v>
      </c>
      <c r="C41" s="554"/>
      <c r="D41" s="136">
        <v>100</v>
      </c>
      <c r="E41" s="554"/>
      <c r="F41" s="425">
        <f>SUMIF(120:120,E41,121:121)-SUMIF(120:120,C41,121:121)+100</f>
        <v>100</v>
      </c>
      <c r="G41" s="554"/>
      <c r="H41" s="136">
        <f>SUMIF(120:120,G41,121:121)-SUMIF(120:120,C41,121:121)+100</f>
        <v>100</v>
      </c>
      <c r="I41" s="554"/>
      <c r="J41" s="435">
        <f>SUMIF(120:120,I41,121:121)-SUMIF(120:120,C41,121:121)+100</f>
        <v>100</v>
      </c>
      <c r="K41" s="2601"/>
      <c r="L41" s="1141"/>
      <c r="M41" s="1144"/>
      <c r="N41" s="1144"/>
      <c r="O41" s="1144"/>
      <c r="P41" s="3176"/>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1813">
        <f t="shared" si="15"/>
        <v>1</v>
      </c>
      <c r="AB41" s="1813">
        <f t="shared" si="16"/>
        <v>1</v>
      </c>
      <c r="AC41" s="1813">
        <f t="shared" si="17"/>
        <v>1</v>
      </c>
    </row>
    <row r="42" spans="1:29" ht="15">
      <c r="A42" s="472"/>
      <c r="B42" s="422" t="s">
        <v>2563</v>
      </c>
      <c r="C42" s="2970" t="s">
        <v>3071</v>
      </c>
      <c r="D42" s="435">
        <v>100</v>
      </c>
      <c r="E42" s="2613" t="s">
        <v>3127</v>
      </c>
      <c r="F42" s="461">
        <f>SUMIF(122:122,E42,123:123)-SUMIF(122:122,C42,123:123)+100</f>
        <v>98</v>
      </c>
      <c r="G42" s="2613" t="s">
        <v>3138</v>
      </c>
      <c r="H42" s="435">
        <f>SUMIF(122:122,G42,123:123)-SUMIF(122:122,C42,123:123)+100</f>
        <v>96</v>
      </c>
      <c r="I42" s="2613" t="s">
        <v>3138</v>
      </c>
      <c r="J42" s="435">
        <f>SUMIF(122:122,I42,123:123)-SUMIF(122:122,C42,123:123)+100</f>
        <v>96</v>
      </c>
      <c r="K42" s="426">
        <v>2</v>
      </c>
      <c r="L42" s="1143"/>
      <c r="M42" s="1134"/>
      <c r="N42" s="1134"/>
      <c r="O42" s="1134"/>
      <c r="P42" s="3176"/>
      <c r="Q42" s="1812" t="str">
        <f t="shared" si="11"/>
        <v>内部装修</v>
      </c>
      <c r="R42" s="774" t="s">
        <v>21</v>
      </c>
      <c r="S42" s="775">
        <f t="shared" si="12"/>
        <v>98</v>
      </c>
      <c r="T42" s="774" t="s">
        <v>21</v>
      </c>
      <c r="U42" s="775">
        <f t="shared" si="13"/>
        <v>96</v>
      </c>
      <c r="V42" s="774" t="s">
        <v>21</v>
      </c>
      <c r="W42" s="775">
        <f t="shared" si="14"/>
        <v>96</v>
      </c>
      <c r="X42" s="1815"/>
      <c r="Y42" s="3178"/>
      <c r="Z42" s="1816" t="str">
        <f t="shared" si="18"/>
        <v>内部装修</v>
      </c>
      <c r="AA42" s="1813">
        <f t="shared" si="15"/>
        <v>1.0204081632653061</v>
      </c>
      <c r="AB42" s="1813">
        <f t="shared" si="16"/>
        <v>1.0416666666666667</v>
      </c>
      <c r="AC42" s="1813">
        <f t="shared" si="17"/>
        <v>1.0416666666666667</v>
      </c>
    </row>
    <row r="43" spans="1:29" ht="15.75" thickBot="1">
      <c r="A43" s="472"/>
      <c r="B43" s="422" t="s">
        <v>2564</v>
      </c>
      <c r="C43" s="2613" t="s">
        <v>3054</v>
      </c>
      <c r="D43" s="435">
        <v>100</v>
      </c>
      <c r="E43" s="2613" t="s">
        <v>3054</v>
      </c>
      <c r="F43" s="461">
        <f>SUMIF(124:124,E43,125:125)-SUMIF(124:124,C43,125:125)+100</f>
        <v>100</v>
      </c>
      <c r="G43" s="2613" t="s">
        <v>3054</v>
      </c>
      <c r="H43" s="435">
        <f>SUMIF(124:124,G43,125:125)-SUMIF(124:124,C43,125:125)+100</f>
        <v>100</v>
      </c>
      <c r="I43" s="2613" t="s">
        <v>3054</v>
      </c>
      <c r="J43" s="435">
        <f>SUMIF(124:124,I43,125:125)-SUMIF(124:124,C43,125:125)+100</f>
        <v>100</v>
      </c>
      <c r="K43" s="426">
        <v>2</v>
      </c>
      <c r="L43" s="1143"/>
      <c r="M43" s="1134"/>
      <c r="N43" s="1134"/>
      <c r="O43" s="1134"/>
      <c r="P43" s="3176"/>
      <c r="Q43" s="1812" t="str">
        <f t="shared" si="11"/>
        <v>内部装修维护情况</v>
      </c>
      <c r="R43" s="774" t="s">
        <v>21</v>
      </c>
      <c r="S43" s="775">
        <f t="shared" si="12"/>
        <v>100</v>
      </c>
      <c r="T43" s="774" t="s">
        <v>21</v>
      </c>
      <c r="U43" s="775">
        <f t="shared" si="13"/>
        <v>100</v>
      </c>
      <c r="V43" s="774" t="s">
        <v>21</v>
      </c>
      <c r="W43" s="775">
        <f t="shared" si="14"/>
        <v>100</v>
      </c>
      <c r="X43" s="1815"/>
      <c r="Y43" s="3178"/>
      <c r="Z43" s="1816" t="str">
        <f t="shared" si="18"/>
        <v>内部装修维护情况</v>
      </c>
      <c r="AA43" s="1813">
        <f t="shared" si="15"/>
        <v>1</v>
      </c>
      <c r="AB43" s="1813">
        <f t="shared" si="16"/>
        <v>1</v>
      </c>
      <c r="AC43" s="1813">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176"/>
      <c r="Q44" s="1797">
        <f t="shared" si="11"/>
        <v>111</v>
      </c>
      <c r="R44" s="770" t="s">
        <v>21</v>
      </c>
      <c r="S44" s="771">
        <f t="shared" si="12"/>
        <v>100</v>
      </c>
      <c r="T44" s="770" t="s">
        <v>21</v>
      </c>
      <c r="U44" s="771">
        <f t="shared" si="13"/>
        <v>100</v>
      </c>
      <c r="V44" s="770" t="s">
        <v>21</v>
      </c>
      <c r="W44" s="771">
        <f t="shared" si="14"/>
        <v>100</v>
      </c>
      <c r="X44" s="772"/>
      <c r="Y44" s="3178"/>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176"/>
      <c r="Q45" s="1812">
        <f t="shared" si="11"/>
        <v>111</v>
      </c>
      <c r="R45" s="774" t="s">
        <v>21</v>
      </c>
      <c r="S45" s="775">
        <f t="shared" si="12"/>
        <v>100</v>
      </c>
      <c r="T45" s="774" t="s">
        <v>21</v>
      </c>
      <c r="U45" s="775">
        <f t="shared" si="13"/>
        <v>100</v>
      </c>
      <c r="V45" s="774" t="s">
        <v>21</v>
      </c>
      <c r="W45" s="775">
        <f t="shared" si="14"/>
        <v>100</v>
      </c>
      <c r="X45" s="1815"/>
      <c r="Y45" s="3178"/>
      <c r="Z45" s="1816">
        <f t="shared" si="18"/>
        <v>111</v>
      </c>
      <c r="AA45" s="1813">
        <f t="shared" si="15"/>
        <v>1</v>
      </c>
      <c r="AB45" s="1813">
        <f t="shared" si="16"/>
        <v>1</v>
      </c>
      <c r="AC45" s="1813">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177"/>
      <c r="Q46" s="1812">
        <f t="shared" si="11"/>
        <v>111</v>
      </c>
      <c r="R46" s="774" t="s">
        <v>20</v>
      </c>
      <c r="S46" s="775">
        <f t="shared" si="12"/>
        <v>100</v>
      </c>
      <c r="T46" s="774" t="s">
        <v>20</v>
      </c>
      <c r="U46" s="775">
        <f t="shared" si="13"/>
        <v>100</v>
      </c>
      <c r="V46" s="774" t="s">
        <v>20</v>
      </c>
      <c r="W46" s="775">
        <f t="shared" si="14"/>
        <v>100</v>
      </c>
      <c r="X46" s="1815"/>
      <c r="Y46" s="3179"/>
      <c r="Z46" s="1816">
        <f t="shared" si="18"/>
        <v>111</v>
      </c>
      <c r="AA46" s="1813">
        <f t="shared" si="15"/>
        <v>1</v>
      </c>
      <c r="AB46" s="1813">
        <f t="shared" si="16"/>
        <v>1</v>
      </c>
      <c r="AC46" s="1813">
        <f t="shared" si="17"/>
        <v>1</v>
      </c>
    </row>
    <row r="47" spans="1:29" ht="15">
      <c r="A47" s="479" t="s">
        <v>2565</v>
      </c>
      <c r="B47" s="480"/>
      <c r="C47" s="1410" t="s">
        <v>19</v>
      </c>
      <c r="D47" s="1411"/>
      <c r="E47" s="1412">
        <f>案例!I140</f>
        <v>55278</v>
      </c>
      <c r="F47" s="1413"/>
      <c r="G47" s="1414">
        <f>案例!I141</f>
        <v>56771</v>
      </c>
      <c r="H47" s="1415"/>
      <c r="I47" s="1412">
        <f>案例!I142</f>
        <v>58017</v>
      </c>
      <c r="J47" s="1415"/>
      <c r="K47" s="2619"/>
      <c r="L47" s="1146"/>
      <c r="M47" s="1147"/>
      <c r="N47" s="1134"/>
      <c r="O47" s="1147"/>
      <c r="P47" s="3171" t="str">
        <f>A47</f>
        <v>成交单价（元/平方米）</v>
      </c>
      <c r="Q47" s="3171"/>
      <c r="R47" s="3172">
        <f>E47</f>
        <v>55278</v>
      </c>
      <c r="S47" s="3172"/>
      <c r="T47" s="3172">
        <f>G47</f>
        <v>56771</v>
      </c>
      <c r="U47" s="3172"/>
      <c r="V47" s="3172">
        <f>I47</f>
        <v>58017</v>
      </c>
      <c r="W47" s="3172"/>
      <c r="X47" s="759"/>
      <c r="Y47" s="781"/>
      <c r="Z47" s="759"/>
      <c r="AA47" s="759"/>
      <c r="AB47" s="759"/>
      <c r="AC47" s="759"/>
    </row>
    <row r="48" spans="1:29" ht="15.75" thickBot="1">
      <c r="A48" s="486" t="s">
        <v>2566</v>
      </c>
      <c r="B48" s="487"/>
      <c r="C48" s="1416">
        <f>R49</f>
        <v>57144</v>
      </c>
      <c r="D48" s="1417"/>
      <c r="E48" s="1418">
        <f>R48</f>
        <v>54210</v>
      </c>
      <c r="F48" s="1418"/>
      <c r="G48" s="1416">
        <f>T48</f>
        <v>58263</v>
      </c>
      <c r="H48" s="1417"/>
      <c r="I48" s="1418">
        <f>V48</f>
        <v>58958</v>
      </c>
      <c r="J48" s="1417"/>
      <c r="K48" s="2620"/>
      <c r="L48" s="1146"/>
      <c r="M48" s="1147"/>
      <c r="N48" s="1147"/>
      <c r="O48" s="1147"/>
      <c r="P48" s="3171" t="str">
        <f>A48</f>
        <v>比较价值（元/平方米）</v>
      </c>
      <c r="Q48" s="3171"/>
      <c r="R48" s="3172">
        <f>IF(F1="售价",ROUND(PRODUCT(R47,AA7:AA46),0),ROUND(PRODUCT(R47,AA7:AA46),1))</f>
        <v>54210</v>
      </c>
      <c r="S48" s="3172"/>
      <c r="T48" s="3172">
        <f>IF(F1="售价",ROUND(PRODUCT(T47,AB7:AB46),0),ROUND(PRODUCT(T47,AB7:AB46),1))</f>
        <v>58263</v>
      </c>
      <c r="U48" s="3172"/>
      <c r="V48" s="3172">
        <f>IF(F1="售价",ROUND(PRODUCT(V47,AC7:AC46),0),ROUND(PRODUCT(V47,AC7:AC46),1))</f>
        <v>58958</v>
      </c>
      <c r="W48" s="3172"/>
      <c r="X48" s="759"/>
      <c r="Y48" s="759"/>
      <c r="Z48" s="759"/>
      <c r="AA48" s="759"/>
      <c r="AB48" s="759"/>
      <c r="AC48" s="759"/>
    </row>
    <row r="49" spans="1:29" ht="15.75" thickBot="1">
      <c r="A49" s="492" t="s">
        <v>2567</v>
      </c>
      <c r="B49" s="493"/>
      <c r="C49" s="1419">
        <f>R49</f>
        <v>57144</v>
      </c>
      <c r="D49" s="1420"/>
      <c r="E49" s="1420"/>
      <c r="F49" s="1420"/>
      <c r="G49" s="1420"/>
      <c r="H49" s="1420"/>
      <c r="I49" s="1420"/>
      <c r="J49" s="1420"/>
      <c r="K49" s="2621"/>
      <c r="L49" s="1146"/>
      <c r="M49" s="1147"/>
      <c r="N49" s="1147"/>
      <c r="O49" s="1147"/>
      <c r="P49" s="3168" t="str">
        <f>A49</f>
        <v>估价对象XX用房的比较价值（楼面单价，元/平方米）</v>
      </c>
      <c r="Q49" s="3169"/>
      <c r="R49" s="3170">
        <f>IF(F1="售价",ROUND(AVERAGE(R48:V48),0),ROUND(AVERAGE(R48:V48),1))</f>
        <v>57144</v>
      </c>
      <c r="S49" s="3170"/>
      <c r="T49" s="3170"/>
      <c r="U49" s="3170"/>
      <c r="V49" s="3170"/>
      <c r="W49" s="317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2568</v>
      </c>
      <c r="D52" s="498"/>
      <c r="E52" s="499">
        <f>IF(E47&lt;E48,E48/E47-1,E47/E48-1)</f>
        <v>1.9701162147205409E-2</v>
      </c>
      <c r="F52" s="500" t="str">
        <f>IF(OR(E52&gt;=0.3,E52&lt;=-0.3),"超过30%","")</f>
        <v/>
      </c>
      <c r="G52" s="499">
        <f>IF(G47&lt;G48,G48/G47-1,G47/G48-1)</f>
        <v>2.6281023762132039E-2</v>
      </c>
      <c r="H52" s="500" t="str">
        <f>IF(OR(G52&gt;=0.3,G52&lt;=-0.3),"超过30%","")</f>
        <v/>
      </c>
      <c r="I52" s="499">
        <f>IF(I47&lt;I48,I48/I47-1,I47/I48-1)</f>
        <v>1.6219383973662849E-2</v>
      </c>
      <c r="J52" s="500" t="str">
        <f>IF(OR(I52&gt;=0.3,I52&lt;=-0.3),"超过30%","")</f>
        <v/>
      </c>
      <c r="K52" s="1108"/>
      <c r="L52" s="1109"/>
      <c r="M52" s="1147"/>
      <c r="N52" s="1147"/>
      <c r="O52" s="1147"/>
    </row>
    <row r="53" spans="1:29" ht="13.5" customHeight="1">
      <c r="A53" s="1147"/>
      <c r="B53" s="1147"/>
      <c r="C53" s="497" t="s">
        <v>2569</v>
      </c>
      <c r="D53" s="501"/>
      <c r="E53" s="499">
        <f>IF(E48&lt;G48,G48/E48-1,E48/G48-1)</f>
        <v>7.4764803541782054E-2</v>
      </c>
      <c r="F53" s="500" t="str">
        <f>IF(OR(E53&gt;=0.2,E53&lt;=-0.2),"超过20%","")</f>
        <v/>
      </c>
      <c r="G53" s="499">
        <f>IF(G48&lt;I48,I48/G48-1,G48/I48-1)</f>
        <v>1.1928668280040577E-2</v>
      </c>
      <c r="H53" s="500" t="str">
        <f>IF(OR(G53&gt;=0.2,G53&lt;=-0.2),"超过20%","")</f>
        <v/>
      </c>
      <c r="I53" s="499">
        <f>IF(I48&lt;E48,E48/I48-1,I48/E48-1)</f>
        <v>8.7585316362294829E-2</v>
      </c>
      <c r="J53" s="500" t="str">
        <f>IF(OR(I53&gt;=0.2,I53&lt;=-0.2),"超过20%","")</f>
        <v/>
      </c>
      <c r="K53" s="1108"/>
      <c r="L53" s="1109"/>
      <c r="M53" s="1147"/>
      <c r="N53" s="1147"/>
      <c r="O53" s="1147"/>
    </row>
    <row r="54" spans="1:29" s="502" customFormat="1" ht="13.5" customHeight="1">
      <c r="A54" s="1148"/>
      <c r="B54" s="1148"/>
      <c r="C54" s="497" t="s">
        <v>2570</v>
      </c>
      <c r="D54" s="501"/>
      <c r="E54" s="499">
        <f>IF(E47&lt;G47,G47/E47-1,E47/G47-1)</f>
        <v>2.7008936647490822E-2</v>
      </c>
      <c r="F54" s="500" t="str">
        <f>IF(OR(E54&gt;=0.3,E54&lt;=-0.3),"超过30%","")</f>
        <v/>
      </c>
      <c r="G54" s="499">
        <f>IF(G47&lt;I47,I47/G47-1,G47/I47-1)</f>
        <v>2.1947825474273763E-2</v>
      </c>
      <c r="H54" s="500" t="str">
        <f>IF(OR(G54&gt;=0.3,G54&lt;=-0.3),"超过30%","")</f>
        <v/>
      </c>
      <c r="I54" s="499">
        <f>IF(I47&lt;E47,E47/I47-1,I47/E47-1)</f>
        <v>4.9549549549549488E-2</v>
      </c>
      <c r="J54" s="500" t="str">
        <f>IF(OR(I54&gt;=0.3,I54&lt;=-0.3),"超过30%","")</f>
        <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2571</v>
      </c>
      <c r="B57" s="759"/>
      <c r="C57" s="764"/>
      <c r="D57" s="764"/>
      <c r="E57" s="764"/>
      <c r="F57" s="765"/>
      <c r="G57" s="765"/>
      <c r="H57" s="764"/>
      <c r="I57" s="764"/>
      <c r="J57" s="764"/>
      <c r="K57" s="1163"/>
      <c r="L57" s="1164"/>
      <c r="M57" s="1162"/>
      <c r="N57" s="1162"/>
      <c r="O57" s="1162"/>
      <c r="P57" s="2624"/>
      <c r="Q57" s="504"/>
    </row>
    <row r="58" spans="1:29" s="508" customFormat="1" ht="15">
      <c r="A58" s="505" t="s">
        <v>2572</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25"/>
      <c r="C59" s="1576">
        <v>100</v>
      </c>
      <c r="D59" s="511">
        <f>C59-0.5</f>
        <v>99.5</v>
      </c>
      <c r="E59" s="511">
        <f t="shared" ref="E59:I59" si="20">D59-0.5</f>
        <v>99</v>
      </c>
      <c r="F59" s="511">
        <f t="shared" si="20"/>
        <v>98.5</v>
      </c>
      <c r="G59" s="511">
        <f t="shared" si="20"/>
        <v>98</v>
      </c>
      <c r="H59" s="511">
        <f t="shared" si="20"/>
        <v>97.5</v>
      </c>
      <c r="I59" s="511">
        <f t="shared" si="20"/>
        <v>97</v>
      </c>
      <c r="J59" s="512"/>
      <c r="K59" s="512"/>
      <c r="L59" s="512"/>
      <c r="M59" s="513"/>
      <c r="N59" s="512"/>
      <c r="O59" s="513"/>
      <c r="P59" s="2626"/>
    </row>
    <row r="60" spans="1:29" s="117" customFormat="1" ht="15.75" thickBot="1">
      <c r="A60" s="515" t="s">
        <v>2573</v>
      </c>
      <c r="B60" s="516"/>
      <c r="C60" s="517"/>
      <c r="D60" s="518"/>
      <c r="E60" s="518"/>
      <c r="F60" s="518"/>
      <c r="G60" s="518"/>
      <c r="H60" s="518"/>
      <c r="I60" s="518"/>
      <c r="J60" s="518"/>
      <c r="K60" s="518"/>
      <c r="L60" s="518"/>
      <c r="M60" s="519"/>
      <c r="N60" s="518"/>
      <c r="O60" s="519"/>
      <c r="P60" s="2626"/>
      <c r="Q60" s="504"/>
    </row>
    <row r="61" spans="1:29" s="117" customFormat="1" ht="15">
      <c r="A61" s="521" t="s">
        <v>2574</v>
      </c>
      <c r="B61" s="510"/>
      <c r="C61" s="522" t="s">
        <v>2575</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2576</v>
      </c>
      <c r="B63" s="528" t="s">
        <v>2542</v>
      </c>
      <c r="C63" s="529" t="str">
        <f>C9</f>
        <v>住宅</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8"/>
      <c r="Q65" s="504"/>
    </row>
    <row r="66" spans="1:17" ht="15.75" thickBot="1">
      <c r="A66" s="534"/>
      <c r="B66" s="543"/>
      <c r="C66" s="544">
        <v>100</v>
      </c>
      <c r="D66" s="544">
        <f t="shared" ref="D66:I66" si="21">C66-$K10</f>
        <v>99</v>
      </c>
      <c r="E66" s="544">
        <f t="shared" si="21"/>
        <v>98</v>
      </c>
      <c r="F66" s="544">
        <f t="shared" si="21"/>
        <v>97</v>
      </c>
      <c r="G66" s="544">
        <f t="shared" si="21"/>
        <v>96</v>
      </c>
      <c r="H66" s="544">
        <f t="shared" si="21"/>
        <v>95</v>
      </c>
      <c r="I66" s="544">
        <f t="shared" si="21"/>
        <v>94</v>
      </c>
      <c r="J66" s="544"/>
      <c r="K66" s="544"/>
      <c r="L66" s="544"/>
      <c r="M66" s="545"/>
      <c r="N66" s="1156"/>
      <c r="O66" s="1156"/>
      <c r="P66" s="2628"/>
      <c r="Q66" s="504"/>
    </row>
    <row r="67" spans="1:17" ht="15.75" thickTop="1">
      <c r="A67" s="534"/>
      <c r="B67" s="546" t="s">
        <v>2546</v>
      </c>
      <c r="C67" s="547" t="str">
        <f>C68&amp;"（含）"&amp;"-"&amp;D68</f>
        <v>0（含）-1</v>
      </c>
      <c r="D67" s="547" t="str">
        <f t="shared" ref="D67:L67" si="22">D68&amp;"（含）"&amp;"-"&amp;E68</f>
        <v>1（含）-2</v>
      </c>
      <c r="E67" s="547" t="str">
        <f t="shared" si="22"/>
        <v>2（含）-3</v>
      </c>
      <c r="F67" s="547" t="str">
        <f t="shared" si="22"/>
        <v>3（含）-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6"/>
      <c r="O67" s="1156"/>
      <c r="P67" s="2628"/>
      <c r="Q67" s="504"/>
    </row>
    <row r="68" spans="1:17" ht="15">
      <c r="A68" s="534"/>
      <c r="B68" s="548"/>
      <c r="C68" s="549">
        <v>0</v>
      </c>
      <c r="D68" s="549">
        <v>1</v>
      </c>
      <c r="E68" s="549">
        <v>2</v>
      </c>
      <c r="F68" s="549">
        <v>3</v>
      </c>
      <c r="G68" s="549"/>
      <c r="H68" s="549"/>
      <c r="I68" s="549"/>
      <c r="J68" s="549"/>
      <c r="K68" s="550"/>
      <c r="L68" s="551"/>
      <c r="M68" s="552"/>
      <c r="N68" s="1155"/>
      <c r="O68" s="1155"/>
      <c r="P68" s="2628"/>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8"/>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8"/>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8"/>
      <c r="Q81" s="504"/>
    </row>
    <row r="82" spans="1:17" ht="15.75" thickTop="1">
      <c r="A82" s="534"/>
      <c r="B82" s="546" t="s">
        <v>2088</v>
      </c>
      <c r="C82" s="539" t="s">
        <v>2592</v>
      </c>
      <c r="D82" s="539" t="s">
        <v>2593</v>
      </c>
      <c r="E82" s="539" t="s">
        <v>2594</v>
      </c>
      <c r="F82" s="539" t="s">
        <v>2595</v>
      </c>
      <c r="G82" s="539" t="s">
        <v>2596</v>
      </c>
      <c r="H82" s="539"/>
      <c r="I82" s="539"/>
      <c r="J82" s="539"/>
      <c r="K82" s="539"/>
      <c r="L82" s="539"/>
      <c r="M82" s="1385"/>
      <c r="N82" s="1156"/>
      <c r="O82" s="1156"/>
      <c r="P82" s="2628"/>
      <c r="Q82" s="504"/>
    </row>
    <row r="83" spans="1:17" ht="15.75" thickBot="1">
      <c r="A83" s="534"/>
      <c r="B83" s="546"/>
      <c r="C83" s="660">
        <v>100</v>
      </c>
      <c r="D83" s="660">
        <f>C83-$K21</f>
        <v>99</v>
      </c>
      <c r="E83" s="660">
        <f t="shared" ref="E83:G83" si="24">D83-$K21</f>
        <v>98</v>
      </c>
      <c r="F83" s="660">
        <f t="shared" si="24"/>
        <v>97</v>
      </c>
      <c r="G83" s="660">
        <f t="shared" si="24"/>
        <v>96</v>
      </c>
      <c r="H83" s="660"/>
      <c r="I83" s="660"/>
      <c r="J83" s="660"/>
      <c r="K83" s="660"/>
      <c r="L83" s="660"/>
      <c r="M83" s="450"/>
      <c r="N83" s="1156"/>
      <c r="O83" s="1156"/>
      <c r="P83" s="2628"/>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8"/>
      <c r="Q85" s="504"/>
    </row>
    <row r="86" spans="1:17" s="117" customFormat="1" ht="15.75" thickTop="1">
      <c r="A86" s="579"/>
      <c r="B86" s="538" t="s">
        <v>2598</v>
      </c>
      <c r="C86" s="2944" t="s">
        <v>3062</v>
      </c>
      <c r="D86" s="2944" t="s">
        <v>3064</v>
      </c>
      <c r="E86" s="2944" t="s">
        <v>3066</v>
      </c>
      <c r="F86" s="554"/>
      <c r="G86" s="554"/>
      <c r="H86" s="554"/>
      <c r="I86" s="554"/>
      <c r="J86" s="554"/>
      <c r="K86" s="554"/>
      <c r="L86" s="580"/>
      <c r="M86" s="581"/>
      <c r="N86" s="1154"/>
      <c r="O86" s="1154"/>
      <c r="P86" s="2628"/>
      <c r="Q86" s="504"/>
    </row>
    <row r="87" spans="1:17" s="117" customFormat="1" ht="15.75" thickBot="1">
      <c r="A87" s="579"/>
      <c r="B87" s="543"/>
      <c r="C87" s="582">
        <v>100</v>
      </c>
      <c r="D87" s="544" t="e">
        <f t="shared" ref="D87:M87" si="25">$C$87-($C$86-D86)*$K$25</f>
        <v>#VALUE!</v>
      </c>
      <c r="E87" s="544" t="e">
        <f t="shared" si="25"/>
        <v>#VALUE!</v>
      </c>
      <c r="F87" s="544" t="e">
        <f t="shared" si="25"/>
        <v>#VALUE!</v>
      </c>
      <c r="G87" s="544" t="e">
        <f t="shared" si="25"/>
        <v>#VALUE!</v>
      </c>
      <c r="H87" s="544" t="e">
        <f t="shared" si="25"/>
        <v>#VALUE!</v>
      </c>
      <c r="I87" s="544" t="e">
        <f t="shared" si="25"/>
        <v>#VALUE!</v>
      </c>
      <c r="J87" s="544" t="e">
        <f t="shared" si="25"/>
        <v>#VALUE!</v>
      </c>
      <c r="K87" s="544" t="e">
        <f t="shared" si="25"/>
        <v>#VALUE!</v>
      </c>
      <c r="L87" s="544" t="e">
        <f t="shared" si="25"/>
        <v>#VALUE!</v>
      </c>
      <c r="M87" s="544" t="e">
        <f t="shared" si="25"/>
        <v>#VALUE!</v>
      </c>
      <c r="N87" s="1156"/>
      <c r="O87" s="1156"/>
      <c r="P87" s="2628"/>
      <c r="Q87" s="504"/>
    </row>
    <row r="88" spans="1:17" s="117" customFormat="1" ht="15.75" thickTop="1">
      <c r="A88" s="579"/>
      <c r="B88" s="538" t="s">
        <v>2599</v>
      </c>
      <c r="C88" s="2944" t="s">
        <v>3087</v>
      </c>
      <c r="D88" s="2944" t="s">
        <v>3117</v>
      </c>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6"/>
      <c r="O89" s="1156"/>
      <c r="P89" s="2628"/>
      <c r="Q89" s="504"/>
    </row>
    <row r="90" spans="1:17" s="471" customFormat="1" ht="15.75" thickTop="1">
      <c r="A90" s="553"/>
      <c r="B90" s="538" t="str">
        <f>B27</f>
        <v>楼层</v>
      </c>
      <c r="C90" s="2944" t="s">
        <v>3062</v>
      </c>
      <c r="D90" s="2944" t="s">
        <v>3064</v>
      </c>
      <c r="E90" s="2944" t="s">
        <v>3066</v>
      </c>
      <c r="F90" s="554"/>
      <c r="G90" s="554"/>
      <c r="H90" s="555"/>
      <c r="I90" s="555"/>
      <c r="J90" s="555"/>
      <c r="K90" s="555"/>
      <c r="L90" s="556"/>
      <c r="M90" s="557"/>
      <c r="N90" s="1157"/>
      <c r="O90" s="1157"/>
      <c r="P90" s="2629"/>
      <c r="Q90" s="559"/>
    </row>
    <row r="91" spans="1:17" s="471" customFormat="1" ht="15.75" thickBot="1">
      <c r="A91" s="553"/>
      <c r="B91" s="543"/>
      <c r="C91" s="560">
        <v>100</v>
      </c>
      <c r="D91" s="560">
        <f>C91-1</f>
        <v>99</v>
      </c>
      <c r="E91" s="560">
        <f>D91-1</f>
        <v>98</v>
      </c>
      <c r="F91" s="560"/>
      <c r="G91" s="560"/>
      <c r="H91" s="562"/>
      <c r="I91" s="562"/>
      <c r="J91" s="562"/>
      <c r="K91" s="562"/>
      <c r="L91" s="562"/>
      <c r="M91" s="563"/>
      <c r="N91" s="1157"/>
      <c r="O91" s="1157"/>
      <c r="P91" s="2629"/>
      <c r="Q91" s="559"/>
    </row>
    <row r="92" spans="1:17" ht="15.75" thickTop="1">
      <c r="A92" s="534"/>
      <c r="B92" s="538">
        <f>B28</f>
        <v>111</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2551</v>
      </c>
      <c r="B100" s="528" t="s">
        <v>2600</v>
      </c>
      <c r="C100" s="2948" t="s">
        <v>3123</v>
      </c>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6"/>
      <c r="O101" s="1156"/>
      <c r="P101" s="2628"/>
      <c r="Q101" s="504"/>
    </row>
    <row r="102" spans="1:17" ht="15.75" thickTop="1">
      <c r="A102" s="534"/>
      <c r="B102" s="538" t="s">
        <v>2601</v>
      </c>
      <c r="C102" s="578" t="str">
        <f>C103&amp;"(含)"&amp;"-"&amp;D103</f>
        <v>0(含)-50</v>
      </c>
      <c r="D102" s="578" t="str">
        <f t="shared" ref="D102:L102" si="28">D103&amp;"(含)"&amp;"-"&amp;E103</f>
        <v>50(含)-90</v>
      </c>
      <c r="E102" s="578" t="str">
        <f t="shared" si="28"/>
        <v>90(含)-120</v>
      </c>
      <c r="F102" s="578" t="str">
        <f t="shared" si="28"/>
        <v>120(含)-150</v>
      </c>
      <c r="G102" s="578" t="str">
        <f t="shared" si="28"/>
        <v>150(含)-200</v>
      </c>
      <c r="H102" s="578" t="str">
        <f t="shared" si="28"/>
        <v>200(含)-</v>
      </c>
      <c r="I102" s="578" t="str">
        <f t="shared" si="28"/>
        <v>(含)-</v>
      </c>
      <c r="J102" s="578" t="str">
        <f t="shared" si="28"/>
        <v>(含)-</v>
      </c>
      <c r="K102" s="578" t="str">
        <f>K103&amp;"(含)"&amp;"-"&amp;L103</f>
        <v>(含)-</v>
      </c>
      <c r="L102" s="578" t="str">
        <f t="shared" si="28"/>
        <v>(含)-</v>
      </c>
      <c r="M102" s="578" t="str">
        <f>M103&amp;"(含)"&amp;"-"&amp;P103</f>
        <v>(含)-</v>
      </c>
      <c r="N102" s="1154"/>
      <c r="O102" s="1154"/>
      <c r="P102" s="2628"/>
      <c r="Q102" s="504"/>
    </row>
    <row r="103" spans="1:17" s="471" customFormat="1">
      <c r="A103" s="593"/>
      <c r="B103" s="594"/>
      <c r="C103" s="595">
        <v>0</v>
      </c>
      <c r="D103" s="595">
        <v>50</v>
      </c>
      <c r="E103" s="595">
        <v>90</v>
      </c>
      <c r="F103" s="595">
        <v>120</v>
      </c>
      <c r="G103" s="595">
        <v>150</v>
      </c>
      <c r="H103" s="595">
        <v>200</v>
      </c>
      <c r="I103" s="595"/>
      <c r="J103" s="596"/>
      <c r="K103" s="596"/>
      <c r="L103" s="597"/>
      <c r="M103" s="598"/>
      <c r="N103" s="1157"/>
      <c r="O103" s="1157"/>
      <c r="P103" s="2629"/>
      <c r="Q103" s="559"/>
    </row>
    <row r="104" spans="1:17" s="471" customFormat="1" ht="15.75" thickBot="1">
      <c r="A104" s="553"/>
      <c r="B104" s="543"/>
      <c r="C104" s="560">
        <v>100</v>
      </c>
      <c r="D104" s="536">
        <f>C104-1</f>
        <v>99</v>
      </c>
      <c r="E104" s="536">
        <f t="shared" ref="E104:H104" si="29">D104-1</f>
        <v>98</v>
      </c>
      <c r="F104" s="536">
        <f t="shared" si="29"/>
        <v>97</v>
      </c>
      <c r="G104" s="536">
        <f t="shared" si="29"/>
        <v>96</v>
      </c>
      <c r="H104" s="536">
        <f t="shared" si="29"/>
        <v>95</v>
      </c>
      <c r="I104" s="536"/>
      <c r="J104" s="536"/>
      <c r="K104" s="536"/>
      <c r="L104" s="536"/>
      <c r="M104" s="536"/>
      <c r="N104" s="1156"/>
      <c r="O104" s="1156"/>
      <c r="P104" s="2629"/>
      <c r="Q104" s="559"/>
    </row>
    <row r="105" spans="1:17" ht="15" thickTop="1">
      <c r="A105" s="599"/>
      <c r="B105" s="538" t="s">
        <v>2602</v>
      </c>
      <c r="C105" s="2944" t="s">
        <v>3126</v>
      </c>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30">C106-$K34</f>
        <v>98</v>
      </c>
      <c r="E106" s="544">
        <f t="shared" si="30"/>
        <v>96</v>
      </c>
      <c r="F106" s="544">
        <f t="shared" si="30"/>
        <v>94</v>
      </c>
      <c r="G106" s="544">
        <f t="shared" si="30"/>
        <v>92</v>
      </c>
      <c r="H106" s="544">
        <f t="shared" si="30"/>
        <v>90</v>
      </c>
      <c r="I106" s="544">
        <f t="shared" si="30"/>
        <v>88</v>
      </c>
      <c r="J106" s="544">
        <f t="shared" si="30"/>
        <v>86</v>
      </c>
      <c r="K106" s="544">
        <f t="shared" si="30"/>
        <v>84</v>
      </c>
      <c r="L106" s="544">
        <f t="shared" si="30"/>
        <v>82</v>
      </c>
      <c r="M106" s="544">
        <f t="shared" si="30"/>
        <v>80</v>
      </c>
      <c r="N106" s="1156"/>
      <c r="O106" s="1156"/>
      <c r="P106" s="2628"/>
      <c r="Q106" s="504"/>
    </row>
    <row r="107" spans="1:17" ht="15" thickTop="1">
      <c r="A107" s="599"/>
      <c r="B107" s="538" t="s">
        <v>2603</v>
      </c>
      <c r="C107" s="2949" t="s">
        <v>3070</v>
      </c>
      <c r="D107" s="583"/>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31">C108-$K35</f>
        <v>98</v>
      </c>
      <c r="E108" s="544">
        <f t="shared" si="31"/>
        <v>96</v>
      </c>
      <c r="F108" s="544">
        <f t="shared" si="31"/>
        <v>94</v>
      </c>
      <c r="G108" s="544">
        <f t="shared" si="31"/>
        <v>92</v>
      </c>
      <c r="H108" s="544">
        <f t="shared" si="31"/>
        <v>90</v>
      </c>
      <c r="I108" s="544">
        <f t="shared" si="31"/>
        <v>88</v>
      </c>
      <c r="J108" s="544">
        <f t="shared" si="31"/>
        <v>86</v>
      </c>
      <c r="K108" s="544">
        <f t="shared" si="31"/>
        <v>84</v>
      </c>
      <c r="L108" s="544">
        <f t="shared" si="31"/>
        <v>82</v>
      </c>
      <c r="M108" s="544">
        <f t="shared" si="31"/>
        <v>80</v>
      </c>
      <c r="N108" s="1156"/>
      <c r="O108" s="1156"/>
      <c r="P108" s="2628"/>
      <c r="Q108" s="504"/>
    </row>
    <row r="109" spans="1:17" ht="15" thickTop="1">
      <c r="A109" s="599"/>
      <c r="B109" s="538" t="s">
        <v>2604</v>
      </c>
      <c r="C109" s="2944" t="s">
        <v>3128</v>
      </c>
      <c r="D109" s="554"/>
      <c r="E109" s="554"/>
      <c r="F109" s="583"/>
      <c r="G109" s="583"/>
      <c r="H109" s="583"/>
      <c r="I109" s="583"/>
      <c r="J109" s="583"/>
      <c r="K109" s="584"/>
      <c r="L109" s="585"/>
      <c r="M109" s="586"/>
      <c r="N109" s="1155"/>
      <c r="O109" s="1155"/>
      <c r="P109" s="2628"/>
      <c r="Q109" s="504"/>
    </row>
    <row r="110" spans="1:17" ht="15.75" thickBot="1">
      <c r="A110" s="534"/>
      <c r="B110" s="543"/>
      <c r="C110" s="544">
        <v>100</v>
      </c>
      <c r="D110" s="544">
        <f t="shared" ref="D110:M110" si="32">C110-$K36</f>
        <v>98</v>
      </c>
      <c r="E110" s="544">
        <f t="shared" si="32"/>
        <v>96</v>
      </c>
      <c r="F110" s="544">
        <f t="shared" si="32"/>
        <v>94</v>
      </c>
      <c r="G110" s="544">
        <f t="shared" si="32"/>
        <v>92</v>
      </c>
      <c r="H110" s="544">
        <f t="shared" si="32"/>
        <v>90</v>
      </c>
      <c r="I110" s="544">
        <f t="shared" si="32"/>
        <v>88</v>
      </c>
      <c r="J110" s="544">
        <f t="shared" si="32"/>
        <v>86</v>
      </c>
      <c r="K110" s="544">
        <f t="shared" si="32"/>
        <v>84</v>
      </c>
      <c r="L110" s="544">
        <f t="shared" si="32"/>
        <v>82</v>
      </c>
      <c r="M110" s="544">
        <f t="shared" si="32"/>
        <v>80</v>
      </c>
      <c r="N110" s="1156"/>
      <c r="O110" s="1156"/>
      <c r="P110" s="2628"/>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29"/>
      <c r="Q113" s="559"/>
    </row>
    <row r="114" spans="1:17" ht="15" thickTop="1">
      <c r="A114" s="599"/>
      <c r="B114" s="538" t="s">
        <v>2605</v>
      </c>
      <c r="C114" s="2944" t="s">
        <v>3130</v>
      </c>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3">C115-$K38</f>
        <v>98</v>
      </c>
      <c r="E115" s="544">
        <f t="shared" si="33"/>
        <v>96</v>
      </c>
      <c r="F115" s="544">
        <f t="shared" si="33"/>
        <v>94</v>
      </c>
      <c r="G115" s="544">
        <f t="shared" si="33"/>
        <v>92</v>
      </c>
      <c r="H115" s="544">
        <f t="shared" si="33"/>
        <v>90</v>
      </c>
      <c r="I115" s="544">
        <f t="shared" si="33"/>
        <v>88</v>
      </c>
      <c r="J115" s="544">
        <f t="shared" si="33"/>
        <v>86</v>
      </c>
      <c r="K115" s="544">
        <f t="shared" si="33"/>
        <v>84</v>
      </c>
      <c r="L115" s="544">
        <f t="shared" si="33"/>
        <v>82</v>
      </c>
      <c r="M115" s="544">
        <f t="shared" si="33"/>
        <v>80</v>
      </c>
      <c r="N115" s="1156"/>
      <c r="O115" s="1156"/>
      <c r="P115" s="2628"/>
      <c r="Q115" s="504"/>
    </row>
    <row r="116" spans="1:17" ht="15" thickTop="1">
      <c r="A116" s="599"/>
      <c r="B116" s="538" t="s">
        <v>2606</v>
      </c>
      <c r="C116" s="2944" t="s">
        <v>3073</v>
      </c>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28"/>
      <c r="Q117" s="504"/>
    </row>
    <row r="118" spans="1:17" ht="15" thickTop="1">
      <c r="A118" s="599"/>
      <c r="B118" s="538" t="s">
        <v>2607</v>
      </c>
      <c r="C118" s="2949" t="s">
        <v>3075</v>
      </c>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4">C119-$K40</f>
        <v>98</v>
      </c>
      <c r="E119" s="544">
        <f t="shared" si="34"/>
        <v>96</v>
      </c>
      <c r="F119" s="544">
        <f t="shared" si="34"/>
        <v>94</v>
      </c>
      <c r="G119" s="544">
        <f t="shared" si="34"/>
        <v>92</v>
      </c>
      <c r="H119" s="544">
        <f t="shared" si="34"/>
        <v>90</v>
      </c>
      <c r="I119" s="544">
        <f t="shared" si="34"/>
        <v>88</v>
      </c>
      <c r="J119" s="544">
        <f t="shared" si="34"/>
        <v>86</v>
      </c>
      <c r="K119" s="544">
        <f t="shared" si="34"/>
        <v>84</v>
      </c>
      <c r="L119" s="544">
        <f t="shared" si="34"/>
        <v>82</v>
      </c>
      <c r="M119" s="544">
        <f t="shared" si="34"/>
        <v>80</v>
      </c>
      <c r="N119" s="1156"/>
      <c r="O119" s="1156"/>
      <c r="P119" s="2628"/>
      <c r="Q119" s="504"/>
    </row>
    <row r="120" spans="1:17" s="471" customFormat="1" ht="28.5" thickTop="1">
      <c r="A120" s="593"/>
      <c r="B120" s="538" t="s">
        <v>2562</v>
      </c>
      <c r="C120" s="554" t="s">
        <v>3076</v>
      </c>
      <c r="D120" s="554" t="s">
        <v>3077</v>
      </c>
      <c r="E120" s="554" t="s">
        <v>3078</v>
      </c>
      <c r="F120" s="554" t="s">
        <v>3079</v>
      </c>
      <c r="G120" s="554" t="s">
        <v>3080</v>
      </c>
      <c r="H120" s="554" t="s">
        <v>3081</v>
      </c>
      <c r="I120" s="554" t="s">
        <v>3082</v>
      </c>
      <c r="J120" s="554"/>
      <c r="K120" s="554"/>
      <c r="L120" s="580"/>
      <c r="M120" s="581"/>
      <c r="N120" s="1157"/>
      <c r="O120" s="1157"/>
      <c r="P120" s="2629"/>
      <c r="Q120" s="559"/>
    </row>
    <row r="121" spans="1:17" s="471" customFormat="1" ht="15.75" thickBot="1">
      <c r="A121" s="553"/>
      <c r="B121" s="535"/>
      <c r="C121" s="560">
        <v>100</v>
      </c>
      <c r="D121" s="536">
        <f>C121-1</f>
        <v>99</v>
      </c>
      <c r="E121" s="536">
        <f t="shared" ref="E121:I121" si="35">D121-1</f>
        <v>98</v>
      </c>
      <c r="F121" s="536">
        <f t="shared" si="35"/>
        <v>97</v>
      </c>
      <c r="G121" s="536">
        <f t="shared" si="35"/>
        <v>96</v>
      </c>
      <c r="H121" s="536">
        <f t="shared" si="35"/>
        <v>95</v>
      </c>
      <c r="I121" s="536">
        <f t="shared" si="35"/>
        <v>94</v>
      </c>
      <c r="J121" s="536"/>
      <c r="K121" s="536"/>
      <c r="L121" s="536"/>
      <c r="M121" s="536"/>
      <c r="N121" s="1157"/>
      <c r="O121" s="1157"/>
      <c r="P121" s="2629"/>
      <c r="Q121" s="559"/>
    </row>
    <row r="122" spans="1:17" ht="15" thickTop="1">
      <c r="A122" s="599"/>
      <c r="B122" s="538" t="s">
        <v>2608</v>
      </c>
      <c r="C122" s="2944" t="s">
        <v>3072</v>
      </c>
      <c r="D122" s="2944" t="s">
        <v>3083</v>
      </c>
      <c r="E122" s="2944" t="s">
        <v>3084</v>
      </c>
      <c r="F122" s="2949" t="s">
        <v>3085</v>
      </c>
      <c r="G122" s="583"/>
      <c r="H122" s="583"/>
      <c r="I122" s="583"/>
      <c r="J122" s="583"/>
      <c r="K122" s="584"/>
      <c r="L122" s="585"/>
      <c r="M122" s="586"/>
      <c r="N122" s="1155"/>
      <c r="O122" s="1155"/>
      <c r="P122" s="2628"/>
      <c r="Q122" s="504"/>
    </row>
    <row r="123" spans="1:17" ht="15.75" thickBot="1">
      <c r="A123" s="534"/>
      <c r="B123" s="543"/>
      <c r="C123" s="544">
        <v>100</v>
      </c>
      <c r="D123" s="544">
        <f t="shared" ref="D123:M123" si="36">C123-$K42</f>
        <v>98</v>
      </c>
      <c r="E123" s="544">
        <f t="shared" si="36"/>
        <v>96</v>
      </c>
      <c r="F123" s="544">
        <f t="shared" si="36"/>
        <v>94</v>
      </c>
      <c r="G123" s="544">
        <f t="shared" si="36"/>
        <v>92</v>
      </c>
      <c r="H123" s="544">
        <f t="shared" si="36"/>
        <v>90</v>
      </c>
      <c r="I123" s="544">
        <f t="shared" si="36"/>
        <v>88</v>
      </c>
      <c r="J123" s="544">
        <f t="shared" si="36"/>
        <v>86</v>
      </c>
      <c r="K123" s="544">
        <f t="shared" si="36"/>
        <v>84</v>
      </c>
      <c r="L123" s="544">
        <f t="shared" si="36"/>
        <v>82</v>
      </c>
      <c r="M123" s="544">
        <f t="shared" si="36"/>
        <v>80</v>
      </c>
      <c r="N123" s="1156"/>
      <c r="O123" s="1156"/>
      <c r="P123" s="2628"/>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2610</v>
      </c>
    </row>
    <row r="137" spans="1:17" ht="15">
      <c r="B137" s="2636" t="s">
        <v>2611</v>
      </c>
      <c r="C137" s="2637"/>
      <c r="D137" s="2637"/>
      <c r="E137" s="2637"/>
      <c r="F137" s="2637"/>
      <c r="G137" s="2638"/>
      <c r="H137" s="2639"/>
      <c r="I137" s="2640" t="s">
        <v>2612</v>
      </c>
      <c r="J137" s="2637"/>
      <c r="K137" s="2641"/>
    </row>
    <row r="138" spans="1:17" ht="15">
      <c r="B138" s="2642"/>
      <c r="C138" s="146" t="s">
        <v>2613</v>
      </c>
      <c r="D138" s="146" t="s">
        <v>2614</v>
      </c>
      <c r="E138" s="2643" t="s">
        <v>2615</v>
      </c>
      <c r="F138" s="2644" t="s">
        <v>2616</v>
      </c>
      <c r="G138" s="146" t="s">
        <v>2614</v>
      </c>
      <c r="H138" s="147" t="s">
        <v>2615</v>
      </c>
      <c r="I138" s="2645"/>
      <c r="J138" s="146" t="s">
        <v>2617</v>
      </c>
      <c r="K138" s="147" t="s">
        <v>2618</v>
      </c>
    </row>
    <row r="139" spans="1:17" ht="15">
      <c r="B139" s="1087">
        <v>6</v>
      </c>
      <c r="C139" s="1088">
        <v>96</v>
      </c>
      <c r="D139" s="2646" t="s">
        <v>2619</v>
      </c>
      <c r="E139" s="1089">
        <v>100</v>
      </c>
      <c r="F139" s="1090">
        <v>102.5</v>
      </c>
      <c r="G139" s="2646" t="s">
        <v>2619</v>
      </c>
      <c r="H139" s="1091">
        <v>105</v>
      </c>
      <c r="I139" s="2647" t="s">
        <v>2620</v>
      </c>
      <c r="J139" s="1088">
        <v>20</v>
      </c>
      <c r="K139" s="1092">
        <f>C145/(J139-2)</f>
        <v>4.0555555555555553E-3</v>
      </c>
    </row>
    <row r="140" spans="1:17" ht="15">
      <c r="B140" s="1093">
        <v>5</v>
      </c>
      <c r="C140" s="1094">
        <v>100</v>
      </c>
      <c r="D140" s="1094"/>
      <c r="E140" s="1095"/>
      <c r="F140" s="1096">
        <v>102</v>
      </c>
      <c r="G140" s="1094"/>
      <c r="H140" s="1097"/>
      <c r="I140" s="2648" t="s">
        <v>2621</v>
      </c>
      <c r="J140" s="315">
        <f>ROUNDUP((J139-1)/2,0)</f>
        <v>10</v>
      </c>
      <c r="K140" s="1098">
        <v>100</v>
      </c>
    </row>
    <row r="141" spans="1:17" ht="15">
      <c r="B141" s="1093">
        <v>4</v>
      </c>
      <c r="C141" s="1094">
        <v>102</v>
      </c>
      <c r="D141" s="1094"/>
      <c r="E141" s="1095"/>
      <c r="F141" s="1096">
        <v>101.5</v>
      </c>
      <c r="G141" s="1094"/>
      <c r="H141" s="1097"/>
      <c r="I141" s="2648" t="s">
        <v>2622</v>
      </c>
      <c r="J141" s="315">
        <v>1</v>
      </c>
      <c r="K141" s="1099">
        <f>ROUND(100+(J141-J140)*K139*100,1)</f>
        <v>96.4</v>
      </c>
    </row>
    <row r="142" spans="1:17" ht="15">
      <c r="B142" s="1093">
        <v>3</v>
      </c>
      <c r="C142" s="1094">
        <v>103</v>
      </c>
      <c r="D142" s="1094"/>
      <c r="E142" s="1095"/>
      <c r="F142" s="1096">
        <v>101</v>
      </c>
      <c r="G142" s="1094"/>
      <c r="H142" s="1097"/>
      <c r="I142" s="2648" t="s">
        <v>2623</v>
      </c>
      <c r="J142" s="315">
        <f>J139</f>
        <v>20</v>
      </c>
      <c r="K142" s="1100">
        <v>95</v>
      </c>
    </row>
    <row r="143" spans="1:17" ht="15">
      <c r="B143" s="1093">
        <v>2</v>
      </c>
      <c r="C143" s="1094">
        <v>100</v>
      </c>
      <c r="D143" s="1094"/>
      <c r="E143" s="1095"/>
      <c r="F143" s="1096">
        <v>100.5</v>
      </c>
      <c r="G143" s="1094"/>
      <c r="H143" s="1097"/>
      <c r="I143" s="2648" t="s">
        <v>2624</v>
      </c>
      <c r="J143" s="1094">
        <v>15</v>
      </c>
      <c r="K143" s="1099">
        <f>ROUND(100+(J143-J140)*K139*100,1)</f>
        <v>102</v>
      </c>
    </row>
    <row r="144" spans="1:17" ht="15">
      <c r="B144" s="1093">
        <v>1</v>
      </c>
      <c r="C144" s="1094">
        <v>98</v>
      </c>
      <c r="D144" s="2649" t="s">
        <v>2625</v>
      </c>
      <c r="E144" s="1095">
        <v>102</v>
      </c>
      <c r="F144" s="1101">
        <v>100</v>
      </c>
      <c r="G144" s="2649" t="s">
        <v>2625</v>
      </c>
      <c r="H144" s="1097">
        <v>105</v>
      </c>
      <c r="I144" s="2648" t="s">
        <v>2624</v>
      </c>
      <c r="J144" s="1094">
        <v>18</v>
      </c>
      <c r="K144" s="1099">
        <f>ROUND(100+(J144-J140)*K139*100,1)</f>
        <v>103.2</v>
      </c>
    </row>
    <row r="145" spans="2:11" ht="15.75" thickBot="1">
      <c r="B145" s="2650" t="s">
        <v>2626</v>
      </c>
      <c r="C145" s="1102">
        <f>ROUND(MAX(C139:C144)/MIN(C139:C144)-1,3)</f>
        <v>7.2999999999999995E-2</v>
      </c>
      <c r="D145" s="1103"/>
      <c r="E145" s="1103"/>
      <c r="F145" s="2651" t="s">
        <v>2627</v>
      </c>
      <c r="G145" s="2652"/>
      <c r="H145" s="2653"/>
      <c r="I145" s="2654" t="s">
        <v>2624</v>
      </c>
      <c r="J145" s="1104">
        <v>8</v>
      </c>
      <c r="K145" s="1105">
        <f>ROUND(100+(J145-J140)*K139*100,1)</f>
        <v>99.2</v>
      </c>
    </row>
    <row r="147" spans="2:11">
      <c r="B147" s="2635" t="s">
        <v>2628</v>
      </c>
    </row>
    <row r="148" spans="2:11">
      <c r="B148" s="2635"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3" sqref="D3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3050</v>
      </c>
      <c r="D1" s="1822" t="s">
        <v>70</v>
      </c>
      <c r="E1" s="1823" t="s">
        <v>1387</v>
      </c>
      <c r="F1" s="1286">
        <f>J53</f>
        <v>42</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f ca="1">ROUND(D2/10000,0)</f>
        <v>191</v>
      </c>
      <c r="C2" s="1847" t="s">
        <v>1591</v>
      </c>
      <c r="D2" s="1940">
        <f ca="1">C40+J29+L46</f>
        <v>1912741</v>
      </c>
      <c r="E2" s="1848" t="s">
        <v>1592</v>
      </c>
      <c r="F2" s="1849"/>
      <c r="G2" s="1850"/>
      <c r="H2" s="1842"/>
      <c r="I2" s="1842"/>
      <c r="J2" s="1842"/>
      <c r="K2" s="1843"/>
      <c r="L2" s="1842"/>
      <c r="M2" s="1842"/>
    </row>
    <row r="3" spans="1:37" ht="18" customHeight="1" thickBot="1">
      <c r="A3" s="1851" t="s">
        <v>1593</v>
      </c>
      <c r="B3" s="1852">
        <f ca="1">IF(ISERROR(D2/F43),0,ROUND(D2/F43,0))</f>
        <v>20900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71910</v>
      </c>
      <c r="D5" s="1824" t="s">
        <v>1601</v>
      </c>
      <c r="E5" s="1296"/>
      <c r="F5" s="1297"/>
      <c r="G5" s="1853"/>
      <c r="H5" s="344">
        <v>1</v>
      </c>
      <c r="I5" s="345" t="s">
        <v>1600</v>
      </c>
      <c r="J5" s="1295">
        <f ca="1">J6+J10+J12</f>
        <v>0</v>
      </c>
      <c r="K5" s="1824" t="s">
        <v>1601</v>
      </c>
      <c r="L5" s="1296"/>
      <c r="M5" s="1297"/>
    </row>
    <row r="6" spans="1:37" ht="18" customHeight="1">
      <c r="A6" s="1294" t="s">
        <v>1035</v>
      </c>
      <c r="B6" s="3165" t="s">
        <v>1403</v>
      </c>
      <c r="C6" s="1299">
        <f ca="1">ROUND(F6*F8*F7*(1-F9),0)</f>
        <v>71820</v>
      </c>
      <c r="D6" s="164" t="s">
        <v>3013</v>
      </c>
      <c r="E6" s="347" t="s">
        <v>1405</v>
      </c>
      <c r="F6" s="348">
        <f ca="1">INDIRECT("'数据-取费表'!u"&amp;$G$1)</f>
        <v>6300</v>
      </c>
      <c r="G6" s="1853"/>
      <c r="H6" s="1294" t="s">
        <v>1035</v>
      </c>
      <c r="I6" s="3165" t="s">
        <v>1403</v>
      </c>
      <c r="J6" s="346">
        <f ca="1">ROUND(M6*M8*M7*(1-M9),0)</f>
        <v>0</v>
      </c>
      <c r="K6" s="1836" t="s">
        <v>3014</v>
      </c>
      <c r="L6" s="347" t="s">
        <v>1405</v>
      </c>
      <c r="M6" s="348">
        <f ca="1">INDIRECT("'数据-取费表'!z"&amp;$G$1)</f>
        <v>0</v>
      </c>
    </row>
    <row r="7" spans="1:37" ht="18" customHeight="1">
      <c r="A7" s="1298"/>
      <c r="B7" s="3166"/>
      <c r="C7" s="1300"/>
      <c r="D7" s="352"/>
      <c r="E7" s="1301" t="s">
        <v>1406</v>
      </c>
      <c r="F7" s="348">
        <f ca="1">IF(INDIRECT("'数据-取费表'!ah"&amp;$G$1)="",INDIRECT("'数据-取费表'!k"&amp;$G$1),INDIRECT("'数据-取费表'!ah"&amp;$G$1))</f>
        <v>1</v>
      </c>
      <c r="G7" s="1853"/>
      <c r="H7" s="349"/>
      <c r="I7" s="3166"/>
      <c r="J7" s="351"/>
      <c r="K7" s="352"/>
      <c r="L7" s="347" t="s">
        <v>1406</v>
      </c>
      <c r="M7" s="348">
        <f ca="1">F7</f>
        <v>1</v>
      </c>
    </row>
    <row r="8" spans="1:37" ht="18" customHeight="1">
      <c r="A8" s="349"/>
      <c r="B8" s="3166"/>
      <c r="C8" s="351"/>
      <c r="D8" s="352"/>
      <c r="E8" s="347" t="s">
        <v>1407</v>
      </c>
      <c r="F8" s="348">
        <f ca="1">INDIRECT("'数据-取费表'!ai"&amp;$G$1)</f>
        <v>12</v>
      </c>
      <c r="G8" s="1853"/>
      <c r="H8" s="349"/>
      <c r="I8" s="3166"/>
      <c r="J8" s="351"/>
      <c r="K8" s="352"/>
      <c r="L8" s="347" t="s">
        <v>1407</v>
      </c>
      <c r="M8" s="348">
        <f ca="1">INDIRECT("'数据-取费表'!ai"&amp;$G$1)</f>
        <v>12</v>
      </c>
    </row>
    <row r="9" spans="1:37" ht="18" customHeight="1">
      <c r="A9" s="349"/>
      <c r="B9" s="3167"/>
      <c r="C9" s="351"/>
      <c r="D9" s="352"/>
      <c r="E9" s="347" t="s">
        <v>1408</v>
      </c>
      <c r="F9" s="357">
        <f ca="1">INDIRECT("'数据-取费表'!w"&amp;$G$1)</f>
        <v>0.05</v>
      </c>
      <c r="G9" s="1853"/>
      <c r="H9" s="349"/>
      <c r="I9" s="3167"/>
      <c r="J9" s="351"/>
      <c r="K9" s="352"/>
      <c r="L9" s="358" t="s">
        <v>1408</v>
      </c>
      <c r="M9" s="359">
        <f ca="1">INDIRECT("'数据-取费表'!ab"&amp;$G$1)</f>
        <v>0</v>
      </c>
    </row>
    <row r="10" spans="1:37" ht="18" customHeight="1">
      <c r="A10" s="1294" t="s">
        <v>1039</v>
      </c>
      <c r="B10" s="1825" t="s">
        <v>1409</v>
      </c>
      <c r="C10" s="361">
        <f ca="1">ROUND(IF(F10="押一",C6/12*F11,IF(F10="押二",C6/12*2*F11,IF(F10="押三",C6/12*3*F11,C11*F11))),0)</f>
        <v>90</v>
      </c>
      <c r="D10" s="1826" t="s">
        <v>3024</v>
      </c>
      <c r="E10" s="358" t="s">
        <v>1410</v>
      </c>
      <c r="F10" s="1369" t="s">
        <v>3088</v>
      </c>
      <c r="G10" s="1853"/>
      <c r="H10" s="1294" t="s">
        <v>1039</v>
      </c>
      <c r="I10" s="1825" t="s">
        <v>1409</v>
      </c>
      <c r="J10" s="346">
        <f ca="1">ROUND(IF(M10="押一",J6/12*M11,IF(M10="押二",J6/12*2*M11,IF(M10="押三",J6/12*3*M11,J11*M11))),0)</f>
        <v>0</v>
      </c>
      <c r="K10" s="1837" t="s">
        <v>3026</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198797</v>
      </c>
      <c r="D13" s="1334" t="s">
        <v>1415</v>
      </c>
      <c r="E13" s="1334" t="s">
        <v>1416</v>
      </c>
      <c r="F13" s="1335">
        <f ca="1">INDIRECT("'数据-取费表'!y"&amp;$G$1)</f>
        <v>0.7</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183040</v>
      </c>
      <c r="D14" s="1802" t="s">
        <v>1418</v>
      </c>
      <c r="E14" s="1796"/>
      <c r="F14" s="364"/>
      <c r="G14" s="1853"/>
      <c r="H14" s="1204" t="s">
        <v>1035</v>
      </c>
      <c r="I14" s="347" t="s">
        <v>1419</v>
      </c>
      <c r="J14" s="24">
        <f ca="1">C29</f>
        <v>283995</v>
      </c>
      <c r="K14" s="15"/>
      <c r="L14" s="982"/>
      <c r="M14" s="983"/>
    </row>
    <row r="15" spans="1:37" s="1860" customFormat="1" ht="18" customHeight="1" thickBot="1">
      <c r="A15" s="1204" t="s">
        <v>1036</v>
      </c>
      <c r="B15" s="347" t="s">
        <v>1420</v>
      </c>
      <c r="C15" s="24">
        <f ca="1">ROUND(C14*F15,0)</f>
        <v>5491</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5491</v>
      </c>
      <c r="D16" s="347" t="s">
        <v>1421</v>
      </c>
      <c r="E16" s="347" t="s">
        <v>1422</v>
      </c>
      <c r="F16" s="367">
        <f ca="1">IF(INDIRECT("'数据-取费表'!c"&amp;$G$1)="住宅",'数据-取费表'!B34,0)</f>
        <v>0.03</v>
      </c>
      <c r="G16" s="1853"/>
      <c r="H16" s="1332" t="s">
        <v>1030</v>
      </c>
      <c r="I16" s="1333" t="s">
        <v>1424</v>
      </c>
      <c r="J16" s="355">
        <f ca="1">ROUND(J17+J22+J23+J24,0)</f>
        <v>4260</v>
      </c>
      <c r="K16" s="1340" t="s">
        <v>1425</v>
      </c>
      <c r="L16" s="1341"/>
      <c r="M16" s="1297"/>
    </row>
    <row r="17" spans="1:37" s="1860" customFormat="1" ht="18" customHeight="1">
      <c r="A17" s="1204" t="s">
        <v>1390</v>
      </c>
      <c r="B17" s="347" t="s">
        <v>1426</v>
      </c>
      <c r="C17" s="24">
        <f ca="1">ROUND(F17*(F43+INDIRECT("'数据-取费表'!S"&amp;$G$1)),0)</f>
        <v>18304</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f ca="1">IF(项目基本情况!B11="企业","",IF(INDIRECT("'数据-取费表'!c"&amp;$G$1)="住宅",5%,IF(M6*M7*M8/12/(1+'数据-取费表'!C42)&gt;20000,12%,7%)))</f>
        <v>0.05</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2746</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215072</v>
      </c>
      <c r="D19" s="140" t="s">
        <v>1436</v>
      </c>
      <c r="E19" s="1820"/>
      <c r="F19" s="26"/>
      <c r="G19" s="1853"/>
      <c r="H19" s="1204" t="s">
        <v>1036</v>
      </c>
      <c r="I19" s="347" t="s">
        <v>1437</v>
      </c>
      <c r="J19" s="24">
        <f ca="1">IF(K19="按租金收入计税",ROUND(J5*M19,0),ROUND(C29*M19*0.7,0))</f>
        <v>2386</v>
      </c>
      <c r="K19" s="1830" t="s">
        <v>1438</v>
      </c>
      <c r="L19" s="347" t="s">
        <v>1422</v>
      </c>
      <c r="M19" s="367">
        <f>IF(K19="按租金收入计税",'数据-取费表'!B51,'数据-取费表'!B50)</f>
        <v>1.2E-2</v>
      </c>
    </row>
    <row r="20" spans="1:37" s="1860" customFormat="1" ht="18" customHeight="1">
      <c r="A20" s="1204" t="s">
        <v>1039</v>
      </c>
      <c r="B20" s="347" t="s">
        <v>1439</v>
      </c>
      <c r="C20" s="24">
        <f ca="1">ROUND(C19*F20,0)</f>
        <v>2151</v>
      </c>
      <c r="D20" s="369" t="s">
        <v>1440</v>
      </c>
      <c r="E20" s="347" t="s">
        <v>1422</v>
      </c>
      <c r="F20" s="367">
        <f>'数据-取费表'!B37</f>
        <v>0.01</v>
      </c>
      <c r="G20" s="1856"/>
      <c r="H20" s="1204" t="s">
        <v>1389</v>
      </c>
      <c r="I20" s="164" t="s">
        <v>1441</v>
      </c>
      <c r="J20" s="25">
        <f ca="1">ROUND(M20*M21,0)</f>
        <v>0</v>
      </c>
      <c r="K20" s="370" t="s">
        <v>1442</v>
      </c>
      <c r="L20" s="347" t="s">
        <v>1443</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0"/>
      <c r="F22" s="26"/>
      <c r="G22" s="1853"/>
      <c r="H22" s="1204" t="s">
        <v>1039</v>
      </c>
      <c r="I22" s="347" t="s">
        <v>1449</v>
      </c>
      <c r="J22" s="24">
        <f ca="1">ROUND(J14*M22,0)</f>
        <v>4260</v>
      </c>
      <c r="K22" s="1800" t="s">
        <v>1450</v>
      </c>
      <c r="L22" s="347" t="s">
        <v>1422</v>
      </c>
      <c r="M22" s="374">
        <f ca="1">INDIRECT("'数据-取费表'!Ak"&amp;$G$1)</f>
        <v>1.4999999999999999E-2</v>
      </c>
    </row>
    <row r="23" spans="1:37" s="1860" customFormat="1" ht="18" customHeight="1">
      <c r="A23" s="1204" t="s">
        <v>1034</v>
      </c>
      <c r="B23" s="347" t="s">
        <v>1451</v>
      </c>
      <c r="C23" s="24">
        <f ca="1">IF('数据-取费表'!B22&lt;=1,ROUND(C19*F24*F23/2,0)+ROUND(C20*F24*F23/2,0),ROUND(C19*(POWER((1+F24),F23/2)-1),0)+ROUND(C20*(POWER((1+F24),F23/2)-1),0))</f>
        <v>4725</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ROUND(J13*M23,0)</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6"/>
      <c r="H24" s="1342" t="s">
        <v>1393</v>
      </c>
      <c r="I24" s="1343" t="s">
        <v>1439</v>
      </c>
      <c r="J24" s="1344">
        <f ca="1">ROUND(J5*M24,0)</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-4260</v>
      </c>
      <c r="K25" s="1348" t="s">
        <v>1464</v>
      </c>
      <c r="L25" s="1349"/>
      <c r="M25" s="1350"/>
    </row>
    <row r="26" spans="1:37" ht="18" customHeight="1">
      <c r="A26" s="1204" t="s">
        <v>1034</v>
      </c>
      <c r="B26" s="347" t="s">
        <v>1465</v>
      </c>
      <c r="C26" s="24">
        <f ca="1">ROUND((C19+C20)*F26,0)</f>
        <v>43445</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283995</v>
      </c>
      <c r="D29" s="1345"/>
      <c r="E29" s="1343"/>
      <c r="F29" s="1346"/>
      <c r="G29" s="1856"/>
      <c r="H29" s="380" t="s">
        <v>1033</v>
      </c>
      <c r="I29" s="381" t="s">
        <v>1479</v>
      </c>
      <c r="J29" s="382">
        <f ca="1">ROUND(J26/(1+F40)^F41,0)</f>
        <v>0</v>
      </c>
      <c r="K29" s="383" t="s">
        <v>1480</v>
      </c>
      <c r="L29" s="384"/>
      <c r="M29" s="385">
        <f ca="1">INDIRECT("'数据-取费表'!k"&amp;$G$1)</f>
        <v>91.52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8873</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3596</v>
      </c>
      <c r="D31" s="1802" t="s">
        <v>1430</v>
      </c>
      <c r="E31" s="1800" t="s">
        <v>1481</v>
      </c>
      <c r="F31" s="368">
        <f ca="1">IF(项目基本情况!B11="企业","",IF(INDIRECT("'数据-取费表'!c"&amp;$G$1)="住宅",5%,IF(F6*F7*F8/12/(1+'数据-取费表'!C42)&gt;20000,12%,7%)))</f>
        <v>0.05</v>
      </c>
      <c r="G31" s="1853"/>
      <c r="H31" s="745"/>
      <c r="I31" s="746"/>
      <c r="J31" s="747"/>
      <c r="K31" s="748"/>
      <c r="L31" s="749"/>
      <c r="M31" s="750"/>
    </row>
    <row r="32" spans="1:37" ht="18" customHeight="1">
      <c r="A32" s="1204" t="s">
        <v>1034</v>
      </c>
      <c r="B32" s="347" t="s">
        <v>1433</v>
      </c>
      <c r="C32" s="24" t="str">
        <f>IF(项目基本情况!B11="自然人","——",ROUND(C5*F32/(1+'数据-取费表'!C42),0))</f>
        <v>——</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t="str">
        <f ca="1">IF(项目基本情况!B11="自然人","——",IF(D33="按租金收入计税",ROUND(C5*F33,0),IF(D33="按房产原值计税",ROUND(C29*F33*0.7,0),INDIRECT("'数据-取费表'!Aj"&amp;$G$1))))</f>
        <v>——</v>
      </c>
      <c r="D33" s="2973" t="s">
        <v>3141</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t="str">
        <f>IF(项目基本情况!B11="自然人","——",ROUND(F34*F35,))</f>
        <v>——</v>
      </c>
      <c r="D34" s="370" t="s">
        <v>1442</v>
      </c>
      <c r="E34" s="347" t="s">
        <v>1443</v>
      </c>
      <c r="F34" s="371">
        <f>'数据-取费表'!B52</f>
        <v>3</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4260</v>
      </c>
      <c r="D36" s="1800" t="s">
        <v>1482</v>
      </c>
      <c r="E36" s="347" t="s">
        <v>1422</v>
      </c>
      <c r="F36" s="374">
        <f ca="1">INDIRECT("'数据-取费表'!Ak"&amp;$G$1)</f>
        <v>1.4999999999999999E-2</v>
      </c>
      <c r="G36" s="1853"/>
      <c r="H36" s="1861"/>
      <c r="I36" s="1862"/>
      <c r="J36" s="1863"/>
      <c r="K36" s="751"/>
      <c r="L36" s="1861"/>
      <c r="M36" s="1861"/>
    </row>
    <row r="37" spans="1:18" ht="18" customHeight="1">
      <c r="A37" s="1204" t="s">
        <v>1075</v>
      </c>
      <c r="B37" s="347" t="s">
        <v>1453</v>
      </c>
      <c r="C37" s="24">
        <f ca="1">ROUND(C13*F37,0)</f>
        <v>298</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719.1</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63037</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1912741</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42</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ROUND(C40/F43,0)</f>
        <v>20900</v>
      </c>
      <c r="D43" s="383" t="s">
        <v>1488</v>
      </c>
      <c r="E43" s="384" t="s">
        <v>1489</v>
      </c>
      <c r="F43" s="385">
        <f ca="1">INDIRECT("'数据-取费表'!k"&amp;$G$1)</f>
        <v>91.52</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-2051045</v>
      </c>
      <c r="D45" s="1942" t="s">
        <v>1604</v>
      </c>
      <c r="E45" s="1868"/>
      <c r="F45" s="1868"/>
      <c r="O45" s="1871" t="s">
        <v>1519</v>
      </c>
      <c r="P45" s="1841"/>
      <c r="Q45" s="1841"/>
      <c r="R45" s="1841"/>
    </row>
    <row r="46" spans="1:18" s="1844" customFormat="1" ht="13.5" thickBot="1">
      <c r="A46" s="1872" t="s">
        <v>1520</v>
      </c>
      <c r="C46" s="1873">
        <f ca="1">ROUND(C45/10000,0)</f>
        <v>-205</v>
      </c>
      <c r="D46" s="1874" t="str">
        <f>C2</f>
        <v>万元</v>
      </c>
      <c r="I46" s="1875" t="s">
        <v>1521</v>
      </c>
      <c r="J46" s="1876"/>
      <c r="K46" s="1877"/>
      <c r="L46" s="1878">
        <f>IF(M47="住宅",0,IF(L48&gt;J51,L60,J60))</f>
        <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t="s">
        <v>3068</v>
      </c>
      <c r="K47" s="1884" t="s">
        <v>1527</v>
      </c>
      <c r="L47" s="1885">
        <f ca="1">INDIRECT("'数据-取费表'!d"&amp;$G$1)</f>
        <v>70</v>
      </c>
      <c r="M47" s="1840" t="str">
        <f>IF(ISNUMBER(FIND("住宅",C1)),"住宅","非住宅")</f>
        <v>住宅</v>
      </c>
      <c r="O47" s="1886" t="s">
        <v>1040</v>
      </c>
      <c r="P47" s="1887" t="s">
        <v>1528</v>
      </c>
      <c r="Q47" s="1888">
        <f ca="1">C40+J29</f>
        <v>1912741</v>
      </c>
      <c r="R47" s="1888" t="s">
        <v>1529</v>
      </c>
    </row>
    <row r="48" spans="1:18" s="1844" customFormat="1" ht="28.5" thickBot="1">
      <c r="A48" s="1363" t="s">
        <v>1135</v>
      </c>
      <c r="B48" s="345" t="s">
        <v>1401</v>
      </c>
      <c r="C48" s="1819">
        <f ca="1">C49+C53+C55</f>
        <v>0</v>
      </c>
      <c r="D48" s="1365"/>
      <c r="E48" s="1366"/>
      <c r="F48" s="1184"/>
      <c r="G48" s="792"/>
      <c r="H48" s="793"/>
      <c r="I48" s="1889" t="s">
        <v>1530</v>
      </c>
      <c r="J48" s="1890" t="s">
        <v>3089</v>
      </c>
      <c r="K48" s="1891" t="s">
        <v>1531</v>
      </c>
      <c r="L48" s="1892">
        <f ca="1">INDIRECT("'数据-取费表'!f"&amp;$G$1)</f>
        <v>51.61</v>
      </c>
      <c r="O48" s="1886" t="s">
        <v>1041</v>
      </c>
      <c r="P48" s="1887" t="s">
        <v>1532</v>
      </c>
      <c r="Q48" s="1888" t="str">
        <f ca="1">J60</f>
        <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v>2000</v>
      </c>
      <c r="K49" s="1891" t="s">
        <v>1535</v>
      </c>
      <c r="L49" s="1895"/>
      <c r="O49" s="1896" t="s">
        <v>1042</v>
      </c>
      <c r="P49" s="1887" t="s">
        <v>1536</v>
      </c>
      <c r="Q49" s="1888">
        <f ca="1">C29</f>
        <v>283995</v>
      </c>
      <c r="R49" s="1888" t="s">
        <v>1529</v>
      </c>
    </row>
    <row r="50" spans="1:18" s="1844" customFormat="1" ht="13.5" thickBot="1">
      <c r="A50" s="1198"/>
      <c r="B50" s="1201"/>
      <c r="C50" s="1202"/>
      <c r="D50" s="1175"/>
      <c r="E50" s="1280" t="s">
        <v>1406</v>
      </c>
      <c r="F50" s="1281">
        <f ca="1">F7</f>
        <v>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12</v>
      </c>
      <c r="I51" s="1900" t="s">
        <v>1540</v>
      </c>
      <c r="J51" s="1901">
        <f>IF(J49="",J50,J49+J50-YEAR('数据-取费表'!B2))</f>
        <v>42</v>
      </c>
      <c r="K51" s="1902" t="s">
        <v>1541</v>
      </c>
      <c r="L51" s="1903">
        <f ca="1">ROUND(-PV(INDIRECT("'数据-取费表'!h"&amp;$G$1),L48,(C39-C13*C76),0),0)</f>
        <v>1001104</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J53</f>
        <v>42</v>
      </c>
      <c r="R52" s="1888" t="s">
        <v>1546</v>
      </c>
    </row>
    <row r="53" spans="1:18" s="1844" customFormat="1" ht="30.75" customHeight="1" thickBot="1">
      <c r="A53" s="1364" t="s">
        <v>1137</v>
      </c>
      <c r="B53" s="369" t="s">
        <v>1409</v>
      </c>
      <c r="C53" s="361">
        <f ca="1">ROUND(IF(F53="押一",C49/12*F11,IF(F53="押二",C49/12*2*F11,IF(F53="押三",C49/12*3*F11,C54*F11))),0)</f>
        <v>0</v>
      </c>
      <c r="D53" s="1826" t="s">
        <v>3027</v>
      </c>
      <c r="E53" s="358" t="s">
        <v>1410</v>
      </c>
      <c r="F53" s="1369"/>
      <c r="I53" s="1907" t="s">
        <v>1547</v>
      </c>
      <c r="J53" s="1908">
        <f>IF(M47="住宅",J51,IF(D1="——",MIN(J51,L48),IF(D1="在建（套用方法）",MIN(J51,L48-'数据-取费表'!B24),IF(D1="土地（套用方法）",MIN(J51,L48-'数据-取费表'!B20)))))</f>
        <v>42</v>
      </c>
      <c r="K53" s="3163" t="s">
        <v>1548</v>
      </c>
      <c r="L53" s="3164"/>
      <c r="O53" s="1886" t="s">
        <v>1046</v>
      </c>
      <c r="P53" s="1887" t="s">
        <v>1549</v>
      </c>
      <c r="Q53" s="1888">
        <f ca="1">Q47+Q48</f>
        <v>1912741</v>
      </c>
      <c r="R53" s="1888" t="s">
        <v>1047</v>
      </c>
    </row>
    <row r="54" spans="1:18" s="1844" customFormat="1" ht="13.5" thickBot="1">
      <c r="A54" s="1197"/>
      <c r="B54" s="1943" t="s">
        <v>1603</v>
      </c>
      <c r="C54" s="1181"/>
      <c r="D54" s="1826"/>
      <c r="E54" s="1834"/>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198797</v>
      </c>
      <c r="D56" s="1916"/>
      <c r="E56" s="1917"/>
      <c r="F56" s="1909"/>
      <c r="I56" s="1918" t="s">
        <v>1554</v>
      </c>
      <c r="J56" s="1919" t="s">
        <v>3039</v>
      </c>
      <c r="K56" s="1889" t="s">
        <v>1555</v>
      </c>
      <c r="L56" s="1892">
        <f ca="1">IF(L48&lt;J51,"——",L48-J51)</f>
        <v>9.61</v>
      </c>
      <c r="O56" s="1886" t="s">
        <v>1040</v>
      </c>
      <c r="P56" s="1887" t="s">
        <v>1528</v>
      </c>
      <c r="Q56" s="1888">
        <f ca="1">C40+J29</f>
        <v>1912741</v>
      </c>
      <c r="R56" s="1888" t="s">
        <v>1529</v>
      </c>
    </row>
    <row r="57" spans="1:18" s="1844" customFormat="1" ht="24.75" thickBot="1">
      <c r="A57" s="1920"/>
      <c r="B57" s="1172" t="s">
        <v>1478</v>
      </c>
      <c r="C57" s="282">
        <f ca="1">C29</f>
        <v>283995</v>
      </c>
      <c r="D57" s="1921"/>
      <c r="E57" s="1922"/>
      <c r="F57" s="1923"/>
      <c r="I57" s="1924" t="s">
        <v>1556</v>
      </c>
      <c r="J57" s="1925" t="str">
        <f ca="1">IF(OR(M47="住宅",J51&lt;L48,J56="是"),"——",J51-L48)</f>
        <v>——</v>
      </c>
      <c r="K57" s="1889" t="s">
        <v>1605</v>
      </c>
      <c r="L57" s="1892">
        <f ca="1">IF(L48&lt;J51,"——",IF(L55="比较法",L49,IF(L55="基准地价",L50,L51)))</f>
        <v>1001104</v>
      </c>
      <c r="O57" s="1886" t="s">
        <v>1041</v>
      </c>
      <c r="P57" s="1887" t="s">
        <v>1606</v>
      </c>
      <c r="Q57" s="1888">
        <f ca="1">L60</f>
        <v>0</v>
      </c>
      <c r="R57" s="1888" t="s">
        <v>1607</v>
      </c>
    </row>
    <row r="58" spans="1:18" s="1844" customFormat="1" ht="24.75" thickBot="1">
      <c r="A58" s="360" t="s">
        <v>1030</v>
      </c>
      <c r="B58" s="1180" t="s">
        <v>1424</v>
      </c>
      <c r="C58" s="361">
        <f ca="1">ROUND(C59+C64+C65+C66,0)</f>
        <v>4558</v>
      </c>
      <c r="D58" s="1182" t="s">
        <v>1425</v>
      </c>
      <c r="E58" s="1183"/>
      <c r="F58" s="1184"/>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0.05</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t="str">
        <f>IF(项目基本情况!B11="自然人","——",ROUND(C48*F60/(1+'数据-取费表'!C42),0))</f>
        <v>——</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t="str">
        <f ca="1">IF(项目基本情况!B11="自然人","——",IF(D61="按租金收入计税",ROUND(C48*F61,0),IF(D61="按房产原值计税",ROUND(C57*F61*0.7,0),INDIRECT("'数据-取费表'!Aj"&amp;$G$1))))</f>
        <v>——</v>
      </c>
      <c r="D61" s="1830" t="s">
        <v>1438</v>
      </c>
      <c r="E61" s="1172"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t="str">
        <f>IF(项目基本情况!B11="自然人","——",ROUND(F62*F63,0))</f>
        <v>——</v>
      </c>
      <c r="D62" s="1187" t="s">
        <v>1497</v>
      </c>
      <c r="E62" s="1172" t="s">
        <v>1498</v>
      </c>
      <c r="F62" s="371">
        <f t="shared" si="0"/>
        <v>3</v>
      </c>
      <c r="I62" s="1931" t="s">
        <v>1570</v>
      </c>
      <c r="J62" s="1932" t="s">
        <v>1571</v>
      </c>
      <c r="K62" s="1932" t="s">
        <v>1572</v>
      </c>
      <c r="L62" s="1932" t="s">
        <v>1573</v>
      </c>
      <c r="M62" s="1933" t="s">
        <v>1574</v>
      </c>
      <c r="O62" s="1886" t="s">
        <v>1046</v>
      </c>
      <c r="P62" s="1887" t="s">
        <v>1575</v>
      </c>
      <c r="Q62" s="1888">
        <f ca="1">Q56+Q57</f>
        <v>1912741</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4260</v>
      </c>
      <c r="D64" s="1186" t="s">
        <v>1502</v>
      </c>
      <c r="E64" s="1172" t="s">
        <v>1494</v>
      </c>
      <c r="F64" s="374">
        <f t="shared" ca="1" si="0"/>
        <v>1.4999999999999999E-2</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298</v>
      </c>
      <c r="D65" s="1186" t="s">
        <v>1454</v>
      </c>
      <c r="E65" s="1172" t="s">
        <v>1455</v>
      </c>
      <c r="F65" s="376">
        <f t="shared" ca="1" si="0"/>
        <v>1.5E-3</v>
      </c>
      <c r="I65" s="1931" t="s">
        <v>1579</v>
      </c>
      <c r="J65" s="1932">
        <v>40</v>
      </c>
      <c r="K65" s="1932">
        <v>30</v>
      </c>
      <c r="L65" s="1932">
        <v>50</v>
      </c>
      <c r="M65" s="1934">
        <v>0.02</v>
      </c>
      <c r="O65" s="1886" t="s">
        <v>1040</v>
      </c>
      <c r="P65" s="1887" t="s">
        <v>1580</v>
      </c>
      <c r="Q65" s="1888">
        <f ca="1">C40+J29</f>
        <v>1912741</v>
      </c>
      <c r="R65" s="1888" t="s">
        <v>1529</v>
      </c>
    </row>
    <row r="66" spans="1:18" s="1844" customFormat="1" ht="16.5" thickBot="1">
      <c r="A66" s="1204" t="s">
        <v>1504</v>
      </c>
      <c r="B66" s="1172" t="s">
        <v>1439</v>
      </c>
      <c r="C66" s="24">
        <f ca="1">ROUND(C48*F66,0)</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-4558</v>
      </c>
      <c r="D67" s="1185" t="s">
        <v>1464</v>
      </c>
      <c r="E67" s="1190"/>
      <c r="F67" s="1191"/>
      <c r="O67" s="1896" t="s">
        <v>1042</v>
      </c>
      <c r="P67" s="1887" t="s">
        <v>1562</v>
      </c>
      <c r="Q67" s="1935">
        <f ca="1">L51</f>
        <v>1001104</v>
      </c>
      <c r="R67" s="1888" t="s">
        <v>1582</v>
      </c>
    </row>
    <row r="68" spans="1:18" s="1844" customFormat="1" ht="16.5" thickBot="1">
      <c r="A68" s="1169" t="s">
        <v>1032</v>
      </c>
      <c r="B68" s="1170" t="s">
        <v>1485</v>
      </c>
      <c r="C68" s="346">
        <f ca="1">ROUND(C67*(1-((1+F70)/(1+F68))^F69)/(F68-F70),0)</f>
        <v>-138304</v>
      </c>
      <c r="D68" s="1187" t="s">
        <v>1469</v>
      </c>
      <c r="E68" s="1172" t="s">
        <v>1470</v>
      </c>
      <c r="F68" s="357">
        <f ca="1">F40</f>
        <v>4.4999999999999998E-2</v>
      </c>
      <c r="O68" s="1896" t="s">
        <v>1043</v>
      </c>
      <c r="P68" s="1936" t="s">
        <v>1583</v>
      </c>
      <c r="Q68" s="1888">
        <f ca="1">ROUND(Q69-Q70*Q71,0)</f>
        <v>46139</v>
      </c>
      <c r="R68" s="1888" t="s">
        <v>1051</v>
      </c>
    </row>
    <row r="69" spans="1:18" s="1844" customFormat="1" ht="13.5" thickBot="1">
      <c r="A69" s="1173"/>
      <c r="B69" s="1174"/>
      <c r="C69" s="351"/>
      <c r="D69" s="1192" t="s">
        <v>1473</v>
      </c>
      <c r="E69" s="1172" t="s">
        <v>1474</v>
      </c>
      <c r="F69" s="379">
        <f ca="1">F41</f>
        <v>42</v>
      </c>
      <c r="O69" s="1896" t="s">
        <v>1048</v>
      </c>
      <c r="P69" s="1936" t="s">
        <v>1584</v>
      </c>
      <c r="Q69" s="1888">
        <f ca="1">C39</f>
        <v>63037</v>
      </c>
      <c r="R69" s="1888" t="s">
        <v>1529</v>
      </c>
    </row>
    <row r="70" spans="1:18" s="1844" customFormat="1" ht="13.5" thickBot="1">
      <c r="A70" s="1176"/>
      <c r="B70" s="1177"/>
      <c r="C70" s="355"/>
      <c r="D70" s="1188"/>
      <c r="E70" s="1172" t="s">
        <v>1477</v>
      </c>
      <c r="F70" s="1278">
        <f ca="1">F42</f>
        <v>0.03</v>
      </c>
      <c r="O70" s="1896" t="s">
        <v>1049</v>
      </c>
      <c r="P70" s="1936" t="s">
        <v>1585</v>
      </c>
      <c r="Q70" s="1888">
        <f ca="1">C13</f>
        <v>198797</v>
      </c>
      <c r="R70" s="1888" t="s">
        <v>1529</v>
      </c>
    </row>
    <row r="71" spans="1:18" s="1844" customFormat="1" ht="13.5" thickBot="1">
      <c r="A71" s="1193" t="s">
        <v>1033</v>
      </c>
      <c r="B71" s="1194" t="s">
        <v>1487</v>
      </c>
      <c r="C71" s="382">
        <f ca="1">ROUND(C68/F71,0)</f>
        <v>-1511</v>
      </c>
      <c r="D71" s="1195" t="s">
        <v>1488</v>
      </c>
      <c r="E71" s="1196" t="s">
        <v>1489</v>
      </c>
      <c r="F71" s="385">
        <f ca="1">F43</f>
        <v>91.52</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16898</v>
      </c>
      <c r="D75" s="1844"/>
      <c r="E75" s="1844"/>
      <c r="F75" s="1844"/>
      <c r="K75" s="1870"/>
      <c r="L75" s="1844"/>
      <c r="O75" s="1886" t="s">
        <v>1046</v>
      </c>
      <c r="P75" s="1887" t="s">
        <v>1549</v>
      </c>
      <c r="Q75" s="1888">
        <f ca="1">Q65+Q66</f>
        <v>1912741</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0.73199999999999998</v>
      </c>
    </row>
    <row r="80" spans="1:18">
      <c r="B80" s="386" t="s">
        <v>1511</v>
      </c>
      <c r="C80" s="318">
        <f ca="1">ROUND(C75/C39,3)</f>
        <v>0.26800000000000002</v>
      </c>
    </row>
    <row r="81" spans="2:3">
      <c r="B81" s="314" t="s">
        <v>1512</v>
      </c>
      <c r="C81" s="282"/>
    </row>
    <row r="82" spans="2:3">
      <c r="B82" s="317" t="s">
        <v>1513</v>
      </c>
      <c r="C82" s="319">
        <f ca="1">1-C83</f>
        <v>0.89600000000000002</v>
      </c>
    </row>
    <row r="83" spans="2:3">
      <c r="B83" s="317" t="s">
        <v>1514</v>
      </c>
      <c r="C83" s="318">
        <f ca="1">ROUND(C13/C40,3)</f>
        <v>0.104</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2514</v>
      </c>
      <c r="B1" s="2563"/>
      <c r="C1" s="2563"/>
      <c r="D1" s="2563"/>
      <c r="E1" s="2564"/>
    </row>
    <row r="2" spans="1:6" ht="15.75">
      <c r="A2" s="2565" t="s">
        <v>2315</v>
      </c>
      <c r="B2" s="2566">
        <f ca="1">SUMIF(B6:B13,"&lt;&gt;#ref!",B6:B13)</f>
        <v>191</v>
      </c>
      <c r="C2" s="2567" t="s">
        <v>2507</v>
      </c>
      <c r="D2" s="2568" t="s">
        <v>2508</v>
      </c>
      <c r="E2" s="2569">
        <f>SUM(E6:E13)</f>
        <v>91.52</v>
      </c>
    </row>
    <row r="3" spans="1:6" ht="15.75">
      <c r="A3" s="2565" t="s">
        <v>1395</v>
      </c>
      <c r="B3" s="2566">
        <f ca="1">ROUND(B2*10000/E2,0)</f>
        <v>20870</v>
      </c>
      <c r="C3" s="2567" t="s">
        <v>2515</v>
      </c>
      <c r="D3" s="2570"/>
      <c r="E3" s="2571"/>
    </row>
    <row r="4" spans="1:6" ht="15.75">
      <c r="A4" s="2572"/>
      <c r="B4" s="2570"/>
      <c r="C4" s="2570"/>
      <c r="D4" s="2570"/>
      <c r="E4" s="2571"/>
    </row>
    <row r="5" spans="1:6" ht="15">
      <c r="A5" s="2573" t="s">
        <v>2509</v>
      </c>
      <c r="B5" s="3212" t="s">
        <v>2510</v>
      </c>
      <c r="C5" s="3212"/>
      <c r="D5" s="2574"/>
      <c r="E5" s="2575" t="s">
        <v>2511</v>
      </c>
      <c r="F5" s="2576" t="s">
        <v>2512</v>
      </c>
    </row>
    <row r="6" spans="1:6">
      <c r="A6" s="2577" t="str">
        <f>'数据-取费表'!AN6</f>
        <v>收益法 (元)</v>
      </c>
      <c r="B6" s="2576">
        <f ca="1">IF(F6="是",'数据-取费表'!AO6,0)</f>
        <v>191</v>
      </c>
      <c r="C6" s="2567" t="s">
        <v>2507</v>
      </c>
      <c r="D6" s="2570"/>
      <c r="E6" s="2578">
        <f>IF(OR(A6=0,F6="否"),0,'数据-取费表'!K6+'数据-取费表'!S6)</f>
        <v>91.52</v>
      </c>
      <c r="F6" s="2579" t="s">
        <v>2513</v>
      </c>
    </row>
    <row r="7" spans="1:6">
      <c r="A7" s="2577">
        <f>'数据-取费表'!AN7</f>
        <v>0</v>
      </c>
      <c r="B7" s="2576" t="e">
        <f ca="1">IF(F7="是",'数据-取费表'!AO7,0)</f>
        <v>#REF!</v>
      </c>
      <c r="C7" s="2567" t="s">
        <v>2507</v>
      </c>
      <c r="D7" s="2570"/>
      <c r="E7" s="2578">
        <f>IF(OR(A7=0,F7="否"),0,'数据-取费表'!K7+'数据-取费表'!S7)</f>
        <v>0</v>
      </c>
      <c r="F7" s="2579" t="s">
        <v>2513</v>
      </c>
    </row>
    <row r="8" spans="1:6">
      <c r="A8" s="2577">
        <f>'数据-取费表'!AN8</f>
        <v>0</v>
      </c>
      <c r="B8" s="2576" t="e">
        <f ca="1">IF(F8="是",'数据-取费表'!AO8,0)</f>
        <v>#REF!</v>
      </c>
      <c r="C8" s="2567" t="s">
        <v>2507</v>
      </c>
      <c r="D8" s="2570"/>
      <c r="E8" s="2578">
        <f>IF(OR(A8=0,F8="否"),0,'数据-取费表'!K8+'数据-取费表'!S8)</f>
        <v>0</v>
      </c>
      <c r="F8" s="2579" t="s">
        <v>2513</v>
      </c>
    </row>
    <row r="9" spans="1:6">
      <c r="A9" s="2577">
        <f>'数据-取费表'!AN9</f>
        <v>0</v>
      </c>
      <c r="B9" s="2576" t="e">
        <f ca="1">IF(F9="是",'数据-取费表'!AO9,0)</f>
        <v>#REF!</v>
      </c>
      <c r="C9" s="2567" t="s">
        <v>2507</v>
      </c>
      <c r="D9" s="2570"/>
      <c r="E9" s="2578">
        <f>IF(OR(A9=0,F9="否"),0,'数据-取费表'!K9+'数据-取费表'!S9)</f>
        <v>0</v>
      </c>
      <c r="F9" s="2579" t="s">
        <v>2513</v>
      </c>
    </row>
    <row r="10" spans="1:6">
      <c r="A10" s="2577">
        <f>'数据-取费表'!AN10</f>
        <v>0</v>
      </c>
      <c r="B10" s="2576" t="e">
        <f ca="1">IF(F10="是",'数据-取费表'!AO10,0)</f>
        <v>#REF!</v>
      </c>
      <c r="C10" s="2567" t="s">
        <v>2507</v>
      </c>
      <c r="D10" s="2570"/>
      <c r="E10" s="2578">
        <f>IF(OR(A10=0,F10="否"),0,'数据-取费表'!K10+'数据-取费表'!S10)</f>
        <v>0</v>
      </c>
      <c r="F10" s="2579" t="s">
        <v>2513</v>
      </c>
    </row>
    <row r="11" spans="1:6">
      <c r="A11" s="2577">
        <f>'数据-取费表'!AN11</f>
        <v>0</v>
      </c>
      <c r="B11" s="2576" t="e">
        <f ca="1">IF(F11="是",'数据-取费表'!AO11,0)</f>
        <v>#REF!</v>
      </c>
      <c r="C11" s="2567" t="s">
        <v>2507</v>
      </c>
      <c r="D11" s="2570"/>
      <c r="E11" s="2578">
        <f>IF(OR(A11=0,F11="否"),0,'数据-取费表'!K11+'数据-取费表'!S11)</f>
        <v>0</v>
      </c>
      <c r="F11" s="2579" t="s">
        <v>2513</v>
      </c>
    </row>
    <row r="12" spans="1:6">
      <c r="A12" s="2577">
        <f>'数据-取费表'!AN12</f>
        <v>0</v>
      </c>
      <c r="B12" s="2576" t="e">
        <f ca="1">IF(F12="是",'数据-取费表'!AO12,0)</f>
        <v>#REF!</v>
      </c>
      <c r="C12" s="2567" t="s">
        <v>2507</v>
      </c>
      <c r="D12" s="2570"/>
      <c r="E12" s="2578">
        <f>IF(OR(A12=0,F12="否"),0,'数据-取费表'!K12+'数据-取费表'!S12)</f>
        <v>0</v>
      </c>
      <c r="F12" s="2579" t="s">
        <v>2513</v>
      </c>
    </row>
    <row r="13" spans="1:6" ht="15" thickBot="1">
      <c r="A13" s="2580">
        <f>'数据-取费表'!AN13</f>
        <v>0</v>
      </c>
      <c r="B13" s="2576" t="e">
        <f ca="1">IF(F13="是",'数据-取费表'!AO13,0)</f>
        <v>#REF!</v>
      </c>
      <c r="C13" s="2581" t="s">
        <v>2507</v>
      </c>
      <c r="D13" s="2582"/>
      <c r="E13" s="2578">
        <f>IF(OR(A13=0,F13="否"),0,'数据-取费表'!K13+'数据-取费表'!S13)</f>
        <v>0</v>
      </c>
      <c r="F13" s="2579"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9" t="s">
        <v>1076</v>
      </c>
      <c r="B1" s="3230"/>
      <c r="C1" s="3231"/>
      <c r="D1" s="3232">
        <f>SUM(I10,I15,I20,I21,I23)</f>
        <v>0</v>
      </c>
      <c r="E1" s="3232"/>
      <c r="F1" s="3232"/>
      <c r="G1" s="3232"/>
      <c r="H1" s="3232"/>
      <c r="I1" s="3233"/>
    </row>
    <row r="2" spans="1:9">
      <c r="A2" s="3219" t="s">
        <v>1077</v>
      </c>
      <c r="B2" s="3220" t="s">
        <v>1078</v>
      </c>
      <c r="C2" s="3220"/>
      <c r="D2" s="1304" t="s">
        <v>1079</v>
      </c>
      <c r="E2" s="1304" t="s">
        <v>1080</v>
      </c>
      <c r="F2" s="1304" t="s">
        <v>1081</v>
      </c>
      <c r="G2" s="1304" t="s">
        <v>1082</v>
      </c>
      <c r="H2" s="1304" t="s">
        <v>1083</v>
      </c>
      <c r="I2" s="1305" t="s">
        <v>1084</v>
      </c>
    </row>
    <row r="3" spans="1:9">
      <c r="A3" s="3219"/>
      <c r="B3" s="3220" t="s">
        <v>1085</v>
      </c>
      <c r="C3" s="3220"/>
      <c r="D3" s="1306"/>
      <c r="E3" s="1304"/>
      <c r="F3" s="1307"/>
      <c r="G3" s="1307"/>
      <c r="H3" s="1308"/>
      <c r="I3" s="1309">
        <f>ROUND(D3*E3*F3*G3*H3/10000,0)</f>
        <v>0</v>
      </c>
    </row>
    <row r="4" spans="1:9">
      <c r="A4" s="3219"/>
      <c r="B4" s="3220" t="s">
        <v>1086</v>
      </c>
      <c r="C4" s="3220"/>
      <c r="D4" s="1306"/>
      <c r="E4" s="1304"/>
      <c r="F4" s="1307"/>
      <c r="G4" s="1307"/>
      <c r="H4" s="1308"/>
      <c r="I4" s="1309">
        <f t="shared" ref="I4:I9" si="0">ROUND(D4*E4*F4*G4*H4/10000,0)</f>
        <v>0</v>
      </c>
    </row>
    <row r="5" spans="1:9">
      <c r="A5" s="3219"/>
      <c r="B5" s="3220" t="s">
        <v>1087</v>
      </c>
      <c r="C5" s="3220"/>
      <c r="D5" s="1306"/>
      <c r="E5" s="1304"/>
      <c r="F5" s="1307"/>
      <c r="G5" s="1307"/>
      <c r="H5" s="1308"/>
      <c r="I5" s="1309">
        <f t="shared" si="0"/>
        <v>0</v>
      </c>
    </row>
    <row r="6" spans="1:9">
      <c r="A6" s="3219"/>
      <c r="B6" s="3220" t="s">
        <v>1088</v>
      </c>
      <c r="C6" s="3220"/>
      <c r="D6" s="1306"/>
      <c r="E6" s="1304"/>
      <c r="F6" s="1307"/>
      <c r="G6" s="1307"/>
      <c r="H6" s="1308"/>
      <c r="I6" s="1309">
        <f t="shared" si="0"/>
        <v>0</v>
      </c>
    </row>
    <row r="7" spans="1:9">
      <c r="A7" s="3219"/>
      <c r="B7" s="3220" t="s">
        <v>1089</v>
      </c>
      <c r="C7" s="3220"/>
      <c r="D7" s="1306"/>
      <c r="E7" s="1304"/>
      <c r="F7" s="1307"/>
      <c r="G7" s="1307"/>
      <c r="H7" s="1308"/>
      <c r="I7" s="1309">
        <f t="shared" si="0"/>
        <v>0</v>
      </c>
    </row>
    <row r="8" spans="1:9">
      <c r="A8" s="3219"/>
      <c r="B8" s="3220" t="s">
        <v>1090</v>
      </c>
      <c r="C8" s="3220"/>
      <c r="D8" s="1306"/>
      <c r="E8" s="1304"/>
      <c r="F8" s="1307"/>
      <c r="G8" s="1307"/>
      <c r="H8" s="1308"/>
      <c r="I8" s="1309">
        <f t="shared" si="0"/>
        <v>0</v>
      </c>
    </row>
    <row r="9" spans="1:9">
      <c r="A9" s="3219"/>
      <c r="B9" s="3220" t="s">
        <v>1091</v>
      </c>
      <c r="C9" s="3220"/>
      <c r="D9" s="1306"/>
      <c r="E9" s="1304"/>
      <c r="F9" s="1307"/>
      <c r="G9" s="1307"/>
      <c r="H9" s="1308"/>
      <c r="I9" s="1309">
        <f t="shared" si="0"/>
        <v>0</v>
      </c>
    </row>
    <row r="10" spans="1:9">
      <c r="A10" s="3219"/>
      <c r="B10" s="3221" t="s">
        <v>1092</v>
      </c>
      <c r="C10" s="3221"/>
      <c r="D10" s="1310"/>
      <c r="E10" s="1310" t="e">
        <f>ROUND(D1*10000/D10/H9,0)</f>
        <v>#DIV/0!</v>
      </c>
      <c r="F10" s="1311"/>
      <c r="G10" s="1311"/>
      <c r="H10" s="1312"/>
      <c r="I10" s="1313">
        <f>SUM(I3:I9)</f>
        <v>0</v>
      </c>
    </row>
    <row r="11" spans="1:9" ht="14.25">
      <c r="A11" s="3219" t="s">
        <v>1093</v>
      </c>
      <c r="B11" s="3220" t="s">
        <v>1094</v>
      </c>
      <c r="C11" s="3220"/>
      <c r="D11" s="1306" t="s">
        <v>1095</v>
      </c>
      <c r="E11" s="1306" t="s">
        <v>1096</v>
      </c>
      <c r="F11" s="1307" t="s">
        <v>1097</v>
      </c>
      <c r="G11" s="1307" t="s">
        <v>1083</v>
      </c>
      <c r="H11" s="1314" t="s">
        <v>1098</v>
      </c>
      <c r="I11" s="1305" t="s">
        <v>1084</v>
      </c>
    </row>
    <row r="12" spans="1:9">
      <c r="A12" s="3219"/>
      <c r="B12" s="3220" t="s">
        <v>1099</v>
      </c>
      <c r="C12" s="3220"/>
      <c r="D12" s="1306"/>
      <c r="E12" s="1306"/>
      <c r="F12" s="1307"/>
      <c r="G12" s="1308"/>
      <c r="H12" s="1315"/>
      <c r="I12" s="1305">
        <f>ROUND(D12*E12*F12*G12/10000,0)</f>
        <v>0</v>
      </c>
    </row>
    <row r="13" spans="1:9">
      <c r="A13" s="3219"/>
      <c r="B13" s="3220" t="s">
        <v>1100</v>
      </c>
      <c r="C13" s="3220"/>
      <c r="D13" s="1306"/>
      <c r="E13" s="1306"/>
      <c r="F13" s="1307"/>
      <c r="G13" s="1308"/>
      <c r="H13" s="1315"/>
      <c r="I13" s="1305">
        <f>ROUND(D13*E13*F13*G13/10000,0)</f>
        <v>0</v>
      </c>
    </row>
    <row r="14" spans="1:9">
      <c r="A14" s="3219"/>
      <c r="B14" s="3220" t="s">
        <v>1101</v>
      </c>
      <c r="C14" s="3220"/>
      <c r="D14" s="1306"/>
      <c r="E14" s="1306"/>
      <c r="F14" s="1307"/>
      <c r="G14" s="1308"/>
      <c r="H14" s="1315"/>
      <c r="I14" s="1305">
        <f>ROUND(D14*E14*F14*G14/10000,0)</f>
        <v>0</v>
      </c>
    </row>
    <row r="15" spans="1:9">
      <c r="A15" s="3219"/>
      <c r="B15" s="3221" t="s">
        <v>1092</v>
      </c>
      <c r="C15" s="3221"/>
      <c r="D15" s="1310"/>
      <c r="E15" s="1310">
        <f>SUM(E12:E14)</f>
        <v>0</v>
      </c>
      <c r="F15" s="1311"/>
      <c r="G15" s="1308"/>
      <c r="H15" s="1315"/>
      <c r="I15" s="1316">
        <f>SUM(I12:I14)</f>
        <v>0</v>
      </c>
    </row>
    <row r="16" spans="1:9" ht="24">
      <c r="A16" s="3219" t="s">
        <v>1102</v>
      </c>
      <c r="B16" s="3220" t="s">
        <v>1103</v>
      </c>
      <c r="C16" s="3220"/>
      <c r="D16" s="1306" t="s">
        <v>1079</v>
      </c>
      <c r="E16" s="1317" t="s">
        <v>1104</v>
      </c>
      <c r="F16" s="1307" t="s">
        <v>1105</v>
      </c>
      <c r="G16" s="1308" t="s">
        <v>1083</v>
      </c>
      <c r="H16" s="1314" t="s">
        <v>1098</v>
      </c>
      <c r="I16" s="1305" t="s">
        <v>1084</v>
      </c>
    </row>
    <row r="17" spans="1:9" ht="14.25">
      <c r="A17" s="3219"/>
      <c r="B17" s="3220" t="s">
        <v>1106</v>
      </c>
      <c r="C17" s="3220"/>
      <c r="D17" s="1306"/>
      <c r="E17" s="1306"/>
      <c r="F17" s="1307"/>
      <c r="G17" s="1308"/>
      <c r="H17" s="1318"/>
      <c r="I17" s="1319">
        <f>ROUND(D17*E17*F17*G17/10000,0)</f>
        <v>0</v>
      </c>
    </row>
    <row r="18" spans="1:9" ht="14.25">
      <c r="A18" s="3219"/>
      <c r="B18" s="3220" t="s">
        <v>1107</v>
      </c>
      <c r="C18" s="3220"/>
      <c r="D18" s="1306"/>
      <c r="E18" s="1306"/>
      <c r="F18" s="1307"/>
      <c r="G18" s="1308"/>
      <c r="H18" s="1318"/>
      <c r="I18" s="1319">
        <f>ROUND(D18*E18*F18*G18/10000,0)</f>
        <v>0</v>
      </c>
    </row>
    <row r="19" spans="1:9" ht="14.25">
      <c r="A19" s="3219"/>
      <c r="B19" s="3220" t="s">
        <v>1108</v>
      </c>
      <c r="C19" s="3220"/>
      <c r="D19" s="1306"/>
      <c r="E19" s="1306"/>
      <c r="F19" s="1307"/>
      <c r="G19" s="1308"/>
      <c r="H19" s="1318"/>
      <c r="I19" s="1319">
        <f>ROUND(D19*E19*F19*G19/10000,0)</f>
        <v>0</v>
      </c>
    </row>
    <row r="20" spans="1:9">
      <c r="A20" s="3219"/>
      <c r="B20" s="3221" t="s">
        <v>1092</v>
      </c>
      <c r="C20" s="3221"/>
      <c r="D20" s="1310">
        <f>SUM(D17:D19)</f>
        <v>0</v>
      </c>
      <c r="E20" s="1310"/>
      <c r="F20" s="1311"/>
      <c r="G20" s="1308"/>
      <c r="H20" s="1315"/>
      <c r="I20" s="1316">
        <f>SUM(I17:I19)</f>
        <v>0</v>
      </c>
    </row>
    <row r="21" spans="1:9">
      <c r="A21" s="3219" t="s">
        <v>1109</v>
      </c>
      <c r="B21" s="3222"/>
      <c r="C21" s="3222"/>
      <c r="D21" s="3222"/>
      <c r="E21" s="3222"/>
      <c r="F21" s="3222"/>
      <c r="G21" s="3222"/>
      <c r="H21" s="1768">
        <v>0.1</v>
      </c>
      <c r="I21" s="1313">
        <f>ROUND(I10*H21,0)</f>
        <v>0</v>
      </c>
    </row>
    <row r="22" spans="1:9" ht="14.25">
      <c r="A22" s="3223" t="s">
        <v>1110</v>
      </c>
      <c r="B22" s="3224"/>
      <c r="C22" s="3225"/>
      <c r="D22" s="1320" t="s">
        <v>1111</v>
      </c>
      <c r="E22" s="1320" t="s">
        <v>1112</v>
      </c>
      <c r="F22" s="1321" t="s">
        <v>1113</v>
      </c>
      <c r="G22" s="1321" t="s">
        <v>1114</v>
      </c>
      <c r="H22" s="1314" t="s">
        <v>1115</v>
      </c>
      <c r="I22" s="1305" t="s">
        <v>1116</v>
      </c>
    </row>
    <row r="23" spans="1:9" ht="14.25" thickBot="1">
      <c r="A23" s="3226"/>
      <c r="B23" s="3227"/>
      <c r="C23" s="3228"/>
      <c r="D23" s="1322"/>
      <c r="E23" s="1322"/>
      <c r="F23" s="1322"/>
      <c r="G23" s="1323"/>
      <c r="H23" s="1324"/>
      <c r="I23" s="1325">
        <f>ROUND(E23*D23*F23*(1-G23)/10000,0)</f>
        <v>0</v>
      </c>
    </row>
    <row r="26" spans="1:9">
      <c r="A26" s="1326" t="s">
        <v>1117</v>
      </c>
      <c r="B26" s="1326"/>
      <c r="C26" s="1326"/>
      <c r="D26" s="1326"/>
      <c r="E26" s="3216">
        <f>C27-C30-C31-C32</f>
        <v>0</v>
      </c>
      <c r="F26" s="3216"/>
      <c r="G26" s="3216"/>
      <c r="H26" s="1740" t="s">
        <v>1340</v>
      </c>
    </row>
    <row r="27" spans="1:9">
      <c r="A27" s="1327">
        <v>1</v>
      </c>
      <c r="B27" s="1328" t="s">
        <v>1118</v>
      </c>
      <c r="C27" s="1328">
        <f>C28+C29</f>
        <v>0</v>
      </c>
      <c r="D27" s="1328"/>
      <c r="E27" s="3217"/>
      <c r="F27" s="3217"/>
      <c r="G27" s="3217"/>
    </row>
    <row r="28" spans="1:9">
      <c r="A28" s="1329" t="s">
        <v>1119</v>
      </c>
      <c r="B28" s="1328" t="s">
        <v>1120</v>
      </c>
      <c r="C28" s="1328"/>
      <c r="D28" s="1328"/>
      <c r="E28" s="3217"/>
      <c r="F28" s="3217"/>
      <c r="G28" s="3217"/>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8"/>
      <c r="F32" s="3218"/>
      <c r="G32" s="3218"/>
    </row>
    <row r="33" spans="1:7" hidden="1">
      <c r="A33" s="3213" t="s">
        <v>1129</v>
      </c>
      <c r="B33" s="3214"/>
      <c r="C33" s="3214"/>
      <c r="D33" s="3215"/>
      <c r="E33" s="3216"/>
      <c r="F33" s="3216"/>
      <c r="G33" s="3216"/>
    </row>
    <row r="34" spans="1:7" hidden="1">
      <c r="A34" s="1331">
        <v>1</v>
      </c>
      <c r="B34" s="1328" t="s">
        <v>1130</v>
      </c>
      <c r="C34" s="1328"/>
      <c r="D34" s="1328"/>
      <c r="E34" s="3217"/>
      <c r="F34" s="3217"/>
      <c r="G34" s="3217"/>
    </row>
    <row r="35" spans="1:7" hidden="1">
      <c r="A35" s="1331">
        <v>2</v>
      </c>
      <c r="B35" s="1328" t="s">
        <v>1131</v>
      </c>
      <c r="C35" s="1328"/>
      <c r="D35" s="1328"/>
      <c r="E35" s="3217"/>
      <c r="F35" s="3217"/>
      <c r="G35" s="3217"/>
    </row>
    <row r="36" spans="1:7" hidden="1">
      <c r="A36" s="1331">
        <v>3</v>
      </c>
      <c r="B36" s="1328" t="s">
        <v>1132</v>
      </c>
      <c r="C36" s="1328"/>
      <c r="D36" s="1328"/>
      <c r="E36" s="3217"/>
      <c r="F36" s="3217"/>
      <c r="G36" s="3217"/>
    </row>
    <row r="37" spans="1:7" hidden="1">
      <c r="A37" s="1331">
        <v>4</v>
      </c>
      <c r="B37" s="1328" t="s">
        <v>1133</v>
      </c>
      <c r="C37" s="1328"/>
      <c r="D37" s="1328"/>
      <c r="E37" s="3217"/>
      <c r="F37" s="3217"/>
      <c r="G37" s="3217"/>
    </row>
    <row r="38" spans="1:7" hidden="1">
      <c r="A38" s="3213" t="s">
        <v>1134</v>
      </c>
      <c r="B38" s="3214"/>
      <c r="C38" s="3214"/>
      <c r="D38" s="3215"/>
      <c r="E38" s="3216"/>
      <c r="F38" s="3216"/>
      <c r="G38" s="321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3" t="s">
        <v>2630</v>
      </c>
      <c r="C1" s="1637" t="s">
        <v>2518</v>
      </c>
      <c r="D1" s="1624"/>
      <c r="E1" s="2655"/>
      <c r="F1" s="2585"/>
      <c r="G1" s="1634" t="s">
        <v>2631</v>
      </c>
      <c r="H1" s="1633"/>
      <c r="I1" s="1633"/>
      <c r="J1" s="1633"/>
      <c r="K1" s="1635"/>
      <c r="L1" s="1636"/>
      <c r="M1" s="1637"/>
      <c r="N1" s="1637"/>
      <c r="O1" s="1637"/>
      <c r="P1" s="2656"/>
      <c r="Q1" s="2657"/>
      <c r="R1" s="2657"/>
      <c r="S1" s="2657"/>
      <c r="T1" s="2657"/>
      <c r="U1" s="2657"/>
      <c r="V1" s="2657"/>
      <c r="W1" s="2657"/>
      <c r="X1" s="2657"/>
      <c r="Y1" s="2657"/>
      <c r="Z1" s="2657"/>
      <c r="AA1" s="2657"/>
      <c r="AB1" s="2657"/>
      <c r="AC1" s="2658"/>
    </row>
    <row r="2" spans="1:29" s="398" customFormat="1" ht="28.5" customHeight="1" thickTop="1">
      <c r="A2" s="1620" t="s">
        <v>2315</v>
      </c>
      <c r="B2" s="1421" t="e">
        <f ca="1">IF(C2="——",ROUND(C49*D3/10000,0),ROUND(C49*D3/10000,0)-D2)</f>
        <v>#DIV/0!</v>
      </c>
      <c r="C2" s="2587"/>
      <c r="D2" s="1368" t="e">
        <f ca="1">SUMIF(INDIRECT("'"&amp;F2&amp;"'"&amp;"!A:A"),"承租人权益价值",INDIRECT("'"&amp;F2&amp;"'"&amp;"!c:c"))</f>
        <v>#REF!</v>
      </c>
      <c r="E2" s="2588" t="s">
        <v>2316</v>
      </c>
      <c r="F2" s="2589"/>
      <c r="G2" s="1128"/>
      <c r="H2" s="1128"/>
      <c r="I2" s="1128"/>
      <c r="J2" s="1128"/>
      <c r="K2" s="1128"/>
      <c r="L2" s="1131"/>
      <c r="M2" s="1132"/>
      <c r="N2" s="1132"/>
      <c r="O2" s="1132"/>
      <c r="P2" s="2659"/>
      <c r="Q2" s="1132"/>
      <c r="R2" s="1132"/>
      <c r="S2" s="1132"/>
      <c r="T2" s="1132"/>
      <c r="U2" s="1132"/>
      <c r="V2" s="1132"/>
      <c r="W2" s="1132"/>
      <c r="X2" s="1132"/>
      <c r="Y2" s="1132"/>
      <c r="Z2" s="1132"/>
      <c r="AA2" s="1132"/>
      <c r="AB2" s="1132"/>
      <c r="AC2" s="2660"/>
    </row>
    <row r="3" spans="1:29" s="398" customFormat="1" ht="28.5" customHeight="1" thickBot="1">
      <c r="A3" s="247" t="s">
        <v>2317</v>
      </c>
      <c r="B3" s="609" t="e">
        <f ca="1">IF(C2="——",C49,ROUND(B2*10000/D3,0))</f>
        <v>#DIV/0!</v>
      </c>
      <c r="C3" s="400" t="s">
        <v>2632</v>
      </c>
      <c r="D3" s="399">
        <f>IF(D1="",'数据-汇总表'!E3,SUMIF('数据-汇总表'!$C19:$C33,D1,'数据-汇总表'!$E19:$E33))</f>
        <v>91.52</v>
      </c>
      <c r="E3" s="2661"/>
      <c r="F3" s="1129"/>
      <c r="G3" s="1128"/>
      <c r="H3" s="1128"/>
      <c r="I3" s="1128"/>
      <c r="J3" s="1128"/>
      <c r="K3" s="1130"/>
      <c r="L3" s="1131"/>
      <c r="M3" s="1132"/>
      <c r="N3" s="1132"/>
      <c r="O3" s="1132"/>
      <c r="P3" s="2659"/>
      <c r="Q3" s="1132"/>
      <c r="R3" s="1132"/>
      <c r="S3" s="1132"/>
      <c r="T3" s="1132"/>
      <c r="U3" s="1132"/>
      <c r="V3" s="1132"/>
      <c r="W3" s="1132"/>
      <c r="X3" s="1132"/>
      <c r="Y3" s="1132"/>
      <c r="Z3" s="1132"/>
      <c r="AA3" s="1132"/>
      <c r="AB3" s="1132"/>
      <c r="AC3" s="2661"/>
    </row>
    <row r="4" spans="1:29" ht="15">
      <c r="A4" s="401" t="s">
        <v>2633</v>
      </c>
      <c r="B4" s="402"/>
      <c r="C4" s="3186" t="s">
        <v>2634</v>
      </c>
      <c r="D4" s="3187"/>
      <c r="E4" s="3188" t="s">
        <v>2635</v>
      </c>
      <c r="F4" s="3189"/>
      <c r="G4" s="3186" t="s">
        <v>2636</v>
      </c>
      <c r="H4" s="3187"/>
      <c r="I4" s="3186" t="s">
        <v>2637</v>
      </c>
      <c r="J4" s="3187"/>
      <c r="K4" s="610" t="s">
        <v>2638</v>
      </c>
      <c r="L4" s="1133"/>
      <c r="M4" s="1134"/>
      <c r="N4" s="1134"/>
      <c r="O4" s="1134"/>
      <c r="P4" s="3190" t="s">
        <v>2639</v>
      </c>
      <c r="Q4" s="3191"/>
      <c r="R4" s="3196" t="s">
        <v>2635</v>
      </c>
      <c r="S4" s="3197"/>
      <c r="T4" s="3196" t="s">
        <v>2636</v>
      </c>
      <c r="U4" s="3197"/>
      <c r="V4" s="3202" t="s">
        <v>2637</v>
      </c>
      <c r="W4" s="3202"/>
      <c r="X4" s="1815"/>
      <c r="Y4" s="3196" t="s">
        <v>2639</v>
      </c>
      <c r="Z4" s="3197"/>
      <c r="AA4" s="3183" t="s">
        <v>2635</v>
      </c>
      <c r="AB4" s="3202" t="s">
        <v>2636</v>
      </c>
      <c r="AC4" s="3183" t="s">
        <v>2637</v>
      </c>
    </row>
    <row r="5" spans="1:29" ht="15">
      <c r="A5" s="404"/>
      <c r="B5" s="405"/>
      <c r="C5" s="3234" t="s">
        <v>2530</v>
      </c>
      <c r="D5" s="3206"/>
      <c r="E5" s="3235" t="s">
        <v>2531</v>
      </c>
      <c r="F5" s="3236"/>
      <c r="G5" s="3234" t="s">
        <v>2532</v>
      </c>
      <c r="H5" s="3206"/>
      <c r="I5" s="3234" t="s">
        <v>2533</v>
      </c>
      <c r="J5" s="3206"/>
      <c r="K5" s="610"/>
      <c r="L5" s="1133"/>
      <c r="M5" s="1134"/>
      <c r="N5" s="1134"/>
      <c r="O5" s="1134"/>
      <c r="P5" s="3192"/>
      <c r="Q5" s="3193"/>
      <c r="R5" s="3198"/>
      <c r="S5" s="3199"/>
      <c r="T5" s="3198"/>
      <c r="U5" s="3199"/>
      <c r="V5" s="3202"/>
      <c r="W5" s="3202"/>
      <c r="X5" s="1815"/>
      <c r="Y5" s="3198"/>
      <c r="Z5" s="3199"/>
      <c r="AA5" s="3184"/>
      <c r="AB5" s="3202"/>
      <c r="AC5" s="3184"/>
    </row>
    <row r="6" spans="1:29" ht="15.75" thickBot="1">
      <c r="A6" s="406"/>
      <c r="B6" s="407"/>
      <c r="C6" s="3203" t="s">
        <v>2534</v>
      </c>
      <c r="D6" s="3204"/>
      <c r="E6" s="3210" t="s">
        <v>2534</v>
      </c>
      <c r="F6" s="3211"/>
      <c r="G6" s="3203" t="s">
        <v>2534</v>
      </c>
      <c r="H6" s="3204"/>
      <c r="I6" s="3203" t="s">
        <v>2534</v>
      </c>
      <c r="J6" s="3204"/>
      <c r="K6" s="610" t="s">
        <v>2535</v>
      </c>
      <c r="L6" s="1133"/>
      <c r="M6" s="1134"/>
      <c r="N6" s="1134"/>
      <c r="O6" s="1134"/>
      <c r="P6" s="3194"/>
      <c r="Q6" s="3195"/>
      <c r="R6" s="3198"/>
      <c r="S6" s="3199"/>
      <c r="T6" s="3200"/>
      <c r="U6" s="3201"/>
      <c r="V6" s="3202"/>
      <c r="W6" s="3202"/>
      <c r="X6" s="1815"/>
      <c r="Y6" s="3200"/>
      <c r="Z6" s="3201"/>
      <c r="AA6" s="3185"/>
      <c r="AB6" s="3202"/>
      <c r="AC6" s="3185"/>
    </row>
    <row r="7" spans="1:29" s="117" customFormat="1" ht="15.75" thickBot="1">
      <c r="A7" s="408" t="s">
        <v>2536</v>
      </c>
      <c r="B7" s="409"/>
      <c r="C7" s="410">
        <f>'数据-取费表'!B2</f>
        <v>43249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7" t="s">
        <v>2537</v>
      </c>
      <c r="Q7" s="3209"/>
      <c r="R7" s="770" t="s">
        <v>17</v>
      </c>
      <c r="S7" s="771">
        <f t="shared" ref="S7:S15" si="0">F7</f>
        <v>0</v>
      </c>
      <c r="T7" s="770" t="s">
        <v>17</v>
      </c>
      <c r="U7" s="771">
        <f t="shared" ref="U7:U15" si="1">H7</f>
        <v>0</v>
      </c>
      <c r="V7" s="770" t="s">
        <v>17</v>
      </c>
      <c r="W7" s="771">
        <f t="shared" ref="W7:W15" si="2">J7</f>
        <v>0</v>
      </c>
      <c r="X7" s="772"/>
      <c r="Y7" s="3207" t="s">
        <v>2537</v>
      </c>
      <c r="Z7" s="3208"/>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7" t="s">
        <v>2540</v>
      </c>
      <c r="Q8" s="3208"/>
      <c r="R8" s="770" t="s">
        <v>17</v>
      </c>
      <c r="S8" s="771">
        <f t="shared" si="0"/>
        <v>0</v>
      </c>
      <c r="T8" s="770" t="s">
        <v>17</v>
      </c>
      <c r="U8" s="771">
        <f t="shared" si="1"/>
        <v>0</v>
      </c>
      <c r="V8" s="770" t="s">
        <v>17</v>
      </c>
      <c r="W8" s="771">
        <f t="shared" si="2"/>
        <v>0</v>
      </c>
      <c r="X8" s="772"/>
      <c r="Y8" s="3207" t="s">
        <v>2540</v>
      </c>
      <c r="Z8" s="3208"/>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2" t="s">
        <v>2543</v>
      </c>
      <c r="Q9" s="1797" t="str">
        <f t="shared" ref="Q9:Q15" si="6">B9</f>
        <v>用途</v>
      </c>
      <c r="R9" s="770" t="s">
        <v>17</v>
      </c>
      <c r="S9" s="771">
        <f t="shared" si="0"/>
        <v>100</v>
      </c>
      <c r="T9" s="770" t="s">
        <v>17</v>
      </c>
      <c r="U9" s="771">
        <f t="shared" si="1"/>
        <v>100</v>
      </c>
      <c r="V9" s="770" t="s">
        <v>17</v>
      </c>
      <c r="W9" s="771">
        <f t="shared" si="2"/>
        <v>100</v>
      </c>
      <c r="X9" s="772"/>
      <c r="Y9" s="3018"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2"/>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2"/>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2"/>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2"/>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2"/>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15">
      <c r="A15" s="440" t="s">
        <v>2547</v>
      </c>
      <c r="B15" s="69" t="s">
        <v>2641</v>
      </c>
      <c r="C15" s="260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80" t="s">
        <v>2548</v>
      </c>
      <c r="Q15" s="1812" t="str">
        <f t="shared" si="6"/>
        <v>商业繁华度</v>
      </c>
      <c r="R15" s="774" t="s">
        <v>17</v>
      </c>
      <c r="S15" s="775">
        <f t="shared" si="0"/>
        <v>100</v>
      </c>
      <c r="T15" s="774" t="s">
        <v>17</v>
      </c>
      <c r="U15" s="775">
        <f t="shared" si="1"/>
        <v>100</v>
      </c>
      <c r="V15" s="774" t="s">
        <v>17</v>
      </c>
      <c r="W15" s="775">
        <f t="shared" si="2"/>
        <v>100</v>
      </c>
      <c r="X15" s="1815"/>
      <c r="Y15" s="3173" t="s">
        <v>2548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181"/>
      <c r="Q16" s="1812"/>
      <c r="R16" s="774"/>
      <c r="S16" s="775"/>
      <c r="T16" s="774"/>
      <c r="U16" s="775"/>
      <c r="V16" s="774"/>
      <c r="W16" s="775"/>
      <c r="X16" s="1815"/>
      <c r="Y16" s="3174"/>
      <c r="Z16" s="1816"/>
      <c r="AA16" s="1813">
        <v>1</v>
      </c>
      <c r="AB16" s="1813">
        <v>1</v>
      </c>
      <c r="AC16" s="1813">
        <v>1</v>
      </c>
    </row>
    <row r="17" spans="1:29" ht="15">
      <c r="A17" s="428"/>
      <c r="B17" s="451" t="s">
        <v>2087</v>
      </c>
      <c r="C17" s="2607"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81"/>
      <c r="Q17" s="1812" t="str">
        <f>B17</f>
        <v>交通便捷度</v>
      </c>
      <c r="R17" s="774" t="s">
        <v>17</v>
      </c>
      <c r="S17" s="775">
        <f>F17</f>
        <v>100</v>
      </c>
      <c r="T17" s="774" t="s">
        <v>17</v>
      </c>
      <c r="U17" s="775">
        <f>H17</f>
        <v>100</v>
      </c>
      <c r="V17" s="774" t="s">
        <v>17</v>
      </c>
      <c r="W17" s="775">
        <f>J17</f>
        <v>100</v>
      </c>
      <c r="X17" s="1815"/>
      <c r="Y17" s="3174"/>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3"/>
      <c r="M18" s="1134"/>
      <c r="N18" s="1134"/>
      <c r="O18" s="1134"/>
      <c r="P18" s="3181"/>
      <c r="Q18" s="1812"/>
      <c r="R18" s="774"/>
      <c r="S18" s="775"/>
      <c r="T18" s="774"/>
      <c r="U18" s="775"/>
      <c r="V18" s="774"/>
      <c r="W18" s="775"/>
      <c r="X18" s="1815"/>
      <c r="Y18" s="3174"/>
      <c r="Z18" s="1816"/>
      <c r="AA18" s="1813">
        <v>1</v>
      </c>
      <c r="AB18" s="1813">
        <v>1</v>
      </c>
      <c r="AC18" s="1813">
        <v>1</v>
      </c>
    </row>
    <row r="19" spans="1:29" ht="15">
      <c r="A19" s="428"/>
      <c r="B19" s="451" t="s">
        <v>2642</v>
      </c>
      <c r="C19" s="2607"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81"/>
      <c r="Q19" s="1812" t="str">
        <f>B19</f>
        <v>公共配套设施</v>
      </c>
      <c r="R19" s="774" t="s">
        <v>17</v>
      </c>
      <c r="S19" s="775">
        <f>F19</f>
        <v>100</v>
      </c>
      <c r="T19" s="774" t="s">
        <v>17</v>
      </c>
      <c r="U19" s="775">
        <f>H19</f>
        <v>100</v>
      </c>
      <c r="V19" s="774" t="s">
        <v>17</v>
      </c>
      <c r="W19" s="775">
        <f>J19</f>
        <v>100</v>
      </c>
      <c r="X19" s="1815"/>
      <c r="Y19" s="3174"/>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3"/>
      <c r="M20" s="1134"/>
      <c r="N20" s="1134"/>
      <c r="O20" s="1134"/>
      <c r="P20" s="3181"/>
      <c r="Q20" s="1812"/>
      <c r="R20" s="774"/>
      <c r="S20" s="775"/>
      <c r="T20" s="774"/>
      <c r="U20" s="775"/>
      <c r="V20" s="774"/>
      <c r="W20" s="775"/>
      <c r="X20" s="1815"/>
      <c r="Y20" s="3174"/>
      <c r="Z20" s="1816"/>
      <c r="AA20" s="1813">
        <v>1</v>
      </c>
      <c r="AB20" s="1813">
        <v>1</v>
      </c>
      <c r="AC20" s="1813">
        <v>1</v>
      </c>
    </row>
    <row r="21" spans="1:29" ht="15">
      <c r="A21" s="428"/>
      <c r="B21" s="1387" t="s">
        <v>2643</v>
      </c>
      <c r="C21" s="260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81"/>
      <c r="Q21" s="1812" t="str">
        <f>B21</f>
        <v>基础设施水平</v>
      </c>
      <c r="R21" s="774" t="s">
        <v>17</v>
      </c>
      <c r="S21" s="775">
        <f>F21</f>
        <v>100</v>
      </c>
      <c r="T21" s="774" t="s">
        <v>17</v>
      </c>
      <c r="U21" s="775">
        <f>H21</f>
        <v>100</v>
      </c>
      <c r="V21" s="774" t="s">
        <v>17</v>
      </c>
      <c r="W21" s="775">
        <f>J21</f>
        <v>100</v>
      </c>
      <c r="X21" s="1815"/>
      <c r="Y21" s="3174"/>
      <c r="Z21" s="1816" t="str">
        <f>Q21</f>
        <v>基础设施水平</v>
      </c>
      <c r="AA21" s="1813">
        <f t="shared" ref="AA21" si="8">D21/F21</f>
        <v>1</v>
      </c>
      <c r="AB21" s="1813">
        <f t="shared" ref="AB21" si="9">D21/H21</f>
        <v>1</v>
      </c>
      <c r="AC21" s="1813">
        <f t="shared" ref="AC21" si="10">D21/J21</f>
        <v>1</v>
      </c>
    </row>
    <row r="22" spans="1:29" ht="15">
      <c r="A22" s="428"/>
      <c r="B22" s="1387"/>
      <c r="C22" s="2608"/>
      <c r="D22" s="448"/>
      <c r="E22" s="447"/>
      <c r="F22" s="449"/>
      <c r="G22" s="447"/>
      <c r="H22" s="448"/>
      <c r="I22" s="447"/>
      <c r="J22" s="448"/>
      <c r="K22" s="1386"/>
      <c r="L22" s="1143"/>
      <c r="M22" s="1134"/>
      <c r="N22" s="1134"/>
      <c r="O22" s="1134"/>
      <c r="P22" s="3181"/>
      <c r="Q22" s="1812"/>
      <c r="R22" s="774"/>
      <c r="S22" s="775"/>
      <c r="T22" s="774"/>
      <c r="U22" s="775"/>
      <c r="V22" s="774"/>
      <c r="W22" s="775"/>
      <c r="X22" s="1815"/>
      <c r="Y22" s="3174"/>
      <c r="Z22" s="1816"/>
      <c r="AA22" s="1813">
        <v>1</v>
      </c>
      <c r="AB22" s="1813">
        <v>1</v>
      </c>
      <c r="AC22" s="1813">
        <v>1</v>
      </c>
    </row>
    <row r="23" spans="1:29" ht="15">
      <c r="A23" s="428"/>
      <c r="B23" s="451" t="s">
        <v>2090</v>
      </c>
      <c r="C23" s="2662"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81"/>
      <c r="Q23" s="1812" t="str">
        <f>B23</f>
        <v>自然及人文环境</v>
      </c>
      <c r="R23" s="774" t="s">
        <v>17</v>
      </c>
      <c r="S23" s="775">
        <f>F23</f>
        <v>100</v>
      </c>
      <c r="T23" s="774" t="s">
        <v>17</v>
      </c>
      <c r="U23" s="775">
        <f>H23</f>
        <v>100</v>
      </c>
      <c r="V23" s="774" t="s">
        <v>17</v>
      </c>
      <c r="W23" s="775">
        <f>J23</f>
        <v>100</v>
      </c>
      <c r="X23" s="1815"/>
      <c r="Y23" s="3174"/>
      <c r="Z23" s="1816" t="str">
        <f>Q23</f>
        <v>自然及人文环境</v>
      </c>
      <c r="AA23" s="1813">
        <f t="shared" si="3"/>
        <v>1</v>
      </c>
      <c r="AB23" s="1813">
        <f t="shared" si="4"/>
        <v>1</v>
      </c>
      <c r="AC23" s="1813">
        <f t="shared" si="5"/>
        <v>1</v>
      </c>
    </row>
    <row r="24" spans="1:29" ht="15">
      <c r="A24" s="428"/>
      <c r="B24" s="456"/>
      <c r="C24" s="447"/>
      <c r="D24" s="448"/>
      <c r="E24" s="2605"/>
      <c r="F24" s="449"/>
      <c r="G24" s="2604"/>
      <c r="H24" s="448"/>
      <c r="I24" s="2605"/>
      <c r="J24" s="448"/>
      <c r="K24" s="615"/>
      <c r="L24" s="1143"/>
      <c r="M24" s="1134"/>
      <c r="N24" s="1134"/>
      <c r="O24" s="1134"/>
      <c r="P24" s="3181"/>
      <c r="Q24" s="1812"/>
      <c r="R24" s="774"/>
      <c r="S24" s="775"/>
      <c r="T24" s="774"/>
      <c r="U24" s="775"/>
      <c r="V24" s="774"/>
      <c r="W24" s="775"/>
      <c r="X24" s="1815"/>
      <c r="Y24" s="3174"/>
      <c r="Z24" s="1816"/>
      <c r="AA24" s="1813">
        <v>1</v>
      </c>
      <c r="AB24" s="1813">
        <v>1</v>
      </c>
      <c r="AC24" s="1813">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81"/>
      <c r="Q25" s="1812" t="str">
        <f t="shared" ref="Q25:Q46" si="11">B25</f>
        <v>临街状况</v>
      </c>
      <c r="R25" s="774" t="s">
        <v>17</v>
      </c>
      <c r="S25" s="775">
        <f>F25</f>
        <v>100</v>
      </c>
      <c r="T25" s="774" t="s">
        <v>17</v>
      </c>
      <c r="U25" s="775">
        <f>H25</f>
        <v>100</v>
      </c>
      <c r="V25" s="774" t="s">
        <v>17</v>
      </c>
      <c r="W25" s="775">
        <f>J25</f>
        <v>100</v>
      </c>
      <c r="X25" s="1815"/>
      <c r="Y25" s="3174"/>
      <c r="Z25" s="1816" t="str">
        <f>Q25</f>
        <v>临街状况</v>
      </c>
      <c r="AA25" s="1813">
        <f t="shared" si="3"/>
        <v>1</v>
      </c>
      <c r="AB25" s="1813">
        <f t="shared" si="4"/>
        <v>1</v>
      </c>
      <c r="AC25" s="1813">
        <f t="shared" si="5"/>
        <v>1</v>
      </c>
    </row>
    <row r="26" spans="1:29" ht="15">
      <c r="A26" s="428"/>
      <c r="B26" s="1389" t="s">
        <v>2645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81"/>
      <c r="Q26" s="1812" t="str">
        <f t="shared" si="11"/>
        <v>平面位置/可视性</v>
      </c>
      <c r="R26" s="774" t="s">
        <v>17</v>
      </c>
      <c r="S26" s="775">
        <f>F26</f>
        <v>100</v>
      </c>
      <c r="T26" s="774" t="s">
        <v>17</v>
      </c>
      <c r="U26" s="775">
        <f>H26</f>
        <v>100</v>
      </c>
      <c r="V26" s="774" t="s">
        <v>17</v>
      </c>
      <c r="W26" s="775">
        <f>J26</f>
        <v>100</v>
      </c>
      <c r="X26" s="1815"/>
      <c r="Y26" s="3174"/>
      <c r="Z26" s="1816" t="str">
        <f>Q26</f>
        <v>平面位置/可视性</v>
      </c>
      <c r="AA26" s="1813">
        <f t="shared" si="3"/>
        <v>1</v>
      </c>
      <c r="AB26" s="1813">
        <f t="shared" si="4"/>
        <v>1</v>
      </c>
      <c r="AC26" s="1813">
        <f t="shared" si="5"/>
        <v>1</v>
      </c>
    </row>
    <row r="27" spans="1:29" s="117" customFormat="1" ht="15">
      <c r="A27" s="431"/>
      <c r="B27" s="451" t="s">
        <v>2646</v>
      </c>
      <c r="C27" s="2663"/>
      <c r="D27" s="462">
        <v>100</v>
      </c>
      <c r="E27" s="2663"/>
      <c r="F27" s="464">
        <f>SUMIF(90:90,E27,91:91)-SUMIF(90:90,C27,91:91)+100</f>
        <v>100</v>
      </c>
      <c r="G27" s="2663"/>
      <c r="H27" s="462">
        <f>SUMIF(90:90,G27,91:91)-SUMIF(90:90,C27,91:91)+100</f>
        <v>100</v>
      </c>
      <c r="I27" s="2663"/>
      <c r="J27" s="462">
        <f>SUMIF(90:90,I27,91:91)-SUMIF(90:90,C27,91:91)+100</f>
        <v>100</v>
      </c>
      <c r="K27" s="612"/>
      <c r="L27" s="1135"/>
      <c r="M27" s="1136"/>
      <c r="N27" s="1136"/>
      <c r="O27" s="1136"/>
      <c r="P27" s="3181"/>
      <c r="Q27" s="1797" t="str">
        <f t="shared" si="11"/>
        <v>人流量</v>
      </c>
      <c r="R27" s="770" t="s">
        <v>17</v>
      </c>
      <c r="S27" s="771">
        <f>F27</f>
        <v>100</v>
      </c>
      <c r="T27" s="770" t="s">
        <v>17</v>
      </c>
      <c r="U27" s="771">
        <f>H27</f>
        <v>100</v>
      </c>
      <c r="V27" s="770" t="s">
        <v>17</v>
      </c>
      <c r="W27" s="771">
        <f>J27</f>
        <v>100</v>
      </c>
      <c r="X27" s="772"/>
      <c r="Y27" s="3174"/>
      <c r="Z27" s="55" t="str">
        <f>Q27</f>
        <v>人流量</v>
      </c>
      <c r="AA27" s="1813">
        <f>D27/F27</f>
        <v>1</v>
      </c>
      <c r="AB27" s="1813">
        <f>D27/H27</f>
        <v>1</v>
      </c>
      <c r="AC27" s="1813">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81"/>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4"/>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81"/>
      <c r="Q29" s="1812">
        <f t="shared" si="11"/>
        <v>111</v>
      </c>
      <c r="R29" s="774" t="s">
        <v>17</v>
      </c>
      <c r="S29" s="775">
        <f t="shared" si="12"/>
        <v>100</v>
      </c>
      <c r="T29" s="774" t="s">
        <v>17</v>
      </c>
      <c r="U29" s="775">
        <f t="shared" si="13"/>
        <v>100</v>
      </c>
      <c r="V29" s="774" t="s">
        <v>17</v>
      </c>
      <c r="W29" s="775">
        <f t="shared" si="14"/>
        <v>100</v>
      </c>
      <c r="X29" s="1815"/>
      <c r="Y29" s="3174"/>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81"/>
      <c r="Q30" s="1812">
        <f t="shared" si="11"/>
        <v>111</v>
      </c>
      <c r="R30" s="774" t="s">
        <v>17</v>
      </c>
      <c r="S30" s="775">
        <f t="shared" si="12"/>
        <v>100</v>
      </c>
      <c r="T30" s="774" t="s">
        <v>17</v>
      </c>
      <c r="U30" s="775">
        <f t="shared" si="13"/>
        <v>100</v>
      </c>
      <c r="V30" s="774" t="s">
        <v>17</v>
      </c>
      <c r="W30" s="775">
        <f t="shared" si="14"/>
        <v>100</v>
      </c>
      <c r="X30" s="1815"/>
      <c r="Y30" s="3174"/>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81"/>
      <c r="Q31" s="1812">
        <f t="shared" si="11"/>
        <v>111</v>
      </c>
      <c r="R31" s="774" t="s">
        <v>17</v>
      </c>
      <c r="S31" s="775">
        <f t="shared" si="12"/>
        <v>100</v>
      </c>
      <c r="T31" s="774" t="s">
        <v>17</v>
      </c>
      <c r="U31" s="775">
        <f t="shared" si="13"/>
        <v>100</v>
      </c>
      <c r="V31" s="774" t="s">
        <v>17</v>
      </c>
      <c r="W31" s="775">
        <f t="shared" si="14"/>
        <v>100</v>
      </c>
      <c r="X31" s="1815"/>
      <c r="Y31" s="3174"/>
      <c r="Z31" s="1816">
        <f t="shared" si="15"/>
        <v>111</v>
      </c>
      <c r="AA31" s="1813">
        <f t="shared" si="3"/>
        <v>1</v>
      </c>
      <c r="AB31" s="1813">
        <f t="shared" si="4"/>
        <v>1</v>
      </c>
      <c r="AC31" s="1813">
        <f t="shared" si="5"/>
        <v>1</v>
      </c>
    </row>
    <row r="32" spans="1:29" ht="15">
      <c r="A32" s="440" t="s">
        <v>2551</v>
      </c>
      <c r="B32" s="71" t="s">
        <v>2648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175" t="s">
        <v>2553</v>
      </c>
      <c r="Q32" s="1812" t="str">
        <f t="shared" si="11"/>
        <v>商业类型</v>
      </c>
      <c r="R32" s="774" t="s">
        <v>17</v>
      </c>
      <c r="S32" s="775">
        <f t="shared" si="12"/>
        <v>100</v>
      </c>
      <c r="T32" s="774" t="s">
        <v>17</v>
      </c>
      <c r="U32" s="775">
        <f t="shared" si="13"/>
        <v>100</v>
      </c>
      <c r="V32" s="774" t="s">
        <v>17</v>
      </c>
      <c r="W32" s="775">
        <f t="shared" si="14"/>
        <v>100</v>
      </c>
      <c r="X32" s="1815"/>
      <c r="Y32" s="3178" t="s">
        <v>2553</v>
      </c>
      <c r="Z32" s="1816" t="str">
        <f t="shared" si="15"/>
        <v>商业类型</v>
      </c>
      <c r="AA32" s="1813">
        <f t="shared" si="3"/>
        <v>1</v>
      </c>
      <c r="AB32" s="1813">
        <f t="shared" si="4"/>
        <v>1</v>
      </c>
      <c r="AC32" s="1813">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6"/>
      <c r="Q33" s="776" t="str">
        <f t="shared" si="11"/>
        <v>项目建筑规模</v>
      </c>
      <c r="R33" s="777" t="s">
        <v>17</v>
      </c>
      <c r="S33" s="778" t="e">
        <f t="shared" si="12"/>
        <v>#N/A</v>
      </c>
      <c r="T33" s="777" t="s">
        <v>17</v>
      </c>
      <c r="U33" s="778" t="e">
        <f t="shared" si="13"/>
        <v>#N/A</v>
      </c>
      <c r="V33" s="777" t="s">
        <v>17</v>
      </c>
      <c r="W33" s="778" t="e">
        <f t="shared" si="14"/>
        <v>#N/A</v>
      </c>
      <c r="X33" s="779"/>
      <c r="Y33" s="3178"/>
      <c r="Z33" s="780" t="str">
        <f t="shared" si="15"/>
        <v>项目建筑规模</v>
      </c>
      <c r="AA33" s="1813" t="e">
        <f t="shared" si="3"/>
        <v>#N/A</v>
      </c>
      <c r="AB33" s="1813" t="e">
        <f t="shared" si="4"/>
        <v>#N/A</v>
      </c>
      <c r="AC33" s="1813" t="e">
        <f t="shared" si="5"/>
        <v>#N/A</v>
      </c>
    </row>
    <row r="34" spans="1:29" ht="15">
      <c r="A34" s="472"/>
      <c r="B34" s="422" t="s">
        <v>2555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176"/>
      <c r="Q34" s="1812" t="str">
        <f t="shared" si="11"/>
        <v>建筑结构</v>
      </c>
      <c r="R34" s="774" t="s">
        <v>17</v>
      </c>
      <c r="S34" s="775">
        <f t="shared" si="12"/>
        <v>100</v>
      </c>
      <c r="T34" s="774" t="s">
        <v>17</v>
      </c>
      <c r="U34" s="775">
        <f t="shared" si="13"/>
        <v>100</v>
      </c>
      <c r="V34" s="774" t="s">
        <v>17</v>
      </c>
      <c r="W34" s="775">
        <f t="shared" si="14"/>
        <v>100</v>
      </c>
      <c r="X34" s="1815"/>
      <c r="Y34" s="3178"/>
      <c r="Z34" s="1816" t="str">
        <f t="shared" si="15"/>
        <v>建筑结构</v>
      </c>
      <c r="AA34" s="1813">
        <f t="shared" si="3"/>
        <v>1</v>
      </c>
      <c r="AB34" s="1813">
        <f t="shared" si="4"/>
        <v>1</v>
      </c>
      <c r="AC34" s="1813">
        <f t="shared" si="5"/>
        <v>1</v>
      </c>
    </row>
    <row r="35" spans="1:29" ht="15">
      <c r="A35" s="472"/>
      <c r="B35" s="422" t="s">
        <v>2649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176"/>
      <c r="Q35" s="1812" t="str">
        <f t="shared" si="11"/>
        <v>公共部分装修</v>
      </c>
      <c r="R35" s="774" t="s">
        <v>17</v>
      </c>
      <c r="S35" s="775">
        <f t="shared" si="12"/>
        <v>100</v>
      </c>
      <c r="T35" s="774" t="s">
        <v>17</v>
      </c>
      <c r="U35" s="775">
        <f t="shared" si="13"/>
        <v>100</v>
      </c>
      <c r="V35" s="774" t="s">
        <v>17</v>
      </c>
      <c r="W35" s="775">
        <f t="shared" si="14"/>
        <v>100</v>
      </c>
      <c r="X35" s="1815"/>
      <c r="Y35" s="3178"/>
      <c r="Z35" s="1816" t="str">
        <f t="shared" si="15"/>
        <v>公共部分装修</v>
      </c>
      <c r="AA35" s="1813">
        <f t="shared" si="3"/>
        <v>1</v>
      </c>
      <c r="AB35" s="1813">
        <f t="shared" si="4"/>
        <v>1</v>
      </c>
      <c r="AC35" s="1813">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6"/>
      <c r="Q36" s="1812" t="str">
        <f t="shared" si="11"/>
        <v>成新度</v>
      </c>
      <c r="R36" s="774" t="s">
        <v>17</v>
      </c>
      <c r="S36" s="775" t="e">
        <f t="shared" si="12"/>
        <v>#N/A</v>
      </c>
      <c r="T36" s="774" t="s">
        <v>17</v>
      </c>
      <c r="U36" s="775" t="e">
        <f t="shared" si="13"/>
        <v>#N/A</v>
      </c>
      <c r="V36" s="774" t="s">
        <v>17</v>
      </c>
      <c r="W36" s="775" t="e">
        <f t="shared" si="14"/>
        <v>#N/A</v>
      </c>
      <c r="X36" s="1815"/>
      <c r="Y36" s="3178"/>
      <c r="Z36" s="1816" t="str">
        <f t="shared" si="15"/>
        <v>成新度</v>
      </c>
      <c r="AA36" s="1813" t="e">
        <f t="shared" si="3"/>
        <v>#N/A</v>
      </c>
      <c r="AB36" s="1813" t="e">
        <f t="shared" si="4"/>
        <v>#N/A</v>
      </c>
      <c r="AC36" s="1813" t="e">
        <f t="shared" si="5"/>
        <v>#N/A</v>
      </c>
    </row>
    <row r="37" spans="1:29" s="117" customFormat="1" ht="15">
      <c r="A37" s="473"/>
      <c r="B37" s="422" t="s">
        <v>2651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176"/>
      <c r="Q37" s="1797" t="str">
        <f t="shared" si="11"/>
        <v>市政基础设施</v>
      </c>
      <c r="R37" s="770" t="s">
        <v>17</v>
      </c>
      <c r="S37" s="771">
        <f t="shared" si="12"/>
        <v>100</v>
      </c>
      <c r="T37" s="770" t="s">
        <v>17</v>
      </c>
      <c r="U37" s="771">
        <f t="shared" si="13"/>
        <v>100</v>
      </c>
      <c r="V37" s="770" t="s">
        <v>17</v>
      </c>
      <c r="W37" s="771">
        <f t="shared" si="14"/>
        <v>100</v>
      </c>
      <c r="X37" s="772"/>
      <c r="Y37" s="3178"/>
      <c r="Z37" s="55" t="str">
        <f t="shared" si="15"/>
        <v>市政基础设施</v>
      </c>
      <c r="AA37" s="773">
        <f t="shared" si="3"/>
        <v>1</v>
      </c>
      <c r="AB37" s="773">
        <f t="shared" si="4"/>
        <v>1</v>
      </c>
      <c r="AC37" s="773">
        <f t="shared" si="5"/>
        <v>1</v>
      </c>
    </row>
    <row r="38" spans="1:29" ht="15">
      <c r="A38" s="472"/>
      <c r="B38" s="422" t="s">
        <v>2652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176" t="s">
        <v>2553</v>
      </c>
      <c r="Q38" s="1812" t="str">
        <f t="shared" si="11"/>
        <v>业态</v>
      </c>
      <c r="R38" s="774" t="s">
        <v>17</v>
      </c>
      <c r="S38" s="775">
        <f t="shared" si="12"/>
        <v>100</v>
      </c>
      <c r="T38" s="774" t="s">
        <v>17</v>
      </c>
      <c r="U38" s="775">
        <f t="shared" si="13"/>
        <v>100</v>
      </c>
      <c r="V38" s="774" t="s">
        <v>17</v>
      </c>
      <c r="W38" s="775">
        <f t="shared" si="14"/>
        <v>100</v>
      </c>
      <c r="X38" s="1815"/>
      <c r="Y38" s="3178" t="s">
        <v>2553</v>
      </c>
      <c r="Z38" s="1816" t="str">
        <f t="shared" si="15"/>
        <v>业态</v>
      </c>
      <c r="AA38" s="1813">
        <f t="shared" si="3"/>
        <v>1</v>
      </c>
      <c r="AB38" s="1813">
        <f t="shared" si="4"/>
        <v>1</v>
      </c>
      <c r="AC38" s="1813">
        <f t="shared" si="5"/>
        <v>1</v>
      </c>
    </row>
    <row r="39" spans="1:29" ht="15">
      <c r="A39" s="472"/>
      <c r="B39" s="422" t="s">
        <v>2653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176"/>
      <c r="Q39" s="1812" t="str">
        <f t="shared" si="11"/>
        <v>层高</v>
      </c>
      <c r="R39" s="774" t="s">
        <v>17</v>
      </c>
      <c r="S39" s="775">
        <f t="shared" si="12"/>
        <v>100</v>
      </c>
      <c r="T39" s="774" t="s">
        <v>17</v>
      </c>
      <c r="U39" s="775">
        <f t="shared" si="13"/>
        <v>100</v>
      </c>
      <c r="V39" s="774" t="s">
        <v>17</v>
      </c>
      <c r="W39" s="775">
        <f t="shared" si="14"/>
        <v>100</v>
      </c>
      <c r="X39" s="1815"/>
      <c r="Y39" s="3178"/>
      <c r="Z39" s="1816" t="str">
        <f t="shared" si="15"/>
        <v>层高</v>
      </c>
      <c r="AA39" s="1813">
        <f t="shared" si="3"/>
        <v>1</v>
      </c>
      <c r="AB39" s="1813">
        <f t="shared" si="4"/>
        <v>1</v>
      </c>
      <c r="AC39" s="1813">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6"/>
      <c r="Q40" s="1812" t="str">
        <f t="shared" si="11"/>
        <v>单套建筑面积</v>
      </c>
      <c r="R40" s="774" t="s">
        <v>17</v>
      </c>
      <c r="S40" s="775">
        <f t="shared" si="12"/>
        <v>100</v>
      </c>
      <c r="T40" s="774" t="s">
        <v>17</v>
      </c>
      <c r="U40" s="775">
        <f t="shared" si="13"/>
        <v>100</v>
      </c>
      <c r="V40" s="774" t="s">
        <v>17</v>
      </c>
      <c r="W40" s="775">
        <f t="shared" si="14"/>
        <v>100</v>
      </c>
      <c r="X40" s="1815"/>
      <c r="Y40" s="3178"/>
      <c r="Z40" s="1816" t="str">
        <f t="shared" si="15"/>
        <v>单套建筑面积</v>
      </c>
      <c r="AA40" s="1813">
        <f t="shared" si="3"/>
        <v>1</v>
      </c>
      <c r="AB40" s="1813">
        <f t="shared" si="4"/>
        <v>1</v>
      </c>
      <c r="AC40" s="1813">
        <f t="shared" si="5"/>
        <v>1</v>
      </c>
    </row>
    <row r="41" spans="1:29" s="471" customFormat="1" ht="15">
      <c r="A41" s="468"/>
      <c r="B41" s="1814"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6"/>
      <c r="Q41" s="776" t="str">
        <f t="shared" si="11"/>
        <v>进深比</v>
      </c>
      <c r="R41" s="777" t="s">
        <v>17</v>
      </c>
      <c r="S41" s="778">
        <f t="shared" si="12"/>
        <v>100</v>
      </c>
      <c r="T41" s="777" t="s">
        <v>17</v>
      </c>
      <c r="U41" s="778">
        <f t="shared" si="13"/>
        <v>100</v>
      </c>
      <c r="V41" s="777" t="s">
        <v>17</v>
      </c>
      <c r="W41" s="778">
        <f t="shared" si="14"/>
        <v>100</v>
      </c>
      <c r="X41" s="779"/>
      <c r="Y41" s="3178"/>
      <c r="Z41" s="780" t="str">
        <f t="shared" si="15"/>
        <v>进深比</v>
      </c>
      <c r="AA41" s="1813">
        <f t="shared" si="3"/>
        <v>1</v>
      </c>
      <c r="AB41" s="1813">
        <f t="shared" si="4"/>
        <v>1</v>
      </c>
      <c r="AC41" s="1813">
        <f t="shared" si="5"/>
        <v>1</v>
      </c>
    </row>
    <row r="42" spans="1:29" ht="15">
      <c r="A42" s="472"/>
      <c r="B42" s="422" t="s">
        <v>2656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176"/>
      <c r="Q42" s="1812" t="str">
        <f t="shared" si="11"/>
        <v>内部装修</v>
      </c>
      <c r="R42" s="774" t="s">
        <v>17</v>
      </c>
      <c r="S42" s="775">
        <f t="shared" si="12"/>
        <v>100</v>
      </c>
      <c r="T42" s="774" t="s">
        <v>17</v>
      </c>
      <c r="U42" s="775">
        <f t="shared" si="13"/>
        <v>100</v>
      </c>
      <c r="V42" s="774" t="s">
        <v>17</v>
      </c>
      <c r="W42" s="775">
        <f t="shared" si="14"/>
        <v>100</v>
      </c>
      <c r="X42" s="1815"/>
      <c r="Y42" s="3178"/>
      <c r="Z42" s="1816" t="str">
        <f t="shared" si="15"/>
        <v>内部装修</v>
      </c>
      <c r="AA42" s="1813">
        <f t="shared" si="3"/>
        <v>1</v>
      </c>
      <c r="AB42" s="1813">
        <f t="shared" si="4"/>
        <v>1</v>
      </c>
      <c r="AC42" s="1813">
        <f t="shared" si="5"/>
        <v>1</v>
      </c>
    </row>
    <row r="43" spans="1:29" ht="15">
      <c r="A43" s="472"/>
      <c r="B43" s="422" t="s">
        <v>2564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176"/>
      <c r="Q43" s="1812" t="str">
        <f t="shared" si="11"/>
        <v>内部装修维护情况</v>
      </c>
      <c r="R43" s="774" t="s">
        <v>17</v>
      </c>
      <c r="S43" s="775">
        <f t="shared" si="12"/>
        <v>100</v>
      </c>
      <c r="T43" s="774" t="s">
        <v>17</v>
      </c>
      <c r="U43" s="775">
        <f t="shared" si="13"/>
        <v>100</v>
      </c>
      <c r="V43" s="774" t="s">
        <v>17</v>
      </c>
      <c r="W43" s="775">
        <f t="shared" si="14"/>
        <v>100</v>
      </c>
      <c r="X43" s="1815"/>
      <c r="Y43" s="3178"/>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6"/>
      <c r="Q44" s="1797">
        <f t="shared" si="11"/>
        <v>111</v>
      </c>
      <c r="R44" s="770" t="s">
        <v>17</v>
      </c>
      <c r="S44" s="771">
        <f t="shared" si="12"/>
        <v>100</v>
      </c>
      <c r="T44" s="770" t="s">
        <v>17</v>
      </c>
      <c r="U44" s="771">
        <f t="shared" si="13"/>
        <v>100</v>
      </c>
      <c r="V44" s="770" t="s">
        <v>17</v>
      </c>
      <c r="W44" s="771">
        <f t="shared" si="14"/>
        <v>100</v>
      </c>
      <c r="X44" s="772"/>
      <c r="Y44" s="3178"/>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6"/>
      <c r="Q45" s="1812">
        <f t="shared" si="11"/>
        <v>111</v>
      </c>
      <c r="R45" s="774" t="s">
        <v>17</v>
      </c>
      <c r="S45" s="775">
        <f t="shared" si="12"/>
        <v>100</v>
      </c>
      <c r="T45" s="774" t="s">
        <v>17</v>
      </c>
      <c r="U45" s="775">
        <f t="shared" si="13"/>
        <v>100</v>
      </c>
      <c r="V45" s="774" t="s">
        <v>17</v>
      </c>
      <c r="W45" s="775">
        <f t="shared" si="14"/>
        <v>100</v>
      </c>
      <c r="X45" s="1815"/>
      <c r="Y45" s="3178"/>
      <c r="Z45" s="1816">
        <f t="shared" si="15"/>
        <v>111</v>
      </c>
      <c r="AA45" s="1813">
        <f t="shared" si="3"/>
        <v>1</v>
      </c>
      <c r="AB45" s="1813">
        <f t="shared" si="4"/>
        <v>1</v>
      </c>
      <c r="AC45" s="1813">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7"/>
      <c r="Q46" s="1812">
        <f t="shared" si="11"/>
        <v>111</v>
      </c>
      <c r="R46" s="774" t="s">
        <v>17</v>
      </c>
      <c r="S46" s="775">
        <f t="shared" si="12"/>
        <v>100</v>
      </c>
      <c r="T46" s="774" t="s">
        <v>17</v>
      </c>
      <c r="U46" s="775">
        <f t="shared" si="13"/>
        <v>100</v>
      </c>
      <c r="V46" s="774" t="s">
        <v>17</v>
      </c>
      <c r="W46" s="775">
        <f t="shared" si="14"/>
        <v>100</v>
      </c>
      <c r="X46" s="1815"/>
      <c r="Y46" s="3179"/>
      <c r="Z46" s="1816">
        <f t="shared" si="15"/>
        <v>111</v>
      </c>
      <c r="AA46" s="1813">
        <f t="shared" si="3"/>
        <v>1</v>
      </c>
      <c r="AB46" s="1813">
        <f t="shared" si="4"/>
        <v>1</v>
      </c>
      <c r="AC46" s="1813">
        <f t="shared" si="5"/>
        <v>1</v>
      </c>
    </row>
    <row r="47" spans="1:29" ht="15">
      <c r="A47" s="479" t="s">
        <v>2565</v>
      </c>
      <c r="B47" s="480"/>
      <c r="C47" s="1410" t="s">
        <v>1</v>
      </c>
      <c r="D47" s="1411"/>
      <c r="E47" s="1412"/>
      <c r="F47" s="1413"/>
      <c r="G47" s="1414"/>
      <c r="H47" s="1415"/>
      <c r="I47" s="1412"/>
      <c r="J47" s="1415"/>
      <c r="K47" s="783"/>
      <c r="L47" s="1146"/>
      <c r="M47" s="1147"/>
      <c r="N47" s="1134"/>
      <c r="O47" s="1147"/>
      <c r="P47" s="3171" t="str">
        <f>A47</f>
        <v>成交单价（元/平方米）</v>
      </c>
      <c r="Q47" s="3171"/>
      <c r="R47" s="3202">
        <f>E47</f>
        <v>0</v>
      </c>
      <c r="S47" s="3202"/>
      <c r="T47" s="3202">
        <f>G47</f>
        <v>0</v>
      </c>
      <c r="U47" s="3202"/>
      <c r="V47" s="3202">
        <f>I47</f>
        <v>0</v>
      </c>
      <c r="W47" s="3202"/>
      <c r="X47" s="759"/>
      <c r="Y47" s="781"/>
      <c r="Z47" s="759"/>
      <c r="AA47" s="759"/>
      <c r="AB47" s="759"/>
      <c r="AC47" s="759"/>
    </row>
    <row r="48" spans="1:29" ht="15.75" thickBot="1">
      <c r="A48" s="486" t="s">
        <v>2657</v>
      </c>
      <c r="B48" s="487"/>
      <c r="C48" s="1416" t="e">
        <f>R49</f>
        <v>#DIV/0!</v>
      </c>
      <c r="D48" s="1417"/>
      <c r="E48" s="1418" t="e">
        <f>R48</f>
        <v>#DIV/0!</v>
      </c>
      <c r="F48" s="1418"/>
      <c r="G48" s="1416" t="e">
        <f>T48</f>
        <v>#DIV/0!</v>
      </c>
      <c r="H48" s="1417"/>
      <c r="I48" s="1418" t="e">
        <f>V48</f>
        <v>#DIV/0!</v>
      </c>
      <c r="J48" s="1417"/>
      <c r="K48" s="784"/>
      <c r="L48" s="1146"/>
      <c r="M48" s="1147"/>
      <c r="N48" s="1134"/>
      <c r="O48" s="1147"/>
      <c r="P48" s="3171" t="str">
        <f>A48</f>
        <v>比较价值（元/平方米）</v>
      </c>
      <c r="Q48" s="3171"/>
      <c r="R48" s="3172" t="e">
        <f>IF(F1="售价",ROUND(PRODUCT(R47,AA7:AA46),0),ROUND(PRODUCT(R47,AA7:AA46),1))</f>
        <v>#DIV/0!</v>
      </c>
      <c r="S48" s="3172"/>
      <c r="T48" s="3172" t="e">
        <f>IF(F1="售价",ROUND(PRODUCT(T47,AB7:AB46),0),ROUND(PRODUCT(T47,AB7:AB46),1))</f>
        <v>#DIV/0!</v>
      </c>
      <c r="U48" s="3172"/>
      <c r="V48" s="3172" t="e">
        <f>IF(F1="售价",ROUND(PRODUCT(V47,AC7:AC46),0),ROUND(PRODUCT(V47,AC7:AC46),1))</f>
        <v>#DIV/0!</v>
      </c>
      <c r="W48" s="3172"/>
      <c r="X48" s="759"/>
      <c r="Y48" s="759"/>
      <c r="Z48" s="759"/>
      <c r="AA48" s="759"/>
      <c r="AB48" s="759"/>
      <c r="AC48" s="759"/>
    </row>
    <row r="49" spans="1:29" ht="15.75" thickBot="1">
      <c r="A49" s="492" t="s">
        <v>2658</v>
      </c>
      <c r="B49" s="493"/>
      <c r="C49" s="1420" t="e">
        <f>R49</f>
        <v>#DIV/0!</v>
      </c>
      <c r="D49" s="1420"/>
      <c r="E49" s="1420"/>
      <c r="F49" s="1420"/>
      <c r="G49" s="1420"/>
      <c r="H49" s="1420"/>
      <c r="I49" s="1420"/>
      <c r="J49" s="1420"/>
      <c r="K49" s="785"/>
      <c r="L49" s="1146"/>
      <c r="M49" s="1147"/>
      <c r="N49" s="1134"/>
      <c r="O49" s="1147"/>
      <c r="P49" s="3168" t="str">
        <f>A49</f>
        <v>估价对象XX用房的比较价值（楼面单价，元/平方米）</v>
      </c>
      <c r="Q49" s="3169"/>
      <c r="R49" s="3170" t="e">
        <f>IF(F1="售价",ROUND(AVERAGE(R48:V48),0),ROUND(AVERAGE(R48:V48),1))</f>
        <v>#DIV/0!</v>
      </c>
      <c r="S49" s="3170"/>
      <c r="T49" s="3170"/>
      <c r="U49" s="3170"/>
      <c r="V49" s="3170"/>
      <c r="W49" s="317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4"/>
      <c r="M57" s="1162"/>
      <c r="N57" s="1162"/>
      <c r="O57" s="1162"/>
      <c r="P57" s="2665"/>
      <c r="Q57" s="2666"/>
      <c r="R57" s="759"/>
      <c r="S57" s="759"/>
      <c r="T57" s="759"/>
      <c r="U57" s="759"/>
      <c r="V57" s="759"/>
      <c r="W57" s="759"/>
      <c r="X57" s="759"/>
      <c r="Y57" s="759"/>
      <c r="Z57" s="759"/>
      <c r="AA57" s="759"/>
      <c r="AB57" s="759"/>
      <c r="AC57" s="759"/>
    </row>
    <row r="58" spans="1:29" s="508" customFormat="1" ht="15">
      <c r="A58" s="505" t="s">
        <v>2536</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26"/>
    </row>
    <row r="60" spans="1:29" s="117" customFormat="1" ht="15.75" thickBot="1">
      <c r="A60" s="515" t="s">
        <v>2573</v>
      </c>
      <c r="B60" s="516"/>
      <c r="C60" s="517"/>
      <c r="D60" s="518"/>
      <c r="E60" s="518"/>
      <c r="F60" s="518"/>
      <c r="G60" s="518"/>
      <c r="H60" s="518"/>
      <c r="I60" s="518"/>
      <c r="J60" s="518"/>
      <c r="K60" s="518"/>
      <c r="L60" s="518"/>
      <c r="M60" s="519"/>
      <c r="N60" s="518"/>
      <c r="O60" s="519"/>
      <c r="P60" s="2626"/>
      <c r="Q60" s="504"/>
    </row>
    <row r="61" spans="1:29" s="117" customFormat="1" ht="15">
      <c r="A61" s="521" t="s">
        <v>2538</v>
      </c>
      <c r="B61" s="510"/>
      <c r="C61" s="522" t="s">
        <v>2640</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2576</v>
      </c>
      <c r="B63" s="528" t="s">
        <v>2542</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8"/>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36"/>
      <c r="E73" s="536"/>
      <c r="F73" s="536"/>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2643</v>
      </c>
      <c r="C82" s="660" t="s">
        <v>2663</v>
      </c>
      <c r="D82" s="660" t="s">
        <v>2664</v>
      </c>
      <c r="E82" s="660" t="s">
        <v>2665</v>
      </c>
      <c r="F82" s="660" t="s">
        <v>2666</v>
      </c>
      <c r="G82" s="660" t="s">
        <v>2667</v>
      </c>
      <c r="H82" s="539"/>
      <c r="I82" s="539"/>
      <c r="J82" s="539"/>
      <c r="K82" s="539"/>
      <c r="L82" s="539"/>
      <c r="M82" s="1385"/>
      <c r="N82" s="1156"/>
      <c r="O82" s="1156"/>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8"/>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2668</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4"/>
      <c r="O88" s="1154"/>
      <c r="P88" s="2628"/>
      <c r="Q88" s="504"/>
    </row>
    <row r="89" spans="1:17" s="117" customFormat="1" ht="15.75" thickBot="1">
      <c r="A89" s="579"/>
      <c r="B89" s="543"/>
      <c r="C89" s="560"/>
      <c r="D89" s="536"/>
      <c r="E89" s="536"/>
      <c r="F89" s="536"/>
      <c r="G89" s="536"/>
      <c r="H89" s="536"/>
      <c r="I89" s="536"/>
      <c r="J89" s="536"/>
      <c r="K89" s="536"/>
      <c r="L89" s="536"/>
      <c r="M89" s="536"/>
      <c r="N89" s="1156"/>
      <c r="O89" s="1156"/>
      <c r="P89" s="262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9"/>
      <c r="Q91" s="559"/>
    </row>
    <row r="92" spans="1:17" ht="15.75" thickTop="1">
      <c r="A92" s="534"/>
      <c r="B92" s="538" t="str">
        <f>B28</f>
        <v>楼层</v>
      </c>
      <c r="C92" s="554"/>
      <c r="D92" s="554"/>
      <c r="E92" s="554"/>
      <c r="F92" s="554"/>
      <c r="G92" s="554"/>
      <c r="H92" s="554"/>
      <c r="I92" s="554"/>
      <c r="J92" s="554"/>
      <c r="K92" s="554"/>
      <c r="L92" s="580"/>
      <c r="M92" s="581"/>
      <c r="N92" s="1155"/>
      <c r="O92" s="1155"/>
      <c r="P92" s="2628"/>
      <c r="Q92" s="504"/>
    </row>
    <row r="93" spans="1:17" ht="15.75" thickBot="1">
      <c r="A93" s="534"/>
      <c r="B93" s="543"/>
      <c r="C93" s="536"/>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36"/>
      <c r="E95" s="536"/>
      <c r="F95" s="536"/>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60"/>
      <c r="D97" s="536"/>
      <c r="E97" s="536"/>
      <c r="F97" s="536"/>
      <c r="G97" s="536"/>
      <c r="H97" s="536"/>
      <c r="I97" s="536"/>
      <c r="J97" s="536"/>
      <c r="K97" s="536"/>
      <c r="L97" s="536"/>
      <c r="M97" s="537"/>
      <c r="N97" s="1156"/>
      <c r="O97" s="1156"/>
      <c r="P97" s="2628"/>
      <c r="Q97" s="504"/>
    </row>
    <row r="98" spans="1:17" ht="15.75" thickTop="1">
      <c r="A98" s="534"/>
      <c r="B98" s="546">
        <f>B31</f>
        <v>111</v>
      </c>
      <c r="C98" s="554"/>
      <c r="D98" s="554"/>
      <c r="E98" s="554"/>
      <c r="F98" s="554"/>
      <c r="G98" s="587"/>
      <c r="H98" s="587"/>
      <c r="I98" s="587"/>
      <c r="J98" s="587"/>
      <c r="K98" s="588"/>
      <c r="L98" s="589"/>
      <c r="M98" s="590"/>
      <c r="N98" s="1155"/>
      <c r="O98" s="1155"/>
      <c r="P98" s="2628"/>
      <c r="Q98" s="504"/>
    </row>
    <row r="99" spans="1:17" ht="15.75" thickBot="1">
      <c r="A99" s="2634"/>
      <c r="B99" s="569"/>
      <c r="C99" s="570"/>
      <c r="D99" s="570"/>
      <c r="E99" s="570"/>
      <c r="F99" s="570"/>
      <c r="G99" s="591"/>
      <c r="H99" s="591"/>
      <c r="I99" s="591"/>
      <c r="J99" s="591"/>
      <c r="K99" s="591"/>
      <c r="L99" s="591"/>
      <c r="M99" s="592"/>
      <c r="N99" s="1156"/>
      <c r="O99" s="1156"/>
      <c r="P99" s="2628"/>
      <c r="Q99" s="504"/>
    </row>
    <row r="100" spans="1:17">
      <c r="A100" s="527" t="s">
        <v>2551</v>
      </c>
      <c r="B100" s="528" t="s">
        <v>2669</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8"/>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9"/>
      <c r="Q104" s="559"/>
    </row>
    <row r="105" spans="1:17" ht="15" thickTop="1">
      <c r="A105" s="599"/>
      <c r="B105" s="538" t="s">
        <v>2602</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8"/>
      <c r="Q106" s="504"/>
    </row>
    <row r="107" spans="1:17" ht="15" thickTop="1">
      <c r="A107" s="599"/>
      <c r="B107" s="538" t="s">
        <v>2604</v>
      </c>
      <c r="C107" s="554"/>
      <c r="D107" s="554"/>
      <c r="E107" s="554"/>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8"/>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8"/>
      <c r="Q111" s="504"/>
    </row>
    <row r="112" spans="1:17" s="471" customFormat="1" ht="15" thickTop="1">
      <c r="A112" s="593"/>
      <c r="B112" s="538" t="s">
        <v>2606</v>
      </c>
      <c r="C112" s="554"/>
      <c r="D112" s="554"/>
      <c r="E112" s="554"/>
      <c r="F112" s="554"/>
      <c r="G112" s="554"/>
      <c r="H112" s="583"/>
      <c r="I112" s="583"/>
      <c r="J112" s="583"/>
      <c r="K112" s="584"/>
      <c r="L112" s="585"/>
      <c r="M112" s="586"/>
      <c r="N112" s="1157"/>
      <c r="O112" s="1157"/>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9"/>
      <c r="Q113" s="559"/>
    </row>
    <row r="114" spans="1:17" ht="15" thickTop="1">
      <c r="A114" s="599"/>
      <c r="B114" s="538" t="s">
        <v>2670</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8"/>
      <c r="Q115" s="504"/>
    </row>
    <row r="116" spans="1:17" ht="15" thickTop="1">
      <c r="A116" s="599"/>
      <c r="B116" s="538" t="s">
        <v>2671</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2672</v>
      </c>
      <c r="C118" s="627"/>
      <c r="D118" s="627"/>
      <c r="E118" s="627"/>
      <c r="F118" s="627"/>
      <c r="G118" s="627"/>
      <c r="H118" s="555"/>
      <c r="I118" s="555"/>
      <c r="J118" s="555"/>
      <c r="K118" s="555"/>
      <c r="L118" s="556"/>
      <c r="M118" s="557"/>
      <c r="N118" s="1155"/>
      <c r="O118" s="1155"/>
      <c r="P118" s="2628"/>
      <c r="Q118" s="504"/>
    </row>
    <row r="119" spans="1:17" ht="15.75" thickBot="1">
      <c r="A119" s="534"/>
      <c r="B119" s="543"/>
      <c r="C119" s="560"/>
      <c r="D119" s="536"/>
      <c r="E119" s="536"/>
      <c r="F119" s="536"/>
      <c r="G119" s="536"/>
      <c r="H119" s="536"/>
      <c r="I119" s="536"/>
      <c r="J119" s="536"/>
      <c r="K119" s="536"/>
      <c r="L119" s="536"/>
      <c r="M119" s="537"/>
      <c r="N119" s="1156"/>
      <c r="O119" s="1156"/>
      <c r="P119" s="2628"/>
      <c r="Q119" s="504"/>
    </row>
    <row r="120" spans="1:17" s="471" customFormat="1" ht="15" thickTop="1">
      <c r="A120" s="593"/>
      <c r="B120" s="538" t="s">
        <v>2673</v>
      </c>
      <c r="C120" s="583"/>
      <c r="D120" s="583"/>
      <c r="E120" s="583"/>
      <c r="F120" s="583"/>
      <c r="G120" s="555"/>
      <c r="H120" s="555"/>
      <c r="I120" s="555"/>
      <c r="J120" s="555"/>
      <c r="K120" s="555"/>
      <c r="L120" s="556"/>
      <c r="M120" s="557"/>
      <c r="N120" s="1157"/>
      <c r="O120" s="1157"/>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9"/>
      <c r="Q121" s="559"/>
    </row>
    <row r="122" spans="1:17" ht="15" thickTop="1">
      <c r="A122" s="599"/>
      <c r="B122" s="538" t="s">
        <v>2608</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8"/>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36"/>
      <c r="E129" s="536"/>
      <c r="F129" s="536"/>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67" t="s">
        <v>2674</v>
      </c>
      <c r="C1" s="1623" t="s">
        <v>2518</v>
      </c>
      <c r="D1" s="1624"/>
      <c r="E1" s="1633"/>
      <c r="F1" s="2585"/>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IF(C2="——",ROUND(C50*D3/10000,0),ROUND(C50*D3/10000,0)-D2)</f>
        <v>#DIV/0!</v>
      </c>
      <c r="C2" s="2587"/>
      <c r="D2" s="1368" t="e">
        <f ca="1">SUMIF(INDIRECT("'"&amp;F2&amp;"'"&amp;"!A:A"),"承租人权益价值",INDIRECT("'"&amp;F2&amp;"'"&amp;"!c:c"))</f>
        <v>#REF!</v>
      </c>
      <c r="E2" s="2588" t="s">
        <v>2316</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2632</v>
      </c>
      <c r="D3" s="399">
        <f>IF(D1="",'数据-汇总表'!E3,SUMIF('数据-汇总表'!$C19:$C33,D1,'数据-汇总表'!$E19:$E33))</f>
        <v>91.52</v>
      </c>
      <c r="E3" s="266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2633</v>
      </c>
      <c r="B4" s="402"/>
      <c r="C4" s="3186" t="s">
        <v>2634</v>
      </c>
      <c r="D4" s="3187"/>
      <c r="E4" s="3188" t="s">
        <v>2635</v>
      </c>
      <c r="F4" s="3189"/>
      <c r="G4" s="3186" t="s">
        <v>2636</v>
      </c>
      <c r="H4" s="3187"/>
      <c r="I4" s="3186" t="s">
        <v>2637</v>
      </c>
      <c r="J4" s="3187"/>
      <c r="K4" s="610" t="s">
        <v>2638</v>
      </c>
      <c r="L4" s="1133"/>
      <c r="M4" s="1134"/>
      <c r="N4" s="1134"/>
      <c r="O4" s="1134"/>
      <c r="P4" s="3243" t="s">
        <v>2639</v>
      </c>
      <c r="Q4" s="3244"/>
      <c r="R4" s="3247" t="s">
        <v>2635</v>
      </c>
      <c r="S4" s="3248"/>
      <c r="T4" s="3247" t="s">
        <v>2636</v>
      </c>
      <c r="U4" s="3248"/>
      <c r="V4" s="3249" t="s">
        <v>2637</v>
      </c>
      <c r="W4" s="3249"/>
      <c r="X4" s="2668"/>
      <c r="Y4" s="3247" t="s">
        <v>2639</v>
      </c>
      <c r="Z4" s="3248"/>
      <c r="AA4" s="3251" t="s">
        <v>2635</v>
      </c>
      <c r="AB4" s="3251" t="s">
        <v>2636</v>
      </c>
      <c r="AC4" s="3240" t="s">
        <v>2637</v>
      </c>
    </row>
    <row r="5" spans="1:29" ht="15">
      <c r="A5" s="404"/>
      <c r="B5" s="405"/>
      <c r="C5" s="3234" t="s">
        <v>2530</v>
      </c>
      <c r="D5" s="3206"/>
      <c r="E5" s="3235" t="s">
        <v>2531</v>
      </c>
      <c r="F5" s="3236"/>
      <c r="G5" s="3234" t="s">
        <v>2532</v>
      </c>
      <c r="H5" s="3206"/>
      <c r="I5" s="3234" t="s">
        <v>2533</v>
      </c>
      <c r="J5" s="3206"/>
      <c r="K5" s="610"/>
      <c r="L5" s="1133"/>
      <c r="M5" s="1134"/>
      <c r="N5" s="1134"/>
      <c r="O5" s="1134"/>
      <c r="P5" s="3245"/>
      <c r="Q5" s="3193"/>
      <c r="R5" s="3198"/>
      <c r="S5" s="3199"/>
      <c r="T5" s="3198"/>
      <c r="U5" s="3199"/>
      <c r="V5" s="3202"/>
      <c r="W5" s="3202"/>
      <c r="X5" s="1815"/>
      <c r="Y5" s="3198"/>
      <c r="Z5" s="3199"/>
      <c r="AA5" s="3184"/>
      <c r="AB5" s="3184"/>
      <c r="AC5" s="3241"/>
    </row>
    <row r="6" spans="1:29" ht="15.75" thickBot="1">
      <c r="A6" s="406"/>
      <c r="B6" s="407"/>
      <c r="C6" s="3203" t="s">
        <v>2534</v>
      </c>
      <c r="D6" s="3204"/>
      <c r="E6" s="3210" t="s">
        <v>2534</v>
      </c>
      <c r="F6" s="3211"/>
      <c r="G6" s="3203" t="s">
        <v>2534</v>
      </c>
      <c r="H6" s="3204"/>
      <c r="I6" s="3203" t="s">
        <v>2534</v>
      </c>
      <c r="J6" s="3204"/>
      <c r="K6" s="610" t="s">
        <v>2535</v>
      </c>
      <c r="L6" s="1133"/>
      <c r="M6" s="1134"/>
      <c r="N6" s="1134"/>
      <c r="O6" s="1134"/>
      <c r="P6" s="3246"/>
      <c r="Q6" s="3195"/>
      <c r="R6" s="3198"/>
      <c r="S6" s="3199"/>
      <c r="T6" s="3200"/>
      <c r="U6" s="3201"/>
      <c r="V6" s="3202"/>
      <c r="W6" s="3202"/>
      <c r="X6" s="1815"/>
      <c r="Y6" s="3200"/>
      <c r="Z6" s="3201"/>
      <c r="AA6" s="3185"/>
      <c r="AB6" s="3185"/>
      <c r="AC6" s="3242"/>
    </row>
    <row r="7" spans="1:29" s="117" customFormat="1" ht="15.75" thickBot="1">
      <c r="A7" s="408" t="s">
        <v>2536</v>
      </c>
      <c r="B7" s="409"/>
      <c r="C7" s="410">
        <f>'数据-取费表'!B2</f>
        <v>43249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0" t="s">
        <v>2537</v>
      </c>
      <c r="Q7" s="3209"/>
      <c r="R7" s="770" t="s">
        <v>17</v>
      </c>
      <c r="S7" s="771">
        <f t="shared" ref="S7:S15" si="0">F7</f>
        <v>0</v>
      </c>
      <c r="T7" s="770" t="s">
        <v>17</v>
      </c>
      <c r="U7" s="771">
        <f t="shared" ref="U7:U15" si="1">H7</f>
        <v>0</v>
      </c>
      <c r="V7" s="770" t="s">
        <v>17</v>
      </c>
      <c r="W7" s="771">
        <f t="shared" ref="W7:W15" si="2">J7</f>
        <v>0</v>
      </c>
      <c r="X7" s="772"/>
      <c r="Y7" s="3207" t="s">
        <v>2537</v>
      </c>
      <c r="Z7" s="3208"/>
      <c r="AA7" s="773" t="e">
        <f>D7/F7</f>
        <v>#DIV/0!</v>
      </c>
      <c r="AB7" s="773" t="e">
        <f>D7/H7</f>
        <v>#DIV/0!</v>
      </c>
      <c r="AC7" s="2669"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0" t="s">
        <v>2540</v>
      </c>
      <c r="Q8" s="3208"/>
      <c r="R8" s="770" t="s">
        <v>17</v>
      </c>
      <c r="S8" s="771">
        <f t="shared" si="0"/>
        <v>0</v>
      </c>
      <c r="T8" s="770" t="s">
        <v>17</v>
      </c>
      <c r="U8" s="771">
        <f t="shared" si="1"/>
        <v>0</v>
      </c>
      <c r="V8" s="770" t="s">
        <v>17</v>
      </c>
      <c r="W8" s="771">
        <f t="shared" si="2"/>
        <v>0</v>
      </c>
      <c r="X8" s="772"/>
      <c r="Y8" s="3207" t="s">
        <v>2540</v>
      </c>
      <c r="Z8" s="3208"/>
      <c r="AA8" s="773" t="e">
        <f t="shared" ref="AA8:AA47" si="3">D8/F8</f>
        <v>#DIV/0!</v>
      </c>
      <c r="AB8" s="773" t="e">
        <f t="shared" ref="AB8:AB47" si="4">D8/H8</f>
        <v>#DIV/0!</v>
      </c>
      <c r="AC8" s="2669"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2" t="s">
        <v>2543</v>
      </c>
      <c r="Q9" s="1797" t="str">
        <f t="shared" ref="Q9:Q15" si="6">B9</f>
        <v>用途</v>
      </c>
      <c r="R9" s="770" t="s">
        <v>17</v>
      </c>
      <c r="S9" s="771">
        <f t="shared" si="0"/>
        <v>100</v>
      </c>
      <c r="T9" s="770" t="s">
        <v>17</v>
      </c>
      <c r="U9" s="771">
        <f t="shared" si="1"/>
        <v>100</v>
      </c>
      <c r="V9" s="770" t="s">
        <v>17</v>
      </c>
      <c r="W9" s="771">
        <f t="shared" si="2"/>
        <v>100</v>
      </c>
      <c r="X9" s="772"/>
      <c r="Y9" s="3018" t="s">
        <v>2544</v>
      </c>
      <c r="Z9" s="55" t="str">
        <f t="shared" ref="Z9:Z15" si="7">Q9</f>
        <v>用途</v>
      </c>
      <c r="AA9" s="773">
        <f t="shared" si="3"/>
        <v>1</v>
      </c>
      <c r="AB9" s="773">
        <f t="shared" si="4"/>
        <v>1</v>
      </c>
      <c r="AC9" s="2669">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2"/>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2669">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2"/>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2669" t="e">
        <f t="shared" si="5"/>
        <v>#N/A</v>
      </c>
    </row>
    <row r="12" spans="1:29" s="117" customFormat="1" ht="15">
      <c r="A12" s="431"/>
      <c r="B12" s="2600">
        <v>111</v>
      </c>
      <c r="C12" s="432"/>
      <c r="D12" s="433">
        <v>100</v>
      </c>
      <c r="E12" s="432"/>
      <c r="F12" s="136">
        <f>SUMIF(71:71,E12,72:72)-SUMIF(71:71,C12,72:72)+100</f>
        <v>100</v>
      </c>
      <c r="G12" s="2670"/>
      <c r="H12" s="136">
        <f>SUMIF(71:71,G12,72:72)-SUMIF(71:71,C12,72:72)+100</f>
        <v>100</v>
      </c>
      <c r="I12" s="432"/>
      <c r="J12" s="136">
        <f>SUMIF(71:71,I12,72:72)-SUMIF(71:71,C12,72:72)+100</f>
        <v>100</v>
      </c>
      <c r="K12" s="613"/>
      <c r="L12" s="1135"/>
      <c r="M12" s="1136"/>
      <c r="N12" s="1136"/>
      <c r="O12" s="1136"/>
      <c r="P12" s="3182"/>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2669">
        <f>D12/J12</f>
        <v>1</v>
      </c>
    </row>
    <row r="13" spans="1:29" ht="15">
      <c r="A13" s="428"/>
      <c r="B13" s="2600">
        <v>111</v>
      </c>
      <c r="C13" s="434"/>
      <c r="D13" s="435">
        <v>100</v>
      </c>
      <c r="E13" s="432"/>
      <c r="F13" s="136">
        <f>SUMIF(73:73,E13,74:74)-SUMIF(73:73,C13,74:74)+100</f>
        <v>100</v>
      </c>
      <c r="G13" s="2670"/>
      <c r="H13" s="435">
        <f>SUMIF(73:73,G13,74:74)-SUMIF(73:73,C13,74:74)+100</f>
        <v>100</v>
      </c>
      <c r="I13" s="432"/>
      <c r="J13" s="435">
        <f>SUMIF(73:73,I13,74:74)-SUMIF(73:73,C13,74:74)+100</f>
        <v>100</v>
      </c>
      <c r="K13" s="613"/>
      <c r="L13" s="1143"/>
      <c r="M13" s="1134"/>
      <c r="N13" s="1134"/>
      <c r="O13" s="1134"/>
      <c r="P13" s="3182"/>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2669">
        <f t="shared" si="5"/>
        <v>1</v>
      </c>
    </row>
    <row r="14" spans="1:29" ht="15.75" thickBot="1">
      <c r="A14" s="436"/>
      <c r="B14" s="2602">
        <v>111</v>
      </c>
      <c r="C14" s="437"/>
      <c r="D14" s="438">
        <v>100</v>
      </c>
      <c r="E14" s="628"/>
      <c r="F14" s="438">
        <f>SUMIF(75:75,E14,76:76)-SUMIF(75:75,C14,76:76)+100</f>
        <v>100</v>
      </c>
      <c r="G14" s="2670"/>
      <c r="H14" s="438">
        <f>SUMIF(75:75,G14,76:76)-SUMIF(75:75,C14,76:76)+100</f>
        <v>100</v>
      </c>
      <c r="I14" s="432"/>
      <c r="J14" s="438">
        <f>SUMIF(75:75,I14,76:76)-SUMIF(75:75,C14,76:76)+100</f>
        <v>100</v>
      </c>
      <c r="K14" s="613"/>
      <c r="L14" s="1143"/>
      <c r="M14" s="1134"/>
      <c r="N14" s="1134"/>
      <c r="O14" s="1134"/>
      <c r="P14" s="3182"/>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2669">
        <f t="shared" si="5"/>
        <v>1</v>
      </c>
    </row>
    <row r="15" spans="1:29" ht="15">
      <c r="A15" s="440" t="s">
        <v>2547</v>
      </c>
      <c r="B15" s="629" t="s">
        <v>2675</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80" t="s">
        <v>2548</v>
      </c>
      <c r="Q15" s="1812" t="str">
        <f t="shared" si="6"/>
        <v>办公集聚程度</v>
      </c>
      <c r="R15" s="774" t="s">
        <v>17</v>
      </c>
      <c r="S15" s="775">
        <f t="shared" si="0"/>
        <v>100</v>
      </c>
      <c r="T15" s="774" t="s">
        <v>17</v>
      </c>
      <c r="U15" s="775">
        <f t="shared" si="1"/>
        <v>100</v>
      </c>
      <c r="V15" s="774" t="s">
        <v>17</v>
      </c>
      <c r="W15" s="775">
        <f t="shared" si="2"/>
        <v>100</v>
      </c>
      <c r="X15" s="1815"/>
      <c r="Y15" s="3173" t="s">
        <v>2548</v>
      </c>
      <c r="Z15" s="1816" t="str">
        <f t="shared" si="7"/>
        <v>办公集聚程度</v>
      </c>
      <c r="AA15" s="1813">
        <f t="shared" si="3"/>
        <v>1</v>
      </c>
      <c r="AB15" s="1813">
        <f t="shared" si="4"/>
        <v>1</v>
      </c>
      <c r="AC15" s="2672">
        <f t="shared" si="5"/>
        <v>1</v>
      </c>
    </row>
    <row r="16" spans="1:29" ht="15">
      <c r="A16" s="428"/>
      <c r="B16" s="630"/>
      <c r="C16" s="2611"/>
      <c r="D16" s="448"/>
      <c r="E16" s="447"/>
      <c r="F16" s="448"/>
      <c r="G16" s="2611"/>
      <c r="H16" s="450"/>
      <c r="I16" s="447"/>
      <c r="J16" s="448"/>
      <c r="K16" s="615"/>
      <c r="L16" s="1143"/>
      <c r="M16" s="1134"/>
      <c r="N16" s="1134"/>
      <c r="O16" s="1134"/>
      <c r="P16" s="3181"/>
      <c r="Q16" s="1812"/>
      <c r="R16" s="774"/>
      <c r="S16" s="775"/>
      <c r="T16" s="774"/>
      <c r="U16" s="775"/>
      <c r="V16" s="774"/>
      <c r="W16" s="775"/>
      <c r="X16" s="1815"/>
      <c r="Y16" s="3174"/>
      <c r="Z16" s="1816"/>
      <c r="AA16" s="1813">
        <v>1</v>
      </c>
      <c r="AB16" s="1813">
        <v>1</v>
      </c>
      <c r="AC16" s="2672">
        <v>1</v>
      </c>
    </row>
    <row r="17" spans="1:29" ht="15">
      <c r="A17" s="428"/>
      <c r="B17" s="631" t="s">
        <v>2087</v>
      </c>
      <c r="C17" s="2673"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81"/>
      <c r="Q17" s="1812" t="str">
        <f>B17</f>
        <v>交通便捷度</v>
      </c>
      <c r="R17" s="774" t="s">
        <v>17</v>
      </c>
      <c r="S17" s="775">
        <f>F17</f>
        <v>100</v>
      </c>
      <c r="T17" s="774" t="s">
        <v>17</v>
      </c>
      <c r="U17" s="775">
        <f>H17</f>
        <v>100</v>
      </c>
      <c r="V17" s="774" t="s">
        <v>17</v>
      </c>
      <c r="W17" s="775">
        <f>J17</f>
        <v>100</v>
      </c>
      <c r="X17" s="1815"/>
      <c r="Y17" s="3174"/>
      <c r="Z17" s="1816" t="str">
        <f>Q17</f>
        <v>交通便捷度</v>
      </c>
      <c r="AA17" s="1813">
        <f t="shared" si="3"/>
        <v>1</v>
      </c>
      <c r="AB17" s="1813">
        <f t="shared" si="4"/>
        <v>1</v>
      </c>
      <c r="AC17" s="2672">
        <f t="shared" si="5"/>
        <v>1</v>
      </c>
    </row>
    <row r="18" spans="1:29" ht="15">
      <c r="A18" s="428"/>
      <c r="B18" s="632"/>
      <c r="C18" s="2674"/>
      <c r="D18" s="450"/>
      <c r="E18" s="2609"/>
      <c r="F18" s="450"/>
      <c r="G18" s="2610"/>
      <c r="H18" s="448"/>
      <c r="I18" s="2610"/>
      <c r="J18" s="448"/>
      <c r="K18" s="615"/>
      <c r="L18" s="1143"/>
      <c r="M18" s="1134"/>
      <c r="N18" s="1134"/>
      <c r="O18" s="1134"/>
      <c r="P18" s="3181"/>
      <c r="Q18" s="1812"/>
      <c r="R18" s="774"/>
      <c r="S18" s="775"/>
      <c r="T18" s="774"/>
      <c r="U18" s="775"/>
      <c r="V18" s="774"/>
      <c r="W18" s="775"/>
      <c r="X18" s="1815"/>
      <c r="Y18" s="3174"/>
      <c r="Z18" s="1816"/>
      <c r="AA18" s="1813">
        <v>1</v>
      </c>
      <c r="AB18" s="1813">
        <v>1</v>
      </c>
      <c r="AC18" s="2672">
        <v>1</v>
      </c>
    </row>
    <row r="19" spans="1:29" ht="15">
      <c r="A19" s="428"/>
      <c r="B19" s="631" t="s">
        <v>2676</v>
      </c>
      <c r="C19" s="2673"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81"/>
      <c r="Q19" s="1812" t="str">
        <f>B19</f>
        <v>公共配套设施</v>
      </c>
      <c r="R19" s="774" t="s">
        <v>17</v>
      </c>
      <c r="S19" s="775">
        <f>F19</f>
        <v>100</v>
      </c>
      <c r="T19" s="774" t="s">
        <v>17</v>
      </c>
      <c r="U19" s="775">
        <f>H19</f>
        <v>100</v>
      </c>
      <c r="V19" s="774" t="s">
        <v>17</v>
      </c>
      <c r="W19" s="775">
        <f>J19</f>
        <v>100</v>
      </c>
      <c r="X19" s="1815"/>
      <c r="Y19" s="3174"/>
      <c r="Z19" s="1816" t="str">
        <f>Q19</f>
        <v>公共配套设施</v>
      </c>
      <c r="AA19" s="1813">
        <f t="shared" si="3"/>
        <v>1</v>
      </c>
      <c r="AB19" s="1813">
        <f t="shared" si="4"/>
        <v>1</v>
      </c>
      <c r="AC19" s="2672">
        <f t="shared" si="5"/>
        <v>1</v>
      </c>
    </row>
    <row r="20" spans="1:29" ht="15">
      <c r="A20" s="428"/>
      <c r="B20" s="632"/>
      <c r="C20" s="2611"/>
      <c r="D20" s="448"/>
      <c r="E20" s="2604"/>
      <c r="F20" s="448"/>
      <c r="G20" s="2605"/>
      <c r="H20" s="448"/>
      <c r="I20" s="2605"/>
      <c r="J20" s="448"/>
      <c r="K20" s="615"/>
      <c r="L20" s="1143"/>
      <c r="M20" s="1134"/>
      <c r="N20" s="1134"/>
      <c r="O20" s="1134"/>
      <c r="P20" s="3181"/>
      <c r="Q20" s="1812"/>
      <c r="R20" s="774"/>
      <c r="S20" s="775"/>
      <c r="T20" s="774"/>
      <c r="U20" s="775"/>
      <c r="V20" s="774"/>
      <c r="W20" s="775"/>
      <c r="X20" s="1815"/>
      <c r="Y20" s="3174"/>
      <c r="Z20" s="1816"/>
      <c r="AA20" s="1813">
        <v>1</v>
      </c>
      <c r="AB20" s="1813">
        <v>1</v>
      </c>
      <c r="AC20" s="2672">
        <v>1</v>
      </c>
    </row>
    <row r="21" spans="1:29" ht="15">
      <c r="A21" s="428"/>
      <c r="B21" s="633" t="s">
        <v>2677</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81"/>
      <c r="Q21" s="1812" t="str">
        <f>B21</f>
        <v>基础设施水平</v>
      </c>
      <c r="R21" s="774" t="s">
        <v>17</v>
      </c>
      <c r="S21" s="775">
        <f>F21</f>
        <v>100</v>
      </c>
      <c r="T21" s="774" t="s">
        <v>17</v>
      </c>
      <c r="U21" s="775">
        <f>H21</f>
        <v>100</v>
      </c>
      <c r="V21" s="774" t="s">
        <v>17</v>
      </c>
      <c r="W21" s="775">
        <f>J21</f>
        <v>100</v>
      </c>
      <c r="X21" s="1815"/>
      <c r="Y21" s="3174"/>
      <c r="Z21" s="1816" t="str">
        <f>Q21</f>
        <v>基础设施水平</v>
      </c>
      <c r="AA21" s="1813">
        <f t="shared" ref="AA21" si="8">D21/F21</f>
        <v>1</v>
      </c>
      <c r="AB21" s="1813">
        <f t="shared" ref="AB21" si="9">D21/H21</f>
        <v>1</v>
      </c>
      <c r="AC21" s="2672">
        <f t="shared" ref="AC21" si="10">D21/J21</f>
        <v>1</v>
      </c>
    </row>
    <row r="22" spans="1:29" ht="15">
      <c r="A22" s="428"/>
      <c r="B22" s="633"/>
      <c r="C22" s="2674"/>
      <c r="D22" s="448"/>
      <c r="E22" s="447"/>
      <c r="F22" s="448"/>
      <c r="G22" s="2611"/>
      <c r="H22" s="448"/>
      <c r="I22" s="2611"/>
      <c r="J22" s="448"/>
      <c r="K22" s="1386"/>
      <c r="L22" s="1143"/>
      <c r="M22" s="1134"/>
      <c r="N22" s="1134"/>
      <c r="O22" s="1134"/>
      <c r="P22" s="3181"/>
      <c r="Q22" s="1812"/>
      <c r="R22" s="774"/>
      <c r="S22" s="775"/>
      <c r="T22" s="774"/>
      <c r="U22" s="775"/>
      <c r="V22" s="774"/>
      <c r="W22" s="775"/>
      <c r="X22" s="1815"/>
      <c r="Y22" s="3174"/>
      <c r="Z22" s="1816"/>
      <c r="AA22" s="1813">
        <v>1</v>
      </c>
      <c r="AB22" s="1813">
        <v>1</v>
      </c>
      <c r="AC22" s="2672">
        <v>1</v>
      </c>
    </row>
    <row r="23" spans="1:29" ht="15">
      <c r="A23" s="428"/>
      <c r="B23" s="631" t="s">
        <v>2678</v>
      </c>
      <c r="C23" s="2673"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81"/>
      <c r="Q23" s="1812" t="str">
        <f>B23</f>
        <v>环境质量</v>
      </c>
      <c r="R23" s="774" t="s">
        <v>17</v>
      </c>
      <c r="S23" s="775">
        <f>F23</f>
        <v>100</v>
      </c>
      <c r="T23" s="774" t="s">
        <v>17</v>
      </c>
      <c r="U23" s="775">
        <f>H23</f>
        <v>100</v>
      </c>
      <c r="V23" s="774" t="s">
        <v>17</v>
      </c>
      <c r="W23" s="775">
        <f>J23</f>
        <v>100</v>
      </c>
      <c r="X23" s="1815"/>
      <c r="Y23" s="3174"/>
      <c r="Z23" s="1816" t="str">
        <f>Q23</f>
        <v>环境质量</v>
      </c>
      <c r="AA23" s="1813">
        <f t="shared" si="3"/>
        <v>1</v>
      </c>
      <c r="AB23" s="1813">
        <f t="shared" si="4"/>
        <v>1</v>
      </c>
      <c r="AC23" s="2672">
        <f t="shared" si="5"/>
        <v>1</v>
      </c>
    </row>
    <row r="24" spans="1:29" ht="15">
      <c r="A24" s="428"/>
      <c r="B24" s="633"/>
      <c r="C24" s="2611"/>
      <c r="D24" s="448"/>
      <c r="E24" s="2604"/>
      <c r="F24" s="448"/>
      <c r="G24" s="2605"/>
      <c r="H24" s="448"/>
      <c r="I24" s="2605"/>
      <c r="J24" s="448"/>
      <c r="K24" s="615"/>
      <c r="L24" s="1143"/>
      <c r="M24" s="1134"/>
      <c r="N24" s="1134"/>
      <c r="O24" s="1134"/>
      <c r="P24" s="3181"/>
      <c r="Q24" s="1812"/>
      <c r="R24" s="774"/>
      <c r="S24" s="775"/>
      <c r="T24" s="774"/>
      <c r="U24" s="775"/>
      <c r="V24" s="774"/>
      <c r="W24" s="775"/>
      <c r="X24" s="1815"/>
      <c r="Y24" s="3174"/>
      <c r="Z24" s="1816"/>
      <c r="AA24" s="1813">
        <v>1</v>
      </c>
      <c r="AB24" s="1813">
        <v>1</v>
      </c>
      <c r="AC24" s="2672">
        <v>1</v>
      </c>
    </row>
    <row r="25" spans="1:29" ht="27">
      <c r="A25" s="404"/>
      <c r="B25" s="631" t="s">
        <v>2679</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181"/>
      <c r="Q25" s="1812" t="str">
        <f>B25</f>
        <v>毗邻道路的类型与等级</v>
      </c>
      <c r="R25" s="774" t="s">
        <v>17</v>
      </c>
      <c r="S25" s="775">
        <f>F25</f>
        <v>100</v>
      </c>
      <c r="T25" s="774" t="s">
        <v>17</v>
      </c>
      <c r="U25" s="775">
        <f>H25</f>
        <v>100</v>
      </c>
      <c r="V25" s="774" t="s">
        <v>17</v>
      </c>
      <c r="W25" s="775">
        <f>J25</f>
        <v>100</v>
      </c>
      <c r="X25" s="1815"/>
      <c r="Y25" s="3174"/>
      <c r="Z25" s="1816" t="str">
        <f>Q25</f>
        <v>毗邻道路的类型与等级</v>
      </c>
      <c r="AA25" s="1813">
        <f t="shared" si="3"/>
        <v>1</v>
      </c>
      <c r="AB25" s="1813">
        <f t="shared" si="4"/>
        <v>1</v>
      </c>
      <c r="AC25" s="2672">
        <f t="shared" si="5"/>
        <v>1</v>
      </c>
    </row>
    <row r="26" spans="1:29" ht="15">
      <c r="A26" s="404"/>
      <c r="B26" s="632"/>
      <c r="C26" s="634"/>
      <c r="D26" s="435"/>
      <c r="E26" s="616"/>
      <c r="F26" s="435"/>
      <c r="G26" s="634"/>
      <c r="H26" s="435"/>
      <c r="I26" s="616"/>
      <c r="J26" s="435"/>
      <c r="K26" s="615"/>
      <c r="L26" s="1143"/>
      <c r="M26" s="1134"/>
      <c r="N26" s="1134"/>
      <c r="O26" s="1134"/>
      <c r="P26" s="3181"/>
      <c r="Q26" s="1812"/>
      <c r="R26" s="774"/>
      <c r="S26" s="775"/>
      <c r="T26" s="774"/>
      <c r="U26" s="775"/>
      <c r="V26" s="774"/>
      <c r="W26" s="775"/>
      <c r="X26" s="1815"/>
      <c r="Y26" s="3174"/>
      <c r="Z26" s="1816"/>
      <c r="AA26" s="1813">
        <v>1</v>
      </c>
      <c r="AB26" s="1813">
        <v>1</v>
      </c>
      <c r="AC26" s="2672">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81"/>
      <c r="Q27" s="1812" t="str">
        <f t="shared" ref="Q27:Q47" si="11">B27</f>
        <v>楼层</v>
      </c>
      <c r="R27" s="774" t="s">
        <v>17</v>
      </c>
      <c r="S27" s="775">
        <f>F27</f>
        <v>100</v>
      </c>
      <c r="T27" s="774" t="s">
        <v>17</v>
      </c>
      <c r="U27" s="775">
        <f>H27</f>
        <v>100</v>
      </c>
      <c r="V27" s="774" t="s">
        <v>17</v>
      </c>
      <c r="W27" s="775">
        <f>J27</f>
        <v>100</v>
      </c>
      <c r="X27" s="1815"/>
      <c r="Y27" s="3174"/>
      <c r="Z27" s="1816" t="str">
        <f>Q27</f>
        <v>楼层</v>
      </c>
      <c r="AA27" s="1813">
        <f t="shared" si="3"/>
        <v>1</v>
      </c>
      <c r="AB27" s="1813">
        <f t="shared" si="4"/>
        <v>1</v>
      </c>
      <c r="AC27" s="2672">
        <f t="shared" si="5"/>
        <v>1</v>
      </c>
    </row>
    <row r="28" spans="1:29" s="117" customFormat="1" ht="15">
      <c r="A28" s="431"/>
      <c r="B28" s="631" t="s">
        <v>2680</v>
      </c>
      <c r="C28" s="2675"/>
      <c r="D28" s="462">
        <v>100</v>
      </c>
      <c r="E28" s="2663"/>
      <c r="F28" s="462">
        <f>SUMIF(91:91,E28,92:92)-SUMIF(91:91,C28,92:92)+100</f>
        <v>100</v>
      </c>
      <c r="G28" s="2675"/>
      <c r="H28" s="462">
        <f>SUMIF(91:91,G28,92:92)-SUMIF(91:91,C28,92:92)+100</f>
        <v>100</v>
      </c>
      <c r="I28" s="2663"/>
      <c r="J28" s="462">
        <f>SUMIF(91:91,I28,92:92)-SUMIF(91:91,C28,92:92)+100</f>
        <v>100</v>
      </c>
      <c r="K28" s="612"/>
      <c r="L28" s="1135"/>
      <c r="M28" s="1136"/>
      <c r="N28" s="1136"/>
      <c r="O28" s="1136"/>
      <c r="P28" s="3181"/>
      <c r="Q28" s="1797" t="str">
        <f t="shared" si="11"/>
        <v>朝向</v>
      </c>
      <c r="R28" s="770" t="s">
        <v>17</v>
      </c>
      <c r="S28" s="771">
        <f>F28</f>
        <v>100</v>
      </c>
      <c r="T28" s="770" t="s">
        <v>17</v>
      </c>
      <c r="U28" s="771">
        <f>H28</f>
        <v>100</v>
      </c>
      <c r="V28" s="770" t="s">
        <v>17</v>
      </c>
      <c r="W28" s="771">
        <f>J28</f>
        <v>100</v>
      </c>
      <c r="X28" s="772"/>
      <c r="Y28" s="3174"/>
      <c r="Z28" s="55" t="str">
        <f>Q28</f>
        <v>朝向</v>
      </c>
      <c r="AA28" s="1813">
        <f>D28/F28</f>
        <v>1</v>
      </c>
      <c r="AB28" s="1813">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3"/>
      <c r="M29" s="1134"/>
      <c r="N29" s="1134"/>
      <c r="O29" s="1134"/>
      <c r="P29" s="3181"/>
      <c r="Q29" s="1812">
        <f t="shared" si="11"/>
        <v>111</v>
      </c>
      <c r="R29" s="774" t="s">
        <v>17</v>
      </c>
      <c r="S29" s="775">
        <f t="shared" ref="S29:S47" si="12">F29</f>
        <v>100</v>
      </c>
      <c r="T29" s="774" t="s">
        <v>17</v>
      </c>
      <c r="U29" s="775">
        <f t="shared" ref="U29:U47" si="13">H29</f>
        <v>100</v>
      </c>
      <c r="V29" s="774" t="s">
        <v>17</v>
      </c>
      <c r="W29" s="775">
        <f t="shared" ref="W29:W47" si="14">J29</f>
        <v>100</v>
      </c>
      <c r="X29" s="1815"/>
      <c r="Y29" s="3174"/>
      <c r="Z29" s="1816">
        <f t="shared" ref="Z29:Z47" si="15">Q29</f>
        <v>111</v>
      </c>
      <c r="AA29" s="1813">
        <f t="shared" si="3"/>
        <v>1</v>
      </c>
      <c r="AB29" s="1813">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3"/>
      <c r="M30" s="1134"/>
      <c r="N30" s="1134"/>
      <c r="O30" s="1134"/>
      <c r="P30" s="3181"/>
      <c r="Q30" s="1812">
        <f t="shared" si="11"/>
        <v>111</v>
      </c>
      <c r="R30" s="774" t="s">
        <v>17</v>
      </c>
      <c r="S30" s="775">
        <f t="shared" si="12"/>
        <v>100</v>
      </c>
      <c r="T30" s="774" t="s">
        <v>17</v>
      </c>
      <c r="U30" s="775">
        <f t="shared" si="13"/>
        <v>100</v>
      </c>
      <c r="V30" s="774" t="s">
        <v>17</v>
      </c>
      <c r="W30" s="775">
        <f t="shared" si="14"/>
        <v>100</v>
      </c>
      <c r="X30" s="1815"/>
      <c r="Y30" s="3174"/>
      <c r="Z30" s="1816">
        <f t="shared" si="15"/>
        <v>111</v>
      </c>
      <c r="AA30" s="1813">
        <f t="shared" si="3"/>
        <v>1</v>
      </c>
      <c r="AB30" s="1813">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3"/>
      <c r="M31" s="1134"/>
      <c r="N31" s="1134"/>
      <c r="O31" s="1134"/>
      <c r="P31" s="3181"/>
      <c r="Q31" s="1812">
        <f t="shared" si="11"/>
        <v>111</v>
      </c>
      <c r="R31" s="774" t="s">
        <v>17</v>
      </c>
      <c r="S31" s="775">
        <f t="shared" si="12"/>
        <v>100</v>
      </c>
      <c r="T31" s="774" t="s">
        <v>17</v>
      </c>
      <c r="U31" s="775">
        <f t="shared" si="13"/>
        <v>100</v>
      </c>
      <c r="V31" s="774" t="s">
        <v>17</v>
      </c>
      <c r="W31" s="775">
        <f t="shared" si="14"/>
        <v>100</v>
      </c>
      <c r="X31" s="1815"/>
      <c r="Y31" s="3174"/>
      <c r="Z31" s="1816">
        <f t="shared" si="15"/>
        <v>111</v>
      </c>
      <c r="AA31" s="1813">
        <f t="shared" si="3"/>
        <v>1</v>
      </c>
      <c r="AB31" s="1813">
        <f t="shared" si="4"/>
        <v>1</v>
      </c>
      <c r="AC31" s="2672">
        <f t="shared" si="5"/>
        <v>1</v>
      </c>
    </row>
    <row r="32" spans="1:29" ht="15.75" thickBot="1">
      <c r="A32" s="436"/>
      <c r="B32" s="635">
        <v>111</v>
      </c>
      <c r="C32" s="2616"/>
      <c r="D32" s="438">
        <v>100</v>
      </c>
      <c r="E32" s="628"/>
      <c r="F32" s="438">
        <f>SUMIF(99:99,E32,100:100)-SUMIF(99:99,C32,100:100)+100</f>
        <v>100</v>
      </c>
      <c r="G32" s="2670"/>
      <c r="H32" s="438">
        <f>SUMIF(99:99,G32,100:100)-SUMIF(99:99,C32,100:100)+100</f>
        <v>100</v>
      </c>
      <c r="I32" s="432"/>
      <c r="J32" s="438">
        <f>SUMIF(99:99,I32,100:100)-SUMIF(99:99,C32,100:100)+100</f>
        <v>100</v>
      </c>
      <c r="K32" s="613"/>
      <c r="L32" s="1143"/>
      <c r="M32" s="1134"/>
      <c r="N32" s="1134"/>
      <c r="O32" s="1134"/>
      <c r="P32" s="3181"/>
      <c r="Q32" s="1812">
        <f t="shared" si="11"/>
        <v>111</v>
      </c>
      <c r="R32" s="774" t="s">
        <v>17</v>
      </c>
      <c r="S32" s="775">
        <f t="shared" si="12"/>
        <v>100</v>
      </c>
      <c r="T32" s="774" t="s">
        <v>17</v>
      </c>
      <c r="U32" s="775">
        <f t="shared" si="13"/>
        <v>100</v>
      </c>
      <c r="V32" s="774" t="s">
        <v>17</v>
      </c>
      <c r="W32" s="775">
        <f t="shared" si="14"/>
        <v>100</v>
      </c>
      <c r="X32" s="1815"/>
      <c r="Y32" s="3174"/>
      <c r="Z32" s="1816">
        <f t="shared" si="15"/>
        <v>111</v>
      </c>
      <c r="AA32" s="1813">
        <f t="shared" si="3"/>
        <v>1</v>
      </c>
      <c r="AB32" s="1813">
        <f t="shared" si="4"/>
        <v>1</v>
      </c>
      <c r="AC32" s="2672">
        <f t="shared" si="5"/>
        <v>1</v>
      </c>
    </row>
    <row r="33" spans="1:29" ht="15">
      <c r="A33" s="440" t="s">
        <v>2551</v>
      </c>
      <c r="B33" s="71" t="s">
        <v>2681</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3"/>
      <c r="M33" s="1134"/>
      <c r="N33" s="1134"/>
      <c r="O33" s="1134"/>
      <c r="P33" s="3175" t="s">
        <v>2553</v>
      </c>
      <c r="Q33" s="1812" t="str">
        <f t="shared" si="11"/>
        <v>建筑类型</v>
      </c>
      <c r="R33" s="774" t="s">
        <v>17</v>
      </c>
      <c r="S33" s="775">
        <f t="shared" si="12"/>
        <v>100</v>
      </c>
      <c r="T33" s="774" t="s">
        <v>17</v>
      </c>
      <c r="U33" s="775">
        <f t="shared" si="13"/>
        <v>100</v>
      </c>
      <c r="V33" s="774" t="s">
        <v>17</v>
      </c>
      <c r="W33" s="775">
        <f t="shared" si="14"/>
        <v>100</v>
      </c>
      <c r="X33" s="1815"/>
      <c r="Y33" s="3178" t="s">
        <v>2553</v>
      </c>
      <c r="Z33" s="1816" t="str">
        <f t="shared" si="15"/>
        <v>建筑类型</v>
      </c>
      <c r="AA33" s="1813">
        <f t="shared" si="3"/>
        <v>1</v>
      </c>
      <c r="AB33" s="1813">
        <f t="shared" si="4"/>
        <v>1</v>
      </c>
      <c r="AC33" s="2672">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76"/>
      <c r="Q34" s="776" t="str">
        <f t="shared" si="11"/>
        <v>项目建筑规模</v>
      </c>
      <c r="R34" s="777" t="s">
        <v>17</v>
      </c>
      <c r="S34" s="778" t="e">
        <f t="shared" si="12"/>
        <v>#N/A</v>
      </c>
      <c r="T34" s="777" t="s">
        <v>17</v>
      </c>
      <c r="U34" s="778" t="e">
        <f t="shared" si="13"/>
        <v>#N/A</v>
      </c>
      <c r="V34" s="777" t="s">
        <v>17</v>
      </c>
      <c r="W34" s="778" t="e">
        <f t="shared" si="14"/>
        <v>#N/A</v>
      </c>
      <c r="X34" s="779"/>
      <c r="Y34" s="3178"/>
      <c r="Z34" s="780" t="str">
        <f t="shared" si="15"/>
        <v>项目建筑规模</v>
      </c>
      <c r="AA34" s="1813" t="e">
        <f t="shared" si="3"/>
        <v>#N/A</v>
      </c>
      <c r="AB34" s="1813" t="e">
        <f t="shared" si="4"/>
        <v>#N/A</v>
      </c>
      <c r="AC34" s="2672"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6"/>
      <c r="Q35" s="1812" t="str">
        <f t="shared" si="11"/>
        <v>建筑结构</v>
      </c>
      <c r="R35" s="774" t="s">
        <v>17</v>
      </c>
      <c r="S35" s="775">
        <f t="shared" si="12"/>
        <v>100</v>
      </c>
      <c r="T35" s="774" t="s">
        <v>17</v>
      </c>
      <c r="U35" s="775">
        <f t="shared" si="13"/>
        <v>100</v>
      </c>
      <c r="V35" s="774" t="s">
        <v>17</v>
      </c>
      <c r="W35" s="775">
        <f t="shared" si="14"/>
        <v>100</v>
      </c>
      <c r="X35" s="1815"/>
      <c r="Y35" s="3178"/>
      <c r="Z35" s="1816" t="str">
        <f t="shared" si="15"/>
        <v>建筑结构</v>
      </c>
      <c r="AA35" s="1813">
        <f t="shared" si="3"/>
        <v>1</v>
      </c>
      <c r="AB35" s="1813">
        <f t="shared" si="4"/>
        <v>1</v>
      </c>
      <c r="AC35" s="2672">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6"/>
      <c r="Q36" s="1812" t="str">
        <f t="shared" si="11"/>
        <v>公共部分装修</v>
      </c>
      <c r="R36" s="774" t="s">
        <v>17</v>
      </c>
      <c r="S36" s="775">
        <f t="shared" si="12"/>
        <v>100</v>
      </c>
      <c r="T36" s="774" t="s">
        <v>17</v>
      </c>
      <c r="U36" s="775">
        <f t="shared" si="13"/>
        <v>100</v>
      </c>
      <c r="V36" s="774" t="s">
        <v>17</v>
      </c>
      <c r="W36" s="775">
        <f t="shared" si="14"/>
        <v>100</v>
      </c>
      <c r="X36" s="1815"/>
      <c r="Y36" s="3178"/>
      <c r="Z36" s="1816" t="str">
        <f t="shared" si="15"/>
        <v>公共部分装修</v>
      </c>
      <c r="AA36" s="1813">
        <f t="shared" si="3"/>
        <v>1</v>
      </c>
      <c r="AB36" s="1813">
        <f t="shared" si="4"/>
        <v>1</v>
      </c>
      <c r="AC36" s="2672">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76"/>
      <c r="Q37" s="1812" t="str">
        <f t="shared" si="11"/>
        <v>成新度</v>
      </c>
      <c r="R37" s="774" t="s">
        <v>17</v>
      </c>
      <c r="S37" s="775" t="e">
        <f t="shared" si="12"/>
        <v>#N/A</v>
      </c>
      <c r="T37" s="774" t="s">
        <v>17</v>
      </c>
      <c r="U37" s="775" t="e">
        <f t="shared" si="13"/>
        <v>#N/A</v>
      </c>
      <c r="V37" s="774" t="s">
        <v>17</v>
      </c>
      <c r="W37" s="775" t="e">
        <f t="shared" si="14"/>
        <v>#N/A</v>
      </c>
      <c r="X37" s="1815"/>
      <c r="Y37" s="3178"/>
      <c r="Z37" s="1816" t="str">
        <f t="shared" si="15"/>
        <v>成新度</v>
      </c>
      <c r="AA37" s="1813" t="e">
        <f t="shared" si="3"/>
        <v>#N/A</v>
      </c>
      <c r="AB37" s="1813" t="e">
        <f t="shared" si="4"/>
        <v>#N/A</v>
      </c>
      <c r="AC37" s="2672"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6"/>
      <c r="Q38" s="1797" t="str">
        <f t="shared" si="11"/>
        <v>写字楼等级</v>
      </c>
      <c r="R38" s="770" t="s">
        <v>17</v>
      </c>
      <c r="S38" s="771">
        <f t="shared" si="12"/>
        <v>100</v>
      </c>
      <c r="T38" s="770" t="s">
        <v>17</v>
      </c>
      <c r="U38" s="771">
        <f t="shared" si="13"/>
        <v>100</v>
      </c>
      <c r="V38" s="770" t="s">
        <v>17</v>
      </c>
      <c r="W38" s="771">
        <f t="shared" si="14"/>
        <v>100</v>
      </c>
      <c r="X38" s="772"/>
      <c r="Y38" s="3178"/>
      <c r="Z38" s="55" t="str">
        <f t="shared" si="15"/>
        <v>写字楼等级</v>
      </c>
      <c r="AA38" s="773">
        <f t="shared" si="3"/>
        <v>1</v>
      </c>
      <c r="AB38" s="773">
        <f t="shared" si="4"/>
        <v>1</v>
      </c>
      <c r="AC38" s="2669">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6" t="s">
        <v>2553</v>
      </c>
      <c r="Q39" s="1812" t="str">
        <f t="shared" si="11"/>
        <v>物业管理</v>
      </c>
      <c r="R39" s="774" t="s">
        <v>17</v>
      </c>
      <c r="S39" s="775">
        <f t="shared" si="12"/>
        <v>100</v>
      </c>
      <c r="T39" s="774" t="s">
        <v>17</v>
      </c>
      <c r="U39" s="775">
        <f t="shared" si="13"/>
        <v>100</v>
      </c>
      <c r="V39" s="774" t="s">
        <v>17</v>
      </c>
      <c r="W39" s="775">
        <f t="shared" si="14"/>
        <v>100</v>
      </c>
      <c r="X39" s="1815"/>
      <c r="Y39" s="3178" t="s">
        <v>2553</v>
      </c>
      <c r="Z39" s="1816" t="str">
        <f t="shared" si="15"/>
        <v>物业管理</v>
      </c>
      <c r="AA39" s="1813">
        <f t="shared" si="3"/>
        <v>1</v>
      </c>
      <c r="AB39" s="1813">
        <f t="shared" si="4"/>
        <v>1</v>
      </c>
      <c r="AC39" s="2672">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6"/>
      <c r="Q40" s="1812" t="str">
        <f t="shared" si="11"/>
        <v>市政基础设施</v>
      </c>
      <c r="R40" s="774" t="s">
        <v>17</v>
      </c>
      <c r="S40" s="775">
        <f t="shared" si="12"/>
        <v>100</v>
      </c>
      <c r="T40" s="774" t="s">
        <v>17</v>
      </c>
      <c r="U40" s="775">
        <f t="shared" si="13"/>
        <v>100</v>
      </c>
      <c r="V40" s="774" t="s">
        <v>17</v>
      </c>
      <c r="W40" s="775">
        <f t="shared" si="14"/>
        <v>100</v>
      </c>
      <c r="X40" s="1815"/>
      <c r="Y40" s="3178"/>
      <c r="Z40" s="1816" t="str">
        <f t="shared" si="15"/>
        <v>市政基础设施</v>
      </c>
      <c r="AA40" s="1813">
        <f t="shared" si="3"/>
        <v>1</v>
      </c>
      <c r="AB40" s="1813">
        <f t="shared" si="4"/>
        <v>1</v>
      </c>
      <c r="AC40" s="2672">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6"/>
      <c r="Q41" s="1812" t="str">
        <f t="shared" si="11"/>
        <v>层高</v>
      </c>
      <c r="R41" s="774" t="s">
        <v>17</v>
      </c>
      <c r="S41" s="775">
        <f t="shared" si="12"/>
        <v>100</v>
      </c>
      <c r="T41" s="774" t="s">
        <v>17</v>
      </c>
      <c r="U41" s="775">
        <f t="shared" si="13"/>
        <v>100</v>
      </c>
      <c r="V41" s="774" t="s">
        <v>17</v>
      </c>
      <c r="W41" s="775">
        <f t="shared" si="14"/>
        <v>100</v>
      </c>
      <c r="X41" s="1815"/>
      <c r="Y41" s="3178"/>
      <c r="Z41" s="1816" t="str">
        <f t="shared" si="15"/>
        <v>层高</v>
      </c>
      <c r="AA41" s="1813">
        <f t="shared" si="3"/>
        <v>1</v>
      </c>
      <c r="AB41" s="1813">
        <f t="shared" si="4"/>
        <v>1</v>
      </c>
      <c r="AC41" s="2672">
        <f t="shared" si="5"/>
        <v>1</v>
      </c>
    </row>
    <row r="42" spans="1:29" s="471" customFormat="1" ht="15">
      <c r="A42" s="468"/>
      <c r="B42" s="1814"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6"/>
      <c r="Q42" s="776" t="str">
        <f t="shared" si="11"/>
        <v>单套建筑面积</v>
      </c>
      <c r="R42" s="777" t="s">
        <v>17</v>
      </c>
      <c r="S42" s="778">
        <f t="shared" si="12"/>
        <v>100</v>
      </c>
      <c r="T42" s="777" t="s">
        <v>17</v>
      </c>
      <c r="U42" s="778">
        <f t="shared" si="13"/>
        <v>100</v>
      </c>
      <c r="V42" s="777" t="s">
        <v>17</v>
      </c>
      <c r="W42" s="778">
        <f t="shared" si="14"/>
        <v>100</v>
      </c>
      <c r="X42" s="779"/>
      <c r="Y42" s="3178"/>
      <c r="Z42" s="780" t="str">
        <f t="shared" si="15"/>
        <v>单套建筑面积</v>
      </c>
      <c r="AA42" s="1813">
        <f t="shared" si="3"/>
        <v>1</v>
      </c>
      <c r="AB42" s="1813">
        <f t="shared" si="4"/>
        <v>1</v>
      </c>
      <c r="AC42" s="2672">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6"/>
      <c r="Q43" s="1812" t="str">
        <f t="shared" si="11"/>
        <v>内部装修</v>
      </c>
      <c r="R43" s="774" t="s">
        <v>17</v>
      </c>
      <c r="S43" s="775">
        <f t="shared" si="12"/>
        <v>100</v>
      </c>
      <c r="T43" s="774" t="s">
        <v>17</v>
      </c>
      <c r="U43" s="775">
        <f t="shared" si="13"/>
        <v>100</v>
      </c>
      <c r="V43" s="774" t="s">
        <v>17</v>
      </c>
      <c r="W43" s="775">
        <f t="shared" si="14"/>
        <v>100</v>
      </c>
      <c r="X43" s="1815"/>
      <c r="Y43" s="3178"/>
      <c r="Z43" s="1816" t="str">
        <f t="shared" si="15"/>
        <v>内部装修</v>
      </c>
      <c r="AA43" s="1813">
        <f t="shared" si="3"/>
        <v>1</v>
      </c>
      <c r="AB43" s="1813">
        <f t="shared" si="4"/>
        <v>1</v>
      </c>
      <c r="AC43" s="2672">
        <f t="shared" si="5"/>
        <v>1</v>
      </c>
    </row>
    <row r="44" spans="1:29" ht="15">
      <c r="A44" s="472"/>
      <c r="B44" s="422" t="s">
        <v>2564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176"/>
      <c r="Q44" s="1812" t="str">
        <f t="shared" si="11"/>
        <v>内部装修维护情况</v>
      </c>
      <c r="R44" s="774" t="s">
        <v>17</v>
      </c>
      <c r="S44" s="775">
        <f t="shared" si="12"/>
        <v>100</v>
      </c>
      <c r="T44" s="774" t="s">
        <v>17</v>
      </c>
      <c r="U44" s="775">
        <f t="shared" si="13"/>
        <v>100</v>
      </c>
      <c r="V44" s="774" t="s">
        <v>17</v>
      </c>
      <c r="W44" s="775">
        <f t="shared" si="14"/>
        <v>100</v>
      </c>
      <c r="X44" s="1815"/>
      <c r="Y44" s="3178"/>
      <c r="Z44" s="1816" t="str">
        <f t="shared" si="15"/>
        <v>内部装修维护情况</v>
      </c>
      <c r="AA44" s="1813">
        <f t="shared" si="3"/>
        <v>1</v>
      </c>
      <c r="AB44" s="1813">
        <f t="shared" si="4"/>
        <v>1</v>
      </c>
      <c r="AC44" s="267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6"/>
      <c r="Q45" s="1797">
        <f t="shared" si="11"/>
        <v>111</v>
      </c>
      <c r="R45" s="770" t="s">
        <v>17</v>
      </c>
      <c r="S45" s="771">
        <f t="shared" si="12"/>
        <v>100</v>
      </c>
      <c r="T45" s="770" t="s">
        <v>17</v>
      </c>
      <c r="U45" s="771">
        <f t="shared" si="13"/>
        <v>100</v>
      </c>
      <c r="V45" s="770" t="s">
        <v>17</v>
      </c>
      <c r="W45" s="771">
        <f t="shared" si="14"/>
        <v>100</v>
      </c>
      <c r="X45" s="772"/>
      <c r="Y45" s="3178"/>
      <c r="Z45" s="55">
        <f t="shared" si="15"/>
        <v>111</v>
      </c>
      <c r="AA45" s="773">
        <f t="shared" si="3"/>
        <v>1</v>
      </c>
      <c r="AB45" s="773">
        <f t="shared" si="4"/>
        <v>1</v>
      </c>
      <c r="AC45" s="266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6"/>
      <c r="Q46" s="1812">
        <f t="shared" si="11"/>
        <v>111</v>
      </c>
      <c r="R46" s="774" t="s">
        <v>17</v>
      </c>
      <c r="S46" s="775">
        <f t="shared" si="12"/>
        <v>100</v>
      </c>
      <c r="T46" s="774" t="s">
        <v>17</v>
      </c>
      <c r="U46" s="775">
        <f t="shared" si="13"/>
        <v>100</v>
      </c>
      <c r="V46" s="774" t="s">
        <v>17</v>
      </c>
      <c r="W46" s="775">
        <f t="shared" si="14"/>
        <v>100</v>
      </c>
      <c r="X46" s="1815"/>
      <c r="Y46" s="3178"/>
      <c r="Z46" s="1816">
        <f t="shared" si="15"/>
        <v>111</v>
      </c>
      <c r="AA46" s="1813">
        <f t="shared" si="3"/>
        <v>1</v>
      </c>
      <c r="AB46" s="1813">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7"/>
      <c r="Q47" s="1812">
        <f t="shared" si="11"/>
        <v>111</v>
      </c>
      <c r="R47" s="774" t="s">
        <v>17</v>
      </c>
      <c r="S47" s="775">
        <f t="shared" si="12"/>
        <v>100</v>
      </c>
      <c r="T47" s="774" t="s">
        <v>17</v>
      </c>
      <c r="U47" s="775">
        <f t="shared" si="13"/>
        <v>100</v>
      </c>
      <c r="V47" s="774" t="s">
        <v>17</v>
      </c>
      <c r="W47" s="775">
        <f t="shared" si="14"/>
        <v>100</v>
      </c>
      <c r="X47" s="1815"/>
      <c r="Y47" s="3179"/>
      <c r="Z47" s="1816">
        <f t="shared" si="15"/>
        <v>111</v>
      </c>
      <c r="AA47" s="1813">
        <f t="shared" si="3"/>
        <v>1</v>
      </c>
      <c r="AB47" s="1813">
        <f t="shared" si="4"/>
        <v>1</v>
      </c>
      <c r="AC47" s="2672">
        <f t="shared" si="5"/>
        <v>1</v>
      </c>
    </row>
    <row r="48" spans="1:29" ht="15">
      <c r="A48" s="479" t="s">
        <v>2565</v>
      </c>
      <c r="B48" s="480"/>
      <c r="C48" s="1410" t="s">
        <v>1</v>
      </c>
      <c r="D48" s="1411"/>
      <c r="E48" s="1412"/>
      <c r="F48" s="1413"/>
      <c r="G48" s="1414"/>
      <c r="H48" s="1415"/>
      <c r="I48" s="1412"/>
      <c r="J48" s="485"/>
      <c r="K48" s="783"/>
      <c r="L48" s="1146"/>
      <c r="M48" s="1134"/>
      <c r="N48" s="1134"/>
      <c r="O48" s="1134"/>
      <c r="P48" s="3182" t="str">
        <f>A48</f>
        <v>成交单价（元/平方米）</v>
      </c>
      <c r="Q48" s="3171"/>
      <c r="R48" s="3172">
        <f>E48</f>
        <v>0</v>
      </c>
      <c r="S48" s="3172"/>
      <c r="T48" s="3172">
        <f>G48</f>
        <v>0</v>
      </c>
      <c r="U48" s="3172"/>
      <c r="V48" s="3172">
        <f>I48</f>
        <v>0</v>
      </c>
      <c r="W48" s="3172"/>
      <c r="X48" s="446"/>
      <c r="Y48" s="781"/>
      <c r="Z48" s="446"/>
      <c r="AA48" s="446"/>
      <c r="AB48" s="446"/>
      <c r="AC48" s="630"/>
    </row>
    <row r="49" spans="1:29" ht="15.75" thickBot="1">
      <c r="A49" s="486" t="s">
        <v>2657</v>
      </c>
      <c r="B49" s="487"/>
      <c r="C49" s="1416" t="e">
        <f>R50</f>
        <v>#DIV/0!</v>
      </c>
      <c r="D49" s="1417"/>
      <c r="E49" s="1418" t="e">
        <f>R49</f>
        <v>#DIV/0!</v>
      </c>
      <c r="F49" s="1418"/>
      <c r="G49" s="1416" t="e">
        <f>T49</f>
        <v>#DIV/0!</v>
      </c>
      <c r="H49" s="1417"/>
      <c r="I49" s="1418" t="e">
        <f>V49</f>
        <v>#DIV/0!</v>
      </c>
      <c r="J49" s="489"/>
      <c r="K49" s="784"/>
      <c r="L49" s="1146"/>
      <c r="M49" s="1134"/>
      <c r="N49" s="1134"/>
      <c r="O49" s="1134"/>
      <c r="P49" s="3182" t="str">
        <f>A49</f>
        <v>比较价值（元/平方米）</v>
      </c>
      <c r="Q49" s="3171"/>
      <c r="R49" s="3172" t="e">
        <f>IF(F1="售价",ROUND(PRODUCT(R48,AA7:AA47),0),ROUND(PRODUCT(R48,AA7:AA47),1))</f>
        <v>#DIV/0!</v>
      </c>
      <c r="S49" s="3172"/>
      <c r="T49" s="3172" t="e">
        <f>IF(F1="售价",ROUND(PRODUCT(T48,AB7:AB47),0),ROUND(PRODUCT(T48,AB7:AB47),1))</f>
        <v>#DIV/0!</v>
      </c>
      <c r="U49" s="3172"/>
      <c r="V49" s="3172" t="e">
        <f>IF(F1="售价",ROUND(PRODUCT(V48,AC7:AC47),0),ROUND(PRODUCT(V48,AC7:AC47),1))</f>
        <v>#DIV/0!</v>
      </c>
      <c r="W49" s="3172"/>
      <c r="X49" s="446"/>
      <c r="Y49" s="446"/>
      <c r="Z49" s="446"/>
      <c r="AA49" s="446"/>
      <c r="AB49" s="446"/>
      <c r="AC49" s="630"/>
    </row>
    <row r="50" spans="1:29" ht="15.75" thickBot="1">
      <c r="A50" s="492" t="s">
        <v>2658</v>
      </c>
      <c r="B50" s="493"/>
      <c r="C50" s="1420" t="e">
        <f>R50</f>
        <v>#DIV/0!</v>
      </c>
      <c r="D50" s="1420"/>
      <c r="E50" s="1420"/>
      <c r="F50" s="1420"/>
      <c r="G50" s="1420"/>
      <c r="H50" s="1420"/>
      <c r="I50" s="1420"/>
      <c r="J50" s="494"/>
      <c r="K50" s="785"/>
      <c r="L50" s="1146"/>
      <c r="M50" s="1134"/>
      <c r="N50" s="1134"/>
      <c r="O50" s="1134"/>
      <c r="P50" s="3237" t="str">
        <f>A50</f>
        <v>估价对象XX用房的比较价值（楼面单价，元/平方米）</v>
      </c>
      <c r="Q50" s="3238"/>
      <c r="R50" s="3239" t="e">
        <f>IF(F1="售价",ROUND(AVERAGE(R49:V49),0),ROUND(AVERAGE(R49:V49),1))</f>
        <v>#DIV/0!</v>
      </c>
      <c r="S50" s="3239"/>
      <c r="T50" s="3239"/>
      <c r="U50" s="3239"/>
      <c r="V50" s="3239"/>
      <c r="W50" s="3239"/>
      <c r="X50" s="2652"/>
      <c r="Y50" s="2652"/>
      <c r="Z50" s="2652"/>
      <c r="AA50" s="2652"/>
      <c r="AB50" s="2652"/>
      <c r="AC50" s="265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8"/>
    </row>
    <row r="56" spans="1:29" s="502" customFormat="1">
      <c r="A56" s="1148"/>
      <c r="B56" s="1149"/>
      <c r="C56" s="1153"/>
      <c r="D56" s="1148"/>
      <c r="E56" s="1148"/>
      <c r="F56" s="1148"/>
      <c r="G56" s="1148"/>
      <c r="H56" s="1148"/>
      <c r="I56" s="1148"/>
      <c r="J56" s="1148"/>
      <c r="K56" s="1151"/>
      <c r="L56" s="1152"/>
      <c r="M56" s="1148"/>
      <c r="N56" s="1148"/>
      <c r="O56" s="1148"/>
      <c r="P56" s="2678"/>
    </row>
    <row r="57" spans="1:29">
      <c r="A57" s="1147"/>
      <c r="B57" s="1149"/>
      <c r="C57" s="1153"/>
      <c r="D57" s="1147"/>
      <c r="E57" s="1147"/>
      <c r="F57" s="1147"/>
      <c r="G57" s="1147"/>
      <c r="H57" s="1147"/>
      <c r="I57" s="1147"/>
      <c r="J57" s="1147"/>
      <c r="K57" s="1108"/>
      <c r="L57" s="1109"/>
      <c r="M57" s="1147"/>
      <c r="N57" s="1147"/>
      <c r="O57" s="1147"/>
    </row>
    <row r="58" spans="1:29" ht="21.75" thickBot="1">
      <c r="A58" s="763" t="s">
        <v>2662</v>
      </c>
      <c r="B58" s="759"/>
      <c r="C58" s="764"/>
      <c r="D58" s="764"/>
      <c r="E58" s="764"/>
      <c r="F58" s="765"/>
      <c r="G58" s="765"/>
      <c r="H58" s="764"/>
      <c r="I58" s="764"/>
      <c r="J58" s="764"/>
      <c r="K58" s="766"/>
      <c r="L58" s="1164"/>
      <c r="M58" s="1162"/>
      <c r="N58" s="1162"/>
      <c r="O58" s="1162"/>
      <c r="P58" s="2679"/>
      <c r="Q58" s="504"/>
    </row>
    <row r="59" spans="1:29" s="508" customFormat="1" ht="15">
      <c r="A59" s="505" t="s">
        <v>2536</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0"/>
    </row>
    <row r="61" spans="1:29" s="117" customFormat="1" ht="15.75" thickBot="1">
      <c r="A61" s="515" t="s">
        <v>2573</v>
      </c>
      <c r="B61" s="516"/>
      <c r="C61" s="517"/>
      <c r="D61" s="518"/>
      <c r="E61" s="518"/>
      <c r="F61" s="518"/>
      <c r="G61" s="518"/>
      <c r="H61" s="518"/>
      <c r="I61" s="518"/>
      <c r="J61" s="518"/>
      <c r="K61" s="518"/>
      <c r="L61" s="518"/>
      <c r="M61" s="519"/>
      <c r="N61" s="518"/>
      <c r="O61" s="519"/>
      <c r="P61" s="2680"/>
      <c r="Q61" s="504"/>
    </row>
    <row r="62" spans="1:29" s="117" customFormat="1" ht="15">
      <c r="A62" s="521" t="s">
        <v>2538</v>
      </c>
      <c r="B62" s="510"/>
      <c r="C62" s="522" t="s">
        <v>2640</v>
      </c>
      <c r="D62" s="523"/>
      <c r="E62" s="523"/>
      <c r="F62" s="523"/>
      <c r="G62" s="523"/>
      <c r="H62" s="523"/>
      <c r="I62" s="523"/>
      <c r="J62" s="523"/>
      <c r="K62" s="523"/>
      <c r="L62" s="524"/>
      <c r="M62" s="525"/>
      <c r="N62" s="1154"/>
      <c r="O62" s="1154"/>
      <c r="P62" s="2681"/>
      <c r="Q62" s="504"/>
    </row>
    <row r="63" spans="1:29" s="117" customFormat="1" ht="15.75" thickBot="1">
      <c r="A63" s="521"/>
      <c r="B63" s="510"/>
      <c r="C63" s="511">
        <v>100</v>
      </c>
      <c r="D63" s="512"/>
      <c r="E63" s="512"/>
      <c r="F63" s="512"/>
      <c r="G63" s="512"/>
      <c r="H63" s="512"/>
      <c r="I63" s="512"/>
      <c r="J63" s="512"/>
      <c r="K63" s="512"/>
      <c r="L63" s="512"/>
      <c r="M63" s="514"/>
      <c r="N63" s="1154"/>
      <c r="O63" s="1154"/>
      <c r="P63" s="2680"/>
      <c r="Q63" s="504"/>
    </row>
    <row r="64" spans="1:29">
      <c r="A64" s="527" t="s">
        <v>2576</v>
      </c>
      <c r="B64" s="528" t="s">
        <v>2542</v>
      </c>
      <c r="C64" s="529">
        <f>C9</f>
        <v>0</v>
      </c>
      <c r="D64" s="530"/>
      <c r="E64" s="530"/>
      <c r="F64" s="530"/>
      <c r="G64" s="530"/>
      <c r="H64" s="530"/>
      <c r="I64" s="530"/>
      <c r="J64" s="530"/>
      <c r="K64" s="531"/>
      <c r="L64" s="532"/>
      <c r="M64" s="533"/>
      <c r="N64" s="1155"/>
      <c r="O64" s="1155"/>
      <c r="P64" s="2682"/>
      <c r="Q64" s="504"/>
    </row>
    <row r="65" spans="1:17" ht="15.75" thickBot="1">
      <c r="A65" s="534"/>
      <c r="B65" s="535"/>
      <c r="C65" s="536">
        <v>100</v>
      </c>
      <c r="D65" s="536"/>
      <c r="E65" s="536"/>
      <c r="F65" s="536"/>
      <c r="G65" s="536"/>
      <c r="H65" s="536"/>
      <c r="I65" s="536"/>
      <c r="J65" s="536"/>
      <c r="K65" s="536"/>
      <c r="L65" s="536"/>
      <c r="M65" s="537"/>
      <c r="N65" s="1156"/>
      <c r="O65" s="1156"/>
      <c r="P65" s="2682"/>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5"/>
      <c r="O66" s="1155"/>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2"/>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2"/>
      <c r="Q68" s="504"/>
    </row>
    <row r="69" spans="1:17" ht="15">
      <c r="A69" s="534"/>
      <c r="B69" s="548"/>
      <c r="C69" s="549"/>
      <c r="D69" s="549"/>
      <c r="E69" s="549"/>
      <c r="F69" s="549"/>
      <c r="G69" s="549"/>
      <c r="H69" s="549"/>
      <c r="I69" s="549"/>
      <c r="J69" s="549"/>
      <c r="K69" s="550"/>
      <c r="L69" s="551"/>
      <c r="M69" s="552"/>
      <c r="N69" s="1155"/>
      <c r="O69" s="1155"/>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2"/>
      <c r="Q70" s="504"/>
    </row>
    <row r="71" spans="1:17" s="471" customFormat="1" ht="15.75" thickTop="1">
      <c r="A71" s="553"/>
      <c r="B71" s="538">
        <f>B12</f>
        <v>111</v>
      </c>
      <c r="C71" s="554"/>
      <c r="D71" s="554"/>
      <c r="E71" s="554"/>
      <c r="F71" s="554"/>
      <c r="G71" s="554"/>
      <c r="H71" s="555"/>
      <c r="I71" s="555"/>
      <c r="J71" s="555"/>
      <c r="K71" s="555"/>
      <c r="L71" s="556"/>
      <c r="M71" s="557"/>
      <c r="N71" s="1157"/>
      <c r="O71" s="1157"/>
      <c r="P71" s="2683"/>
      <c r="Q71" s="559"/>
    </row>
    <row r="72" spans="1:17" s="471" customFormat="1" ht="15.75" thickBot="1">
      <c r="A72" s="553"/>
      <c r="B72" s="543"/>
      <c r="C72" s="560"/>
      <c r="D72" s="536"/>
      <c r="E72" s="536"/>
      <c r="F72" s="536"/>
      <c r="G72" s="536"/>
      <c r="H72" s="536"/>
      <c r="I72" s="536"/>
      <c r="J72" s="536"/>
      <c r="K72" s="536"/>
      <c r="L72" s="536"/>
      <c r="M72" s="537"/>
      <c r="N72" s="1156"/>
      <c r="O72" s="1156"/>
      <c r="P72" s="2683"/>
      <c r="Q72" s="559"/>
    </row>
    <row r="73" spans="1:17" s="471" customFormat="1" ht="15.75" thickTop="1">
      <c r="A73" s="553"/>
      <c r="B73" s="538">
        <f>B13</f>
        <v>111</v>
      </c>
      <c r="C73" s="554"/>
      <c r="D73" s="554"/>
      <c r="E73" s="554"/>
      <c r="F73" s="554"/>
      <c r="G73" s="554"/>
      <c r="H73" s="555"/>
      <c r="I73" s="555"/>
      <c r="J73" s="555"/>
      <c r="K73" s="555"/>
      <c r="L73" s="556"/>
      <c r="M73" s="557"/>
      <c r="N73" s="1157"/>
      <c r="O73" s="1157"/>
      <c r="P73" s="2684"/>
      <c r="Q73" s="561"/>
    </row>
    <row r="74" spans="1:17" s="471" customFormat="1" ht="15.75" thickBot="1">
      <c r="A74" s="553"/>
      <c r="B74" s="543"/>
      <c r="C74" s="560"/>
      <c r="D74" s="560"/>
      <c r="E74" s="560"/>
      <c r="F74" s="560"/>
      <c r="G74" s="560"/>
      <c r="H74" s="562"/>
      <c r="I74" s="562"/>
      <c r="J74" s="562"/>
      <c r="K74" s="562"/>
      <c r="L74" s="562"/>
      <c r="M74" s="563"/>
      <c r="N74" s="1157"/>
      <c r="O74" s="1157"/>
      <c r="P74" s="2683"/>
      <c r="Q74" s="559"/>
    </row>
    <row r="75" spans="1:17" s="471" customFormat="1" ht="15.75" thickTop="1">
      <c r="A75" s="553"/>
      <c r="B75" s="546">
        <f>B14</f>
        <v>111</v>
      </c>
      <c r="C75" s="523"/>
      <c r="D75" s="523"/>
      <c r="E75" s="523"/>
      <c r="F75" s="523"/>
      <c r="G75" s="523"/>
      <c r="H75" s="564"/>
      <c r="I75" s="564"/>
      <c r="J75" s="564"/>
      <c r="K75" s="564"/>
      <c r="L75" s="565"/>
      <c r="M75" s="566"/>
      <c r="N75" s="1157"/>
      <c r="O75" s="1157"/>
      <c r="P75" s="2685"/>
      <c r="Q75" s="559"/>
    </row>
    <row r="76" spans="1:17" s="471" customFormat="1" ht="15.75" thickBot="1">
      <c r="A76" s="568"/>
      <c r="B76" s="569"/>
      <c r="C76" s="570"/>
      <c r="D76" s="570"/>
      <c r="E76" s="570"/>
      <c r="F76" s="570"/>
      <c r="G76" s="570"/>
      <c r="H76" s="571"/>
      <c r="I76" s="571"/>
      <c r="J76" s="571"/>
      <c r="K76" s="571"/>
      <c r="L76" s="571"/>
      <c r="M76" s="572"/>
      <c r="N76" s="1157"/>
      <c r="O76" s="1157"/>
      <c r="P76" s="2683"/>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5"/>
      <c r="O77" s="1155"/>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2"/>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5"/>
      <c r="O79" s="1155"/>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2"/>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5"/>
      <c r="O81" s="1155"/>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2"/>
      <c r="Q82" s="504"/>
    </row>
    <row r="83" spans="1:17" ht="15.75" thickTop="1">
      <c r="A83" s="534"/>
      <c r="B83" s="546" t="s">
        <v>2677</v>
      </c>
      <c r="C83" s="660" t="s">
        <v>2663</v>
      </c>
      <c r="D83" s="660" t="s">
        <v>2664</v>
      </c>
      <c r="E83" s="660" t="s">
        <v>2665</v>
      </c>
      <c r="F83" s="660" t="s">
        <v>2666</v>
      </c>
      <c r="G83" s="660" t="s">
        <v>2667</v>
      </c>
      <c r="H83" s="539"/>
      <c r="I83" s="539"/>
      <c r="J83" s="539"/>
      <c r="K83" s="539"/>
      <c r="L83" s="539"/>
      <c r="M83" s="1385"/>
      <c r="N83" s="1156"/>
      <c r="O83" s="1156"/>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2"/>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5"/>
      <c r="O85" s="1155"/>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2"/>
      <c r="Q86" s="504"/>
    </row>
    <row r="87" spans="1:17" s="117" customFormat="1" ht="27.75" thickTop="1">
      <c r="A87" s="579"/>
      <c r="B87" s="538" t="s">
        <v>2687</v>
      </c>
      <c r="C87" s="554"/>
      <c r="D87" s="554"/>
      <c r="E87" s="554"/>
      <c r="F87" s="554"/>
      <c r="G87" s="554"/>
      <c r="H87" s="554"/>
      <c r="I87" s="554"/>
      <c r="J87" s="554"/>
      <c r="K87" s="554"/>
      <c r="L87" s="580"/>
      <c r="M87" s="581"/>
      <c r="N87" s="1154"/>
      <c r="O87" s="1154"/>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2"/>
      <c r="Q88" s="504"/>
    </row>
    <row r="89" spans="1:17" s="117" customFormat="1" ht="15.75" thickTop="1">
      <c r="A89" s="579"/>
      <c r="B89" s="538" t="str">
        <f>B27</f>
        <v>楼层</v>
      </c>
      <c r="C89" s="554"/>
      <c r="D89" s="554"/>
      <c r="E89" s="554"/>
      <c r="F89" s="2633"/>
      <c r="G89" s="554"/>
      <c r="H89" s="554"/>
      <c r="I89" s="554"/>
      <c r="J89" s="554"/>
      <c r="K89" s="554"/>
      <c r="L89" s="554"/>
      <c r="M89" s="581"/>
      <c r="N89" s="1154"/>
      <c r="O89" s="1154"/>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3"/>
      <c r="Q92" s="559"/>
    </row>
    <row r="93" spans="1:17" ht="15.75" thickTop="1">
      <c r="A93" s="534"/>
      <c r="B93" s="538">
        <f>B29</f>
        <v>111</v>
      </c>
      <c r="C93" s="554"/>
      <c r="D93" s="554"/>
      <c r="E93" s="554"/>
      <c r="F93" s="554"/>
      <c r="G93" s="554"/>
      <c r="H93" s="554"/>
      <c r="I93" s="554"/>
      <c r="J93" s="554"/>
      <c r="K93" s="554"/>
      <c r="L93" s="580"/>
      <c r="M93" s="581"/>
      <c r="N93" s="1155"/>
      <c r="O93" s="1155"/>
      <c r="P93" s="2682"/>
      <c r="Q93" s="504"/>
    </row>
    <row r="94" spans="1:17" ht="15.75" thickBot="1">
      <c r="A94" s="534"/>
      <c r="B94" s="543"/>
      <c r="C94" s="560"/>
      <c r="D94" s="536"/>
      <c r="E94" s="536"/>
      <c r="F94" s="536"/>
      <c r="G94" s="536"/>
      <c r="H94" s="536"/>
      <c r="I94" s="536"/>
      <c r="J94" s="536"/>
      <c r="K94" s="536"/>
      <c r="L94" s="536"/>
      <c r="M94" s="537"/>
      <c r="N94" s="1156"/>
      <c r="O94" s="1156"/>
      <c r="P94" s="2682"/>
      <c r="Q94" s="504"/>
    </row>
    <row r="95" spans="1:17" ht="15.75" thickTop="1">
      <c r="A95" s="534"/>
      <c r="B95" s="538">
        <f>B30</f>
        <v>111</v>
      </c>
      <c r="C95" s="554"/>
      <c r="D95" s="554"/>
      <c r="E95" s="554"/>
      <c r="F95" s="554"/>
      <c r="G95" s="583"/>
      <c r="H95" s="583"/>
      <c r="I95" s="583"/>
      <c r="J95" s="583"/>
      <c r="K95" s="584"/>
      <c r="L95" s="585"/>
      <c r="M95" s="586"/>
      <c r="N95" s="1155"/>
      <c r="O95" s="1155"/>
      <c r="P95" s="2682"/>
      <c r="Q95" s="504"/>
    </row>
    <row r="96" spans="1:17" ht="15.75" thickBot="1">
      <c r="A96" s="534"/>
      <c r="B96" s="543"/>
      <c r="C96" s="560"/>
      <c r="D96" s="560"/>
      <c r="E96" s="560"/>
      <c r="F96" s="560"/>
      <c r="G96" s="536"/>
      <c r="H96" s="536"/>
      <c r="I96" s="536"/>
      <c r="J96" s="536"/>
      <c r="K96" s="536"/>
      <c r="L96" s="536"/>
      <c r="M96" s="537"/>
      <c r="N96" s="1156"/>
      <c r="O96" s="1156"/>
      <c r="P96" s="2682"/>
      <c r="Q96" s="504"/>
    </row>
    <row r="97" spans="1:17" ht="15.75" thickTop="1">
      <c r="A97" s="534"/>
      <c r="B97" s="538">
        <f>B31</f>
        <v>111</v>
      </c>
      <c r="C97" s="554"/>
      <c r="D97" s="554"/>
      <c r="E97" s="554"/>
      <c r="F97" s="554"/>
      <c r="G97" s="583"/>
      <c r="H97" s="583"/>
      <c r="I97" s="583"/>
      <c r="J97" s="583"/>
      <c r="K97" s="584"/>
      <c r="L97" s="585"/>
      <c r="M97" s="586"/>
      <c r="N97" s="1155"/>
      <c r="O97" s="1155"/>
      <c r="P97" s="2682"/>
      <c r="Q97" s="504"/>
    </row>
    <row r="98" spans="1:17" ht="15.75" thickBot="1">
      <c r="A98" s="534"/>
      <c r="B98" s="543"/>
      <c r="C98" s="560"/>
      <c r="D98" s="536"/>
      <c r="E98" s="536"/>
      <c r="F98" s="536"/>
      <c r="G98" s="536"/>
      <c r="H98" s="536"/>
      <c r="I98" s="536"/>
      <c r="J98" s="536"/>
      <c r="K98" s="536"/>
      <c r="L98" s="536"/>
      <c r="M98" s="537"/>
      <c r="N98" s="1156"/>
      <c r="O98" s="1156"/>
      <c r="P98" s="2682"/>
      <c r="Q98" s="504"/>
    </row>
    <row r="99" spans="1:17" ht="15.75" thickTop="1">
      <c r="A99" s="534"/>
      <c r="B99" s="546">
        <f>B32</f>
        <v>111</v>
      </c>
      <c r="C99" s="523"/>
      <c r="D99" s="523"/>
      <c r="E99" s="523"/>
      <c r="F99" s="523"/>
      <c r="G99" s="587"/>
      <c r="H99" s="587"/>
      <c r="I99" s="587"/>
      <c r="J99" s="587"/>
      <c r="K99" s="588"/>
      <c r="L99" s="589"/>
      <c r="M99" s="590"/>
      <c r="N99" s="1155"/>
      <c r="O99" s="1155"/>
      <c r="P99" s="2682"/>
      <c r="Q99" s="504"/>
    </row>
    <row r="100" spans="1:17" ht="15.75" thickBot="1">
      <c r="A100" s="2634"/>
      <c r="B100" s="569"/>
      <c r="C100" s="570"/>
      <c r="D100" s="570"/>
      <c r="E100" s="570"/>
      <c r="F100" s="570"/>
      <c r="G100" s="591"/>
      <c r="H100" s="591"/>
      <c r="I100" s="591"/>
      <c r="J100" s="591"/>
      <c r="K100" s="591"/>
      <c r="L100" s="591"/>
      <c r="M100" s="592"/>
      <c r="N100" s="1156"/>
      <c r="O100" s="1156"/>
      <c r="P100" s="2682"/>
      <c r="Q100" s="504"/>
    </row>
    <row r="101" spans="1:17">
      <c r="A101" s="527" t="s">
        <v>2551</v>
      </c>
      <c r="B101" s="528" t="s">
        <v>2600</v>
      </c>
      <c r="C101" s="530"/>
      <c r="D101" s="530"/>
      <c r="E101" s="530"/>
      <c r="F101" s="530"/>
      <c r="G101" s="530"/>
      <c r="H101" s="530"/>
      <c r="I101" s="530"/>
      <c r="J101" s="530"/>
      <c r="K101" s="531"/>
      <c r="L101" s="532"/>
      <c r="M101" s="533"/>
      <c r="N101" s="1155"/>
      <c r="O101" s="1155"/>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2"/>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2"/>
      <c r="Q103" s="504"/>
    </row>
    <row r="104" spans="1:17" s="471" customFormat="1">
      <c r="A104" s="593"/>
      <c r="B104" s="594"/>
      <c r="C104" s="595"/>
      <c r="D104" s="595"/>
      <c r="E104" s="595"/>
      <c r="F104" s="595"/>
      <c r="G104" s="595"/>
      <c r="H104" s="595"/>
      <c r="I104" s="595"/>
      <c r="J104" s="596"/>
      <c r="K104" s="596"/>
      <c r="L104" s="597"/>
      <c r="M104" s="598"/>
      <c r="N104" s="1157"/>
      <c r="O104" s="1157"/>
      <c r="P104" s="268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3"/>
      <c r="Q105" s="559"/>
    </row>
    <row r="106" spans="1:17" ht="15" thickTop="1">
      <c r="A106" s="599"/>
      <c r="B106" s="538" t="s">
        <v>2602</v>
      </c>
      <c r="C106" s="554"/>
      <c r="D106" s="554"/>
      <c r="E106" s="583"/>
      <c r="F106" s="583"/>
      <c r="G106" s="583"/>
      <c r="H106" s="583"/>
      <c r="I106" s="583"/>
      <c r="J106" s="583"/>
      <c r="K106" s="584"/>
      <c r="L106" s="585"/>
      <c r="M106" s="586"/>
      <c r="N106" s="1155"/>
      <c r="O106" s="1155"/>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2"/>
      <c r="Q107" s="504"/>
    </row>
    <row r="108" spans="1:17" ht="15" thickTop="1">
      <c r="A108" s="599"/>
      <c r="B108" s="538" t="s">
        <v>2604</v>
      </c>
      <c r="C108" s="554"/>
      <c r="D108" s="554"/>
      <c r="E108" s="554"/>
      <c r="F108" s="583"/>
      <c r="G108" s="583"/>
      <c r="H108" s="583"/>
      <c r="I108" s="583"/>
      <c r="J108" s="583"/>
      <c r="K108" s="584"/>
      <c r="L108" s="585"/>
      <c r="M108" s="586"/>
      <c r="N108" s="1155"/>
      <c r="O108" s="1155"/>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2"/>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2"/>
      <c r="Q112" s="504"/>
    </row>
    <row r="113" spans="1:17" s="471" customFormat="1" ht="15" thickTop="1">
      <c r="A113" s="593"/>
      <c r="B113" s="538" t="s">
        <v>2688</v>
      </c>
      <c r="C113" s="554"/>
      <c r="D113" s="554"/>
      <c r="E113" s="554"/>
      <c r="F113" s="554"/>
      <c r="G113" s="554"/>
      <c r="H113" s="583"/>
      <c r="I113" s="583"/>
      <c r="J113" s="583"/>
      <c r="K113" s="584"/>
      <c r="L113" s="585"/>
      <c r="M113" s="586"/>
      <c r="N113" s="1157"/>
      <c r="O113" s="1157"/>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3"/>
      <c r="Q114" s="559"/>
    </row>
    <row r="115" spans="1:17" ht="15" thickTop="1">
      <c r="A115" s="599"/>
      <c r="B115" s="538" t="s">
        <v>2605</v>
      </c>
      <c r="C115" s="554"/>
      <c r="D115" s="554"/>
      <c r="E115" s="583"/>
      <c r="F115" s="583"/>
      <c r="G115" s="583"/>
      <c r="H115" s="583"/>
      <c r="I115" s="583"/>
      <c r="J115" s="583"/>
      <c r="K115" s="584"/>
      <c r="L115" s="585"/>
      <c r="M115" s="586"/>
      <c r="N115" s="1155"/>
      <c r="O115" s="1155"/>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2"/>
      <c r="Q116" s="504"/>
    </row>
    <row r="117" spans="1:17" ht="15" thickTop="1">
      <c r="A117" s="599"/>
      <c r="B117" s="538" t="s">
        <v>2606</v>
      </c>
      <c r="C117" s="554"/>
      <c r="D117" s="554"/>
      <c r="E117" s="554"/>
      <c r="F117" s="554"/>
      <c r="G117" s="554"/>
      <c r="H117" s="583"/>
      <c r="I117" s="583"/>
      <c r="J117" s="583"/>
      <c r="K117" s="584"/>
      <c r="L117" s="585"/>
      <c r="M117" s="586"/>
      <c r="N117" s="1155"/>
      <c r="O117" s="1155"/>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2"/>
      <c r="Q118" s="504"/>
    </row>
    <row r="119" spans="1:17" ht="15" thickTop="1">
      <c r="A119" s="599"/>
      <c r="B119" s="636" t="s">
        <v>2689</v>
      </c>
      <c r="C119" s="583"/>
      <c r="D119" s="583"/>
      <c r="E119" s="583"/>
      <c r="F119" s="583"/>
      <c r="G119" s="583"/>
      <c r="H119" s="583"/>
      <c r="I119" s="583"/>
      <c r="J119" s="583"/>
      <c r="K119" s="583"/>
      <c r="L119" s="2687"/>
      <c r="M119" s="2688"/>
      <c r="N119" s="1156"/>
      <c r="O119" s="1156"/>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2"/>
      <c r="Q120" s="504"/>
    </row>
    <row r="121" spans="1:17" s="471" customFormat="1" ht="15" thickTop="1">
      <c r="A121" s="593"/>
      <c r="B121" s="538" t="s">
        <v>2672</v>
      </c>
      <c r="C121" s="554"/>
      <c r="D121" s="554"/>
      <c r="E121" s="554"/>
      <c r="F121" s="583"/>
      <c r="G121" s="555"/>
      <c r="H121" s="555"/>
      <c r="I121" s="555"/>
      <c r="J121" s="555"/>
      <c r="K121" s="555"/>
      <c r="L121" s="556"/>
      <c r="M121" s="557"/>
      <c r="N121" s="1157"/>
      <c r="O121" s="1157"/>
      <c r="P121" s="268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3"/>
      <c r="Q122" s="559"/>
    </row>
    <row r="123" spans="1:17" ht="15" thickTop="1">
      <c r="A123" s="599"/>
      <c r="B123" s="538" t="s">
        <v>2608</v>
      </c>
      <c r="C123" s="554"/>
      <c r="D123" s="554"/>
      <c r="E123" s="554"/>
      <c r="F123" s="583"/>
      <c r="G123" s="583"/>
      <c r="H123" s="583"/>
      <c r="I123" s="583"/>
      <c r="J123" s="583"/>
      <c r="K123" s="584"/>
      <c r="L123" s="585"/>
      <c r="M123" s="586"/>
      <c r="N123" s="1155"/>
      <c r="O123" s="1155"/>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2"/>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5"/>
      <c r="O125" s="1155"/>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3"/>
      <c r="Q128" s="559"/>
    </row>
    <row r="129" spans="1:17" ht="15" thickTop="1">
      <c r="A129" s="599"/>
      <c r="B129" s="538">
        <f>B46</f>
        <v>111</v>
      </c>
      <c r="C129" s="554"/>
      <c r="D129" s="554"/>
      <c r="E129" s="554"/>
      <c r="F129" s="554"/>
      <c r="G129" s="583"/>
      <c r="H129" s="583"/>
      <c r="I129" s="583"/>
      <c r="J129" s="583"/>
      <c r="K129" s="584"/>
      <c r="L129" s="585"/>
      <c r="M129" s="586"/>
      <c r="N129" s="1155"/>
      <c r="O129" s="1155"/>
      <c r="P129" s="2682"/>
      <c r="Q129" s="504"/>
    </row>
    <row r="130" spans="1:17" ht="15.75" thickBot="1">
      <c r="A130" s="534"/>
      <c r="B130" s="543"/>
      <c r="C130" s="560"/>
      <c r="D130" s="560"/>
      <c r="E130" s="560"/>
      <c r="F130" s="560"/>
      <c r="G130" s="536"/>
      <c r="H130" s="536"/>
      <c r="I130" s="536"/>
      <c r="J130" s="536"/>
      <c r="K130" s="536"/>
      <c r="L130" s="536"/>
      <c r="M130" s="537"/>
      <c r="N130" s="1156"/>
      <c r="O130" s="1156"/>
      <c r="P130" s="2682"/>
      <c r="Q130" s="504"/>
    </row>
    <row r="131" spans="1:17" ht="15" thickTop="1">
      <c r="A131" s="599"/>
      <c r="B131" s="546">
        <f>B47</f>
        <v>111</v>
      </c>
      <c r="C131" s="523"/>
      <c r="D131" s="523"/>
      <c r="E131" s="523"/>
      <c r="F131" s="523"/>
      <c r="G131" s="587"/>
      <c r="H131" s="587"/>
      <c r="I131" s="587"/>
      <c r="J131" s="587"/>
      <c r="K131" s="523"/>
      <c r="L131" s="524"/>
      <c r="M131" s="590"/>
      <c r="N131" s="1155"/>
      <c r="O131" s="1155"/>
      <c r="P131" s="2682"/>
      <c r="Q131" s="504"/>
    </row>
    <row r="132" spans="1:17" ht="15.75" thickBot="1">
      <c r="A132" s="2634"/>
      <c r="B132" s="569"/>
      <c r="C132" s="570"/>
      <c r="D132" s="570"/>
      <c r="E132" s="570"/>
      <c r="F132" s="570"/>
      <c r="G132" s="591"/>
      <c r="H132" s="591"/>
      <c r="I132" s="591"/>
      <c r="J132" s="591"/>
      <c r="K132" s="591"/>
      <c r="L132" s="591"/>
      <c r="M132" s="592"/>
      <c r="N132" s="1156"/>
      <c r="O132" s="1156"/>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67" t="s">
        <v>2690</v>
      </c>
      <c r="C1" s="1623" t="s">
        <v>2518</v>
      </c>
      <c r="D1" s="1624"/>
      <c r="E1" s="1633"/>
      <c r="F1" s="2585"/>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IF(C2="——",ROUND(C43*D3/10000,0),ROUND(C43*D3/10000,0)-D2)</f>
        <v>#DIV/0!</v>
      </c>
      <c r="C2" s="2587"/>
      <c r="D2" s="1127" t="e">
        <f ca="1">SUMIF(INDIRECT("'"&amp;F2&amp;"'"&amp;"!A:A"),"承租人权益价值",INDIRECT("'"&amp;F2&amp;"'"&amp;"!c:c"))</f>
        <v>#REF!</v>
      </c>
      <c r="E2" s="2588" t="s">
        <v>2316</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91.52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86" t="s">
        <v>2634</v>
      </c>
      <c r="D4" s="3187"/>
      <c r="E4" s="3188" t="s">
        <v>2635</v>
      </c>
      <c r="F4" s="3189"/>
      <c r="G4" s="3186" t="s">
        <v>2636</v>
      </c>
      <c r="H4" s="3187"/>
      <c r="I4" s="3186" t="s">
        <v>2637</v>
      </c>
      <c r="J4" s="3187"/>
      <c r="K4" s="610" t="s">
        <v>2638</v>
      </c>
      <c r="L4" s="1133"/>
      <c r="M4" s="1134"/>
      <c r="N4" s="1134"/>
      <c r="O4" s="1134"/>
      <c r="P4" s="3190" t="s">
        <v>2639</v>
      </c>
      <c r="Q4" s="3191"/>
      <c r="R4" s="3196" t="s">
        <v>2635</v>
      </c>
      <c r="S4" s="3197"/>
      <c r="T4" s="3196" t="s">
        <v>2636</v>
      </c>
      <c r="U4" s="3197"/>
      <c r="V4" s="3202" t="s">
        <v>2637</v>
      </c>
      <c r="W4" s="3202"/>
      <c r="X4" s="1815"/>
      <c r="Y4" s="3196" t="s">
        <v>2639</v>
      </c>
      <c r="Z4" s="3197"/>
      <c r="AA4" s="3183" t="s">
        <v>2635</v>
      </c>
      <c r="AB4" s="3184" t="s">
        <v>2636</v>
      </c>
      <c r="AC4" s="3183" t="s">
        <v>2637</v>
      </c>
    </row>
    <row r="5" spans="1:29" ht="15">
      <c r="A5" s="404"/>
      <c r="B5" s="405"/>
      <c r="C5" s="3234" t="s">
        <v>2530</v>
      </c>
      <c r="D5" s="3206"/>
      <c r="E5" s="3235" t="s">
        <v>2531</v>
      </c>
      <c r="F5" s="3236"/>
      <c r="G5" s="3234" t="s">
        <v>2532</v>
      </c>
      <c r="H5" s="3206"/>
      <c r="I5" s="3234" t="s">
        <v>2533</v>
      </c>
      <c r="J5" s="3206"/>
      <c r="K5" s="610"/>
      <c r="L5" s="1133"/>
      <c r="M5" s="1134"/>
      <c r="N5" s="1134"/>
      <c r="O5" s="1134"/>
      <c r="P5" s="3192"/>
      <c r="Q5" s="3193"/>
      <c r="R5" s="3198"/>
      <c r="S5" s="3199"/>
      <c r="T5" s="3198"/>
      <c r="U5" s="3199"/>
      <c r="V5" s="3202"/>
      <c r="W5" s="3202"/>
      <c r="X5" s="1815"/>
      <c r="Y5" s="3198"/>
      <c r="Z5" s="3199"/>
      <c r="AA5" s="3184"/>
      <c r="AB5" s="3184"/>
      <c r="AC5" s="3184"/>
    </row>
    <row r="6" spans="1:29" ht="15.75" thickBot="1">
      <c r="A6" s="406"/>
      <c r="B6" s="407"/>
      <c r="C6" s="3203" t="s">
        <v>2534</v>
      </c>
      <c r="D6" s="3204"/>
      <c r="E6" s="3210" t="s">
        <v>2534</v>
      </c>
      <c r="F6" s="3211"/>
      <c r="G6" s="3203" t="s">
        <v>2534</v>
      </c>
      <c r="H6" s="3204"/>
      <c r="I6" s="3203" t="s">
        <v>2534</v>
      </c>
      <c r="J6" s="3204"/>
      <c r="K6" s="610" t="s">
        <v>2535</v>
      </c>
      <c r="L6" s="1133"/>
      <c r="M6" s="1134"/>
      <c r="N6" s="1134"/>
      <c r="O6" s="1134"/>
      <c r="P6" s="3194"/>
      <c r="Q6" s="3195"/>
      <c r="R6" s="3198"/>
      <c r="S6" s="3199"/>
      <c r="T6" s="3200"/>
      <c r="U6" s="3201"/>
      <c r="V6" s="3202"/>
      <c r="W6" s="3202"/>
      <c r="X6" s="1815"/>
      <c r="Y6" s="3200"/>
      <c r="Z6" s="3201"/>
      <c r="AA6" s="3185"/>
      <c r="AB6" s="3185"/>
      <c r="AC6" s="3185"/>
    </row>
    <row r="7" spans="1:29" s="117" customFormat="1" ht="15.75" thickBot="1">
      <c r="A7" s="408" t="s">
        <v>2536</v>
      </c>
      <c r="B7" s="409"/>
      <c r="C7" s="410">
        <f>'数据-取费表'!B2</f>
        <v>43249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7" t="s">
        <v>2537</v>
      </c>
      <c r="Q7" s="3209"/>
      <c r="R7" s="770" t="s">
        <v>17</v>
      </c>
      <c r="S7" s="771">
        <f t="shared" ref="S7:S15" si="0">F7</f>
        <v>0</v>
      </c>
      <c r="T7" s="770" t="s">
        <v>17</v>
      </c>
      <c r="U7" s="771">
        <f t="shared" ref="U7:U15" si="1">H7</f>
        <v>0</v>
      </c>
      <c r="V7" s="770" t="s">
        <v>17</v>
      </c>
      <c r="W7" s="771">
        <f t="shared" ref="W7:W15" si="2">J7</f>
        <v>0</v>
      </c>
      <c r="X7" s="772"/>
      <c r="Y7" s="3207" t="s">
        <v>2537</v>
      </c>
      <c r="Z7" s="3208"/>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7" t="s">
        <v>2540</v>
      </c>
      <c r="Q8" s="3208"/>
      <c r="R8" s="770" t="s">
        <v>17</v>
      </c>
      <c r="S8" s="771">
        <f t="shared" si="0"/>
        <v>0</v>
      </c>
      <c r="T8" s="770" t="s">
        <v>17</v>
      </c>
      <c r="U8" s="771">
        <f t="shared" si="1"/>
        <v>0</v>
      </c>
      <c r="V8" s="770" t="s">
        <v>17</v>
      </c>
      <c r="W8" s="771">
        <f t="shared" si="2"/>
        <v>0</v>
      </c>
      <c r="X8" s="772"/>
      <c r="Y8" s="3207" t="s">
        <v>2540</v>
      </c>
      <c r="Z8" s="3208"/>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71" t="s">
        <v>2543</v>
      </c>
      <c r="Q9" s="1797" t="str">
        <f t="shared" ref="Q9:Q15" si="6">B9</f>
        <v>用途</v>
      </c>
      <c r="R9" s="770" t="s">
        <v>17</v>
      </c>
      <c r="S9" s="771">
        <f t="shared" si="0"/>
        <v>100</v>
      </c>
      <c r="T9" s="770" t="s">
        <v>17</v>
      </c>
      <c r="U9" s="771">
        <f t="shared" si="1"/>
        <v>100</v>
      </c>
      <c r="V9" s="770" t="s">
        <v>17</v>
      </c>
      <c r="W9" s="771">
        <f t="shared" si="2"/>
        <v>100</v>
      </c>
      <c r="X9" s="772"/>
      <c r="Y9" s="3018"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71"/>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71"/>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0"/>
      <c r="H12" s="136">
        <f>SUMIF(64:64,G12,65:65)-SUMIF(64:64,C12,65:65)+100</f>
        <v>100</v>
      </c>
      <c r="I12" s="469"/>
      <c r="J12" s="136">
        <f>SUMIF(64:64,I12,65:65)-SUMIF(64:64,C12,65:65)+100</f>
        <v>100</v>
      </c>
      <c r="K12" s="613"/>
      <c r="L12" s="1135"/>
      <c r="M12" s="1136"/>
      <c r="N12" s="1136"/>
      <c r="O12" s="1137"/>
      <c r="P12" s="3171"/>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0"/>
      <c r="H13" s="435">
        <f>SUMIF(66:66,G13,67:67)-SUMIF(66:66,C13,67:67)+100</f>
        <v>100</v>
      </c>
      <c r="I13" s="469"/>
      <c r="J13" s="435">
        <f>SUMIF(66:66,I13,67:67)-SUMIF(66:66,C13,67:67)+100</f>
        <v>100</v>
      </c>
      <c r="K13" s="613"/>
      <c r="L13" s="1143"/>
      <c r="M13" s="1134"/>
      <c r="N13" s="1134"/>
      <c r="O13" s="1142"/>
      <c r="P13" s="3171"/>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3"/>
      <c r="M14" s="1134"/>
      <c r="N14" s="1134"/>
      <c r="O14" s="1142"/>
      <c r="P14" s="3171"/>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15">
      <c r="A15" s="440" t="s">
        <v>2547</v>
      </c>
      <c r="B15" s="69" t="s">
        <v>2691</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3" t="s">
        <v>2548</v>
      </c>
      <c r="Q15" s="1812" t="str">
        <f t="shared" si="6"/>
        <v>产业集聚程度</v>
      </c>
      <c r="R15" s="774" t="s">
        <v>17</v>
      </c>
      <c r="S15" s="775">
        <f t="shared" si="0"/>
        <v>100</v>
      </c>
      <c r="T15" s="774" t="s">
        <v>17</v>
      </c>
      <c r="U15" s="775">
        <f t="shared" si="1"/>
        <v>100</v>
      </c>
      <c r="V15" s="774" t="s">
        <v>17</v>
      </c>
      <c r="W15" s="775">
        <f t="shared" si="2"/>
        <v>100</v>
      </c>
      <c r="X15" s="1815"/>
      <c r="Y15" s="3173" t="s">
        <v>2548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74"/>
      <c r="Q16" s="1812"/>
      <c r="R16" s="774"/>
      <c r="S16" s="775"/>
      <c r="T16" s="774"/>
      <c r="U16" s="775"/>
      <c r="V16" s="774"/>
      <c r="W16" s="775"/>
      <c r="X16" s="1815"/>
      <c r="Y16" s="3174"/>
      <c r="Z16" s="1816"/>
      <c r="AA16" s="1813">
        <v>1</v>
      </c>
      <c r="AB16" s="1813">
        <v>1</v>
      </c>
      <c r="AC16" s="1813">
        <v>1</v>
      </c>
    </row>
    <row r="17" spans="1:29" ht="15">
      <c r="A17" s="428"/>
      <c r="B17" s="451" t="s">
        <v>2087</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4"/>
      <c r="Q17" s="1812" t="str">
        <f>B17</f>
        <v>交通便捷度</v>
      </c>
      <c r="R17" s="774" t="s">
        <v>17</v>
      </c>
      <c r="S17" s="775">
        <f>F17</f>
        <v>100</v>
      </c>
      <c r="T17" s="774" t="s">
        <v>17</v>
      </c>
      <c r="U17" s="775">
        <f>H17</f>
        <v>100</v>
      </c>
      <c r="V17" s="774" t="s">
        <v>17</v>
      </c>
      <c r="W17" s="775">
        <f>J17</f>
        <v>100</v>
      </c>
      <c r="X17" s="1815"/>
      <c r="Y17" s="3174"/>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3"/>
      <c r="M18" s="1134"/>
      <c r="N18" s="1134"/>
      <c r="O18" s="1142"/>
      <c r="P18" s="3174"/>
      <c r="Q18" s="1812"/>
      <c r="R18" s="774"/>
      <c r="S18" s="775"/>
      <c r="T18" s="774"/>
      <c r="U18" s="775"/>
      <c r="V18" s="774"/>
      <c r="W18" s="775"/>
      <c r="X18" s="1815"/>
      <c r="Y18" s="3174"/>
      <c r="Z18" s="1816"/>
      <c r="AA18" s="1813">
        <v>1</v>
      </c>
      <c r="AB18" s="1813">
        <v>1</v>
      </c>
      <c r="AC18" s="1813">
        <v>1</v>
      </c>
    </row>
    <row r="19" spans="1:29" ht="15">
      <c r="A19" s="428"/>
      <c r="B19" s="451" t="s">
        <v>2676</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4"/>
      <c r="Q19" s="1812" t="str">
        <f>B19</f>
        <v>公共配套设施</v>
      </c>
      <c r="R19" s="774" t="s">
        <v>17</v>
      </c>
      <c r="S19" s="775">
        <f>F19</f>
        <v>100</v>
      </c>
      <c r="T19" s="774" t="s">
        <v>17</v>
      </c>
      <c r="U19" s="775">
        <f>H19</f>
        <v>100</v>
      </c>
      <c r="V19" s="774" t="s">
        <v>17</v>
      </c>
      <c r="W19" s="775">
        <f>J19</f>
        <v>100</v>
      </c>
      <c r="X19" s="1815"/>
      <c r="Y19" s="3174"/>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3"/>
      <c r="M20" s="1134"/>
      <c r="N20" s="1134"/>
      <c r="O20" s="1142"/>
      <c r="P20" s="3174"/>
      <c r="Q20" s="1812"/>
      <c r="R20" s="774"/>
      <c r="S20" s="775"/>
      <c r="T20" s="774"/>
      <c r="U20" s="775"/>
      <c r="V20" s="774"/>
      <c r="W20" s="775"/>
      <c r="X20" s="1815"/>
      <c r="Y20" s="3174"/>
      <c r="Z20" s="1816"/>
      <c r="AA20" s="1813">
        <v>1</v>
      </c>
      <c r="AB20" s="1813">
        <v>1</v>
      </c>
      <c r="AC20" s="1813">
        <v>1</v>
      </c>
    </row>
    <row r="21" spans="1:29" ht="15">
      <c r="A21" s="428"/>
      <c r="B21" s="1387" t="s">
        <v>2677</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4"/>
      <c r="Q21" s="1812" t="str">
        <f>B21</f>
        <v>基础设施水平</v>
      </c>
      <c r="R21" s="774" t="s">
        <v>17</v>
      </c>
      <c r="S21" s="775">
        <f>F21</f>
        <v>100</v>
      </c>
      <c r="T21" s="774" t="s">
        <v>17</v>
      </c>
      <c r="U21" s="775">
        <f>H21</f>
        <v>100</v>
      </c>
      <c r="V21" s="774" t="s">
        <v>17</v>
      </c>
      <c r="W21" s="775">
        <f>J21</f>
        <v>100</v>
      </c>
      <c r="X21" s="1815"/>
      <c r="Y21" s="3174"/>
      <c r="Z21" s="1816" t="str">
        <f>Q21</f>
        <v>基础设施水平</v>
      </c>
      <c r="AA21" s="1813">
        <f t="shared" ref="AA21" si="8">D21/F21</f>
        <v>1</v>
      </c>
      <c r="AB21" s="1813">
        <f t="shared" ref="AB21" si="9">D21/H21</f>
        <v>1</v>
      </c>
      <c r="AC21" s="1813">
        <f t="shared" ref="AC21" si="10">D21/J21</f>
        <v>1</v>
      </c>
    </row>
    <row r="22" spans="1:29" ht="15">
      <c r="A22" s="428"/>
      <c r="B22" s="1387"/>
      <c r="C22" s="2608"/>
      <c r="D22" s="448"/>
      <c r="E22" s="447"/>
      <c r="F22" s="449"/>
      <c r="G22" s="447"/>
      <c r="H22" s="448"/>
      <c r="I22" s="447"/>
      <c r="J22" s="448"/>
      <c r="K22" s="1386"/>
      <c r="L22" s="1143"/>
      <c r="M22" s="1134"/>
      <c r="N22" s="1134"/>
      <c r="O22" s="1142"/>
      <c r="P22" s="3174"/>
      <c r="Q22" s="1812"/>
      <c r="R22" s="774"/>
      <c r="S22" s="775"/>
      <c r="T22" s="774"/>
      <c r="U22" s="775"/>
      <c r="V22" s="774"/>
      <c r="W22" s="775"/>
      <c r="X22" s="1815"/>
      <c r="Y22" s="3174"/>
      <c r="Z22" s="1816"/>
      <c r="AA22" s="1813">
        <v>1</v>
      </c>
      <c r="AB22" s="1813">
        <v>1</v>
      </c>
      <c r="AC22" s="1813">
        <v>1</v>
      </c>
    </row>
    <row r="23" spans="1:29" ht="15">
      <c r="A23" s="428"/>
      <c r="B23" s="451" t="s">
        <v>2678</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4"/>
      <c r="Q23" s="1812" t="str">
        <f>B23</f>
        <v>环境质量</v>
      </c>
      <c r="R23" s="774" t="s">
        <v>17</v>
      </c>
      <c r="S23" s="775">
        <f>F23</f>
        <v>100</v>
      </c>
      <c r="T23" s="774" t="s">
        <v>17</v>
      </c>
      <c r="U23" s="775">
        <f>H23</f>
        <v>100</v>
      </c>
      <c r="V23" s="774" t="s">
        <v>17</v>
      </c>
      <c r="W23" s="775">
        <f>J23</f>
        <v>100</v>
      </c>
      <c r="X23" s="1815"/>
      <c r="Y23" s="3174"/>
      <c r="Z23" s="1816" t="str">
        <f>Q23</f>
        <v>环境质量</v>
      </c>
      <c r="AA23" s="1813">
        <f t="shared" si="3"/>
        <v>1</v>
      </c>
      <c r="AB23" s="1813">
        <f t="shared" si="4"/>
        <v>1</v>
      </c>
      <c r="AC23" s="1813">
        <f t="shared" si="5"/>
        <v>1</v>
      </c>
    </row>
    <row r="24" spans="1:29" ht="15">
      <c r="A24" s="428"/>
      <c r="B24" s="1387"/>
      <c r="C24" s="447"/>
      <c r="D24" s="448"/>
      <c r="E24" s="2605"/>
      <c r="F24" s="449"/>
      <c r="G24" s="2604"/>
      <c r="H24" s="448"/>
      <c r="I24" s="2605"/>
      <c r="J24" s="448"/>
      <c r="K24" s="615"/>
      <c r="L24" s="1143"/>
      <c r="M24" s="1134"/>
      <c r="N24" s="1134"/>
      <c r="O24" s="1142"/>
      <c r="P24" s="3174"/>
      <c r="Q24" s="1812"/>
      <c r="R24" s="774"/>
      <c r="S24" s="775"/>
      <c r="T24" s="774"/>
      <c r="U24" s="775"/>
      <c r="V24" s="774"/>
      <c r="W24" s="775"/>
      <c r="X24" s="1815"/>
      <c r="Y24" s="3174"/>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4"/>
      <c r="Q25" s="1812">
        <f>B25</f>
        <v>111</v>
      </c>
      <c r="R25" s="774" t="s">
        <v>17</v>
      </c>
      <c r="S25" s="775">
        <f>F25</f>
        <v>100</v>
      </c>
      <c r="T25" s="774" t="s">
        <v>17</v>
      </c>
      <c r="U25" s="775">
        <f>H25</f>
        <v>100</v>
      </c>
      <c r="V25" s="774" t="s">
        <v>17</v>
      </c>
      <c r="W25" s="775">
        <f>J25</f>
        <v>100</v>
      </c>
      <c r="X25" s="1815"/>
      <c r="Y25" s="3174"/>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4"/>
      <c r="Q26" s="1812">
        <f t="shared" ref="Q26:Q40" si="11">B26</f>
        <v>111</v>
      </c>
      <c r="R26" s="774" t="s">
        <v>17</v>
      </c>
      <c r="S26" s="775">
        <f>F26</f>
        <v>100</v>
      </c>
      <c r="T26" s="774" t="s">
        <v>17</v>
      </c>
      <c r="U26" s="775">
        <f>H26</f>
        <v>100</v>
      </c>
      <c r="V26" s="774" t="s">
        <v>17</v>
      </c>
      <c r="W26" s="775">
        <f>J26</f>
        <v>100</v>
      </c>
      <c r="X26" s="1815"/>
      <c r="Y26" s="3174"/>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4"/>
      <c r="Q27" s="1797">
        <f t="shared" si="11"/>
        <v>111</v>
      </c>
      <c r="R27" s="770" t="s">
        <v>17</v>
      </c>
      <c r="S27" s="771">
        <f>F27</f>
        <v>100</v>
      </c>
      <c r="T27" s="770" t="s">
        <v>17</v>
      </c>
      <c r="U27" s="771">
        <f>H27</f>
        <v>100</v>
      </c>
      <c r="V27" s="770" t="s">
        <v>17</v>
      </c>
      <c r="W27" s="771">
        <f>J27</f>
        <v>100</v>
      </c>
      <c r="X27" s="772"/>
      <c r="Y27" s="3174"/>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4"/>
      <c r="Q28" s="1812">
        <f t="shared" si="11"/>
        <v>111</v>
      </c>
      <c r="R28" s="774" t="s">
        <v>17</v>
      </c>
      <c r="S28" s="775">
        <f t="shared" ref="S28:S40" si="12">F28</f>
        <v>100</v>
      </c>
      <c r="T28" s="774" t="s">
        <v>17</v>
      </c>
      <c r="U28" s="775">
        <f t="shared" ref="U28:U40" si="13">H28</f>
        <v>100</v>
      </c>
      <c r="V28" s="774" t="s">
        <v>17</v>
      </c>
      <c r="W28" s="775">
        <f t="shared" ref="W28:W40" si="14">J28</f>
        <v>100</v>
      </c>
      <c r="X28" s="1815"/>
      <c r="Y28" s="3174"/>
      <c r="Z28" s="1816">
        <f t="shared" ref="Z28:Z40" si="15">Q28</f>
        <v>111</v>
      </c>
      <c r="AA28" s="1813">
        <f t="shared" si="3"/>
        <v>1</v>
      </c>
      <c r="AB28" s="1813">
        <f t="shared" si="4"/>
        <v>1</v>
      </c>
      <c r="AC28" s="1813">
        <f t="shared" si="5"/>
        <v>1</v>
      </c>
    </row>
    <row r="29" spans="1:29" ht="15">
      <c r="A29" s="466" t="s">
        <v>2551</v>
      </c>
      <c r="B29" s="71" t="s">
        <v>2681</v>
      </c>
      <c r="C29" s="2677"/>
      <c r="D29" s="467">
        <v>100</v>
      </c>
      <c r="E29" s="2677"/>
      <c r="F29" s="461">
        <f>SUMIF(88:88,E29,89:89)-SUMIF(88:88,C29,89:89)+100</f>
        <v>100</v>
      </c>
      <c r="G29" s="2677"/>
      <c r="H29" s="435">
        <f>SUMIF(88:88,G29,89:89)-SUMIF(88:88,C29,89:89)+100</f>
        <v>100</v>
      </c>
      <c r="I29" s="2677"/>
      <c r="J29" s="467">
        <f>SUMIF(88:88,I29,89:89)-SUMIF(88:88,C29,89:89)+100</f>
        <v>100</v>
      </c>
      <c r="K29" s="612"/>
      <c r="L29" s="1143"/>
      <c r="M29" s="1134"/>
      <c r="N29" s="1134"/>
      <c r="O29" s="1142"/>
      <c r="P29" s="3252" t="s">
        <v>2553</v>
      </c>
      <c r="Q29" s="1812" t="str">
        <f t="shared" si="11"/>
        <v>建筑类型</v>
      </c>
      <c r="R29" s="774" t="s">
        <v>17</v>
      </c>
      <c r="S29" s="775">
        <f t="shared" si="12"/>
        <v>100</v>
      </c>
      <c r="T29" s="774" t="s">
        <v>17</v>
      </c>
      <c r="U29" s="775">
        <f t="shared" si="13"/>
        <v>100</v>
      </c>
      <c r="V29" s="774" t="s">
        <v>17</v>
      </c>
      <c r="W29" s="775">
        <f t="shared" si="14"/>
        <v>100</v>
      </c>
      <c r="X29" s="1815"/>
      <c r="Y29" s="3178" t="s">
        <v>2553</v>
      </c>
      <c r="Z29" s="1816" t="str">
        <f t="shared" si="15"/>
        <v>建筑类型</v>
      </c>
      <c r="AA29" s="1813">
        <f t="shared" si="3"/>
        <v>1</v>
      </c>
      <c r="AB29" s="1813">
        <f t="shared" si="4"/>
        <v>1</v>
      </c>
      <c r="AC29" s="1813">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8"/>
      <c r="Q30" s="776" t="str">
        <f t="shared" si="11"/>
        <v>项目建筑规模</v>
      </c>
      <c r="R30" s="777" t="s">
        <v>17</v>
      </c>
      <c r="S30" s="778" t="e">
        <f t="shared" si="12"/>
        <v>#N/A</v>
      </c>
      <c r="T30" s="777" t="s">
        <v>17</v>
      </c>
      <c r="U30" s="778" t="e">
        <f t="shared" si="13"/>
        <v>#N/A</v>
      </c>
      <c r="V30" s="777" t="s">
        <v>17</v>
      </c>
      <c r="W30" s="778" t="e">
        <f t="shared" si="14"/>
        <v>#N/A</v>
      </c>
      <c r="X30" s="779"/>
      <c r="Y30" s="3178"/>
      <c r="Z30" s="780" t="str">
        <f t="shared" si="15"/>
        <v>项目建筑规模</v>
      </c>
      <c r="AA30" s="1813" t="e">
        <f t="shared" si="3"/>
        <v>#N/A</v>
      </c>
      <c r="AB30" s="1813" t="e">
        <f t="shared" si="4"/>
        <v>#N/A</v>
      </c>
      <c r="AC30" s="1813"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8"/>
      <c r="Q31" s="1812" t="str">
        <f t="shared" si="11"/>
        <v>建筑结构</v>
      </c>
      <c r="R31" s="774" t="s">
        <v>17</v>
      </c>
      <c r="S31" s="775">
        <f t="shared" si="12"/>
        <v>100</v>
      </c>
      <c r="T31" s="774" t="s">
        <v>17</v>
      </c>
      <c r="U31" s="775">
        <f t="shared" si="13"/>
        <v>100</v>
      </c>
      <c r="V31" s="774" t="s">
        <v>17</v>
      </c>
      <c r="W31" s="775">
        <f t="shared" si="14"/>
        <v>100</v>
      </c>
      <c r="X31" s="1815"/>
      <c r="Y31" s="3178"/>
      <c r="Z31" s="1816" t="str">
        <f t="shared" si="15"/>
        <v>建筑结构</v>
      </c>
      <c r="AA31" s="1813">
        <f t="shared" si="3"/>
        <v>1</v>
      </c>
      <c r="AB31" s="1813">
        <f t="shared" si="4"/>
        <v>1</v>
      </c>
      <c r="AC31" s="1813">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8"/>
      <c r="Q32" s="1812" t="str">
        <f t="shared" si="11"/>
        <v>公共部分装修</v>
      </c>
      <c r="R32" s="774" t="s">
        <v>17</v>
      </c>
      <c r="S32" s="775">
        <f t="shared" si="12"/>
        <v>100</v>
      </c>
      <c r="T32" s="774" t="s">
        <v>17</v>
      </c>
      <c r="U32" s="775">
        <f t="shared" si="13"/>
        <v>100</v>
      </c>
      <c r="V32" s="774" t="s">
        <v>17</v>
      </c>
      <c r="W32" s="775">
        <f t="shared" si="14"/>
        <v>100</v>
      </c>
      <c r="X32" s="1815"/>
      <c r="Y32" s="3178"/>
      <c r="Z32" s="1816" t="str">
        <f t="shared" si="15"/>
        <v>公共部分装修</v>
      </c>
      <c r="AA32" s="1813">
        <f t="shared" si="3"/>
        <v>1</v>
      </c>
      <c r="AB32" s="1813">
        <f t="shared" si="4"/>
        <v>1</v>
      </c>
      <c r="AC32" s="1813">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8"/>
      <c r="Q33" s="1812" t="str">
        <f t="shared" si="11"/>
        <v>成新度</v>
      </c>
      <c r="R33" s="774" t="s">
        <v>17</v>
      </c>
      <c r="S33" s="775" t="e">
        <f t="shared" si="12"/>
        <v>#N/A</v>
      </c>
      <c r="T33" s="774" t="s">
        <v>17</v>
      </c>
      <c r="U33" s="775" t="e">
        <f t="shared" si="13"/>
        <v>#N/A</v>
      </c>
      <c r="V33" s="774" t="s">
        <v>17</v>
      </c>
      <c r="W33" s="775" t="e">
        <f t="shared" si="14"/>
        <v>#N/A</v>
      </c>
      <c r="X33" s="1815"/>
      <c r="Y33" s="3178"/>
      <c r="Z33" s="1816" t="str">
        <f t="shared" si="15"/>
        <v>成新度</v>
      </c>
      <c r="AA33" s="1813" t="e">
        <f t="shared" si="3"/>
        <v>#N/A</v>
      </c>
      <c r="AB33" s="1813" t="e">
        <f t="shared" si="4"/>
        <v>#N/A</v>
      </c>
      <c r="AC33" s="1813"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8"/>
      <c r="Q34" s="1797" t="str">
        <f t="shared" si="11"/>
        <v>物业管理</v>
      </c>
      <c r="R34" s="770" t="s">
        <v>17</v>
      </c>
      <c r="S34" s="771">
        <f t="shared" si="12"/>
        <v>100</v>
      </c>
      <c r="T34" s="770" t="s">
        <v>17</v>
      </c>
      <c r="U34" s="771">
        <f t="shared" si="13"/>
        <v>100</v>
      </c>
      <c r="V34" s="770" t="s">
        <v>17</v>
      </c>
      <c r="W34" s="771">
        <f t="shared" si="14"/>
        <v>100</v>
      </c>
      <c r="X34" s="772"/>
      <c r="Y34" s="3178"/>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8" t="s">
        <v>2553</v>
      </c>
      <c r="Q35" s="1812" t="str">
        <f t="shared" si="11"/>
        <v>市政基础设施</v>
      </c>
      <c r="R35" s="774" t="s">
        <v>17</v>
      </c>
      <c r="S35" s="775">
        <f t="shared" si="12"/>
        <v>100</v>
      </c>
      <c r="T35" s="774" t="s">
        <v>17</v>
      </c>
      <c r="U35" s="775">
        <f t="shared" si="13"/>
        <v>100</v>
      </c>
      <c r="V35" s="774" t="s">
        <v>17</v>
      </c>
      <c r="W35" s="775">
        <f t="shared" si="14"/>
        <v>100</v>
      </c>
      <c r="X35" s="1815"/>
      <c r="Y35" s="3178" t="s">
        <v>2553</v>
      </c>
      <c r="Z35" s="1816" t="str">
        <f t="shared" si="15"/>
        <v>市政基础设施</v>
      </c>
      <c r="AA35" s="1813">
        <f t="shared" si="3"/>
        <v>1</v>
      </c>
      <c r="AB35" s="1813">
        <f t="shared" si="4"/>
        <v>1</v>
      </c>
      <c r="AC35" s="1813">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8"/>
      <c r="Q36" s="1812" t="str">
        <f t="shared" si="11"/>
        <v>内部装修</v>
      </c>
      <c r="R36" s="774" t="s">
        <v>17</v>
      </c>
      <c r="S36" s="775">
        <f t="shared" si="12"/>
        <v>100</v>
      </c>
      <c r="T36" s="774" t="s">
        <v>17</v>
      </c>
      <c r="U36" s="775">
        <f t="shared" si="13"/>
        <v>100</v>
      </c>
      <c r="V36" s="774" t="s">
        <v>17</v>
      </c>
      <c r="W36" s="775">
        <f t="shared" si="14"/>
        <v>100</v>
      </c>
      <c r="X36" s="1815"/>
      <c r="Y36" s="3178"/>
      <c r="Z36" s="1816" t="str">
        <f t="shared" si="15"/>
        <v>内部装修</v>
      </c>
      <c r="AA36" s="1813">
        <f t="shared" si="3"/>
        <v>1</v>
      </c>
      <c r="AB36" s="1813">
        <f t="shared" si="4"/>
        <v>1</v>
      </c>
      <c r="AC36" s="1813">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8"/>
      <c r="Q37" s="1812" t="str">
        <f t="shared" si="11"/>
        <v>内部装修状况</v>
      </c>
      <c r="R37" s="774" t="s">
        <v>17</v>
      </c>
      <c r="S37" s="775">
        <f t="shared" si="12"/>
        <v>100</v>
      </c>
      <c r="T37" s="774" t="s">
        <v>17</v>
      </c>
      <c r="U37" s="775">
        <f t="shared" si="13"/>
        <v>100</v>
      </c>
      <c r="V37" s="774" t="s">
        <v>17</v>
      </c>
      <c r="W37" s="775">
        <f t="shared" si="14"/>
        <v>100</v>
      </c>
      <c r="X37" s="1815"/>
      <c r="Y37" s="3178"/>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8"/>
      <c r="Q38" s="776">
        <f t="shared" si="11"/>
        <v>111</v>
      </c>
      <c r="R38" s="777" t="s">
        <v>17</v>
      </c>
      <c r="S38" s="778">
        <f t="shared" si="12"/>
        <v>100</v>
      </c>
      <c r="T38" s="777" t="s">
        <v>17</v>
      </c>
      <c r="U38" s="778">
        <f t="shared" si="13"/>
        <v>100</v>
      </c>
      <c r="V38" s="777" t="s">
        <v>17</v>
      </c>
      <c r="W38" s="778">
        <f t="shared" si="14"/>
        <v>100</v>
      </c>
      <c r="X38" s="779"/>
      <c r="Y38" s="3178"/>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8"/>
      <c r="Q39" s="1812">
        <f t="shared" si="11"/>
        <v>111</v>
      </c>
      <c r="R39" s="774" t="s">
        <v>17</v>
      </c>
      <c r="S39" s="775">
        <f t="shared" si="12"/>
        <v>100</v>
      </c>
      <c r="T39" s="774" t="s">
        <v>17</v>
      </c>
      <c r="U39" s="775">
        <f t="shared" si="13"/>
        <v>100</v>
      </c>
      <c r="V39" s="774" t="s">
        <v>17</v>
      </c>
      <c r="W39" s="775">
        <f t="shared" si="14"/>
        <v>100</v>
      </c>
      <c r="X39" s="1815"/>
      <c r="Y39" s="3178"/>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9"/>
      <c r="Q40" s="1812">
        <f t="shared" si="11"/>
        <v>111</v>
      </c>
      <c r="R40" s="774" t="s">
        <v>17</v>
      </c>
      <c r="S40" s="775">
        <f t="shared" si="12"/>
        <v>100</v>
      </c>
      <c r="T40" s="774" t="s">
        <v>17</v>
      </c>
      <c r="U40" s="775">
        <f t="shared" si="13"/>
        <v>100</v>
      </c>
      <c r="V40" s="774" t="s">
        <v>17</v>
      </c>
      <c r="W40" s="775">
        <f t="shared" si="14"/>
        <v>100</v>
      </c>
      <c r="X40" s="1815"/>
      <c r="Y40" s="3179"/>
      <c r="Z40" s="1816">
        <f t="shared" si="15"/>
        <v>111</v>
      </c>
      <c r="AA40" s="1813">
        <f t="shared" si="3"/>
        <v>1</v>
      </c>
      <c r="AB40" s="1813">
        <f t="shared" si="4"/>
        <v>1</v>
      </c>
      <c r="AC40" s="1813">
        <f t="shared" si="5"/>
        <v>1</v>
      </c>
    </row>
    <row r="41" spans="1:29" ht="15">
      <c r="A41" s="479" t="s">
        <v>2565</v>
      </c>
      <c r="B41" s="480"/>
      <c r="C41" s="1410" t="s">
        <v>1</v>
      </c>
      <c r="D41" s="1411"/>
      <c r="E41" s="1412"/>
      <c r="F41" s="1413"/>
      <c r="G41" s="1414"/>
      <c r="H41" s="1415"/>
      <c r="I41" s="1412"/>
      <c r="J41" s="1415"/>
      <c r="K41" s="783"/>
      <c r="L41" s="1146"/>
      <c r="M41" s="1147"/>
      <c r="N41" s="1134"/>
      <c r="O41" s="1147"/>
      <c r="P41" s="3171" t="str">
        <f>A41</f>
        <v>成交单价（元/平方米）</v>
      </c>
      <c r="Q41" s="3171"/>
      <c r="R41" s="3172">
        <f>E41</f>
        <v>0</v>
      </c>
      <c r="S41" s="3172"/>
      <c r="T41" s="3172">
        <f>G41</f>
        <v>0</v>
      </c>
      <c r="U41" s="3172"/>
      <c r="V41" s="3172">
        <f>I41</f>
        <v>0</v>
      </c>
      <c r="W41" s="3172"/>
      <c r="X41" s="759"/>
      <c r="Y41" s="781"/>
      <c r="Z41" s="759"/>
      <c r="AA41" s="759"/>
      <c r="AB41" s="759"/>
      <c r="AC41" s="759"/>
    </row>
    <row r="42" spans="1:29" ht="15.75" thickBot="1">
      <c r="A42" s="486" t="s">
        <v>2657</v>
      </c>
      <c r="B42" s="487"/>
      <c r="C42" s="1416" t="e">
        <f>R43</f>
        <v>#DIV/0!</v>
      </c>
      <c r="D42" s="1417"/>
      <c r="E42" s="1418" t="e">
        <f>R42</f>
        <v>#DIV/0!</v>
      </c>
      <c r="F42" s="1418"/>
      <c r="G42" s="1416" t="e">
        <f>T42</f>
        <v>#DIV/0!</v>
      </c>
      <c r="H42" s="1417"/>
      <c r="I42" s="1418" t="e">
        <f>V42</f>
        <v>#DIV/0!</v>
      </c>
      <c r="J42" s="1417"/>
      <c r="K42" s="784"/>
      <c r="L42" s="1146"/>
      <c r="M42" s="1147"/>
      <c r="N42" s="1134"/>
      <c r="O42" s="1147"/>
      <c r="P42" s="3171" t="str">
        <f>A42</f>
        <v>比较价值（元/平方米）</v>
      </c>
      <c r="Q42" s="3171"/>
      <c r="R42" s="3172" t="e">
        <f>IF(F1="售价",ROUND(PRODUCT(R41,AA7:AA40),0),ROUND(PRODUCT(R41,AA7:AA40),1))</f>
        <v>#DIV/0!</v>
      </c>
      <c r="S42" s="3172"/>
      <c r="T42" s="3172" t="e">
        <f>IF(F1="售价",ROUND(PRODUCT(T41,AB7:AB40),0),ROUND(PRODUCT(T41,AB7:AB40),1))</f>
        <v>#DIV/0!</v>
      </c>
      <c r="U42" s="3172"/>
      <c r="V42" s="3172" t="e">
        <f>IF(F1="售价",ROUND(PRODUCT(V41,AC7:AC40),0),ROUND(PRODUCT(V41,AC7:AC40),1))</f>
        <v>#DIV/0!</v>
      </c>
      <c r="W42" s="3172"/>
      <c r="X42" s="759"/>
      <c r="Y42" s="759"/>
      <c r="Z42" s="759"/>
      <c r="AA42" s="759"/>
      <c r="AB42" s="759"/>
      <c r="AC42" s="759"/>
    </row>
    <row r="43" spans="1:29" ht="15.75" thickBot="1">
      <c r="A43" s="492" t="s">
        <v>2658</v>
      </c>
      <c r="B43" s="493"/>
      <c r="C43" s="1420" t="e">
        <f>R43</f>
        <v>#DIV/0!</v>
      </c>
      <c r="D43" s="1420"/>
      <c r="E43" s="1420"/>
      <c r="F43" s="1420"/>
      <c r="G43" s="1420"/>
      <c r="H43" s="1420"/>
      <c r="I43" s="1420"/>
      <c r="J43" s="1420"/>
      <c r="K43" s="785"/>
      <c r="L43" s="1146"/>
      <c r="M43" s="1147"/>
      <c r="N43" s="1147"/>
      <c r="O43" s="1147"/>
      <c r="P43" s="3168" t="str">
        <f>A43</f>
        <v>估价对象XX用房的比较价值（楼面单价，元/平方米）</v>
      </c>
      <c r="Q43" s="3169"/>
      <c r="R43" s="3170" t="e">
        <f>IF(F1="售价",ROUND(AVERAGE(R42:V42),0),ROUND(AVERAGE(R42:V42),1))</f>
        <v>#DIV/0!</v>
      </c>
      <c r="S43" s="3170"/>
      <c r="T43" s="3170"/>
      <c r="U43" s="3170"/>
      <c r="V43" s="3170"/>
      <c r="W43" s="3170"/>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2662</v>
      </c>
      <c r="B51" s="759"/>
      <c r="C51" s="764"/>
      <c r="D51" s="764"/>
      <c r="E51" s="764"/>
      <c r="F51" s="765"/>
      <c r="G51" s="765"/>
      <c r="H51" s="764"/>
      <c r="I51" s="764"/>
      <c r="J51" s="764"/>
      <c r="K51" s="1163"/>
      <c r="L51" s="1164"/>
      <c r="M51" s="1162"/>
      <c r="N51" s="1162"/>
      <c r="O51" s="1162"/>
      <c r="P51" s="503"/>
      <c r="Q51" s="504"/>
    </row>
    <row r="52" spans="1:17" s="508" customFormat="1" ht="15">
      <c r="A52" s="505" t="s">
        <v>2536</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2576</v>
      </c>
      <c r="B57" s="528" t="s">
        <v>2542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4"/>
      <c r="B87" s="569"/>
      <c r="C87" s="570"/>
      <c r="D87" s="570"/>
      <c r="E87" s="570"/>
      <c r="F87" s="570"/>
      <c r="G87" s="591"/>
      <c r="H87" s="591"/>
      <c r="I87" s="591"/>
      <c r="J87" s="591"/>
      <c r="K87" s="591"/>
      <c r="L87" s="591"/>
      <c r="M87" s="592"/>
      <c r="N87" s="1156"/>
      <c r="O87" s="1156"/>
      <c r="P87" s="45"/>
      <c r="Q87" s="504"/>
    </row>
    <row r="88" spans="1:17">
      <c r="A88" s="527" t="s">
        <v>2551</v>
      </c>
      <c r="B88" s="528" t="s">
        <v>2600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北京力创昕业科技发展有限公司：</v>
      </c>
    </row>
    <row r="4" spans="1:1" ht="36">
      <c r="A4" s="1950" t="str">
        <f>"受贵公司委托，我公司对"&amp;项目基本情况!S1&amp;"进行了预评估。"</f>
        <v>受贵公司委托，我公司对北京市朝阳区建国路29号兴隆家园38号楼4门102号住宅用房房地产抵押价值进行了预评估。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路29号兴隆家园38号楼4门102号住宅用房房地产，为丛永刚所有。根据，估价对象（分摊）出让国有建设用地使用权面积为0平方米。根据《房屋所有权证》，估价对象建筑面积为91.52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路29号兴隆家园38号楼4门102号住宅用房房地产,属丛永刚开发建设的居住项目，该项目尚在开发建设中。根据，估价对象（分摊）出让国有建设用地使用权面积为0平方米。根据《房屋所有权证》，估价对象规划建筑面积为91.52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为估价委托人在向工商银行门头沟支行办理贷款手续过程中，确定房地产抵押贷款额度提供参考依据而评估房地产抵押价值。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2018年5月29日（评估专业人员实地查勘之日）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29日，估价对象规划用途为住宅，土地取得方式为出让，出让国有建设用地使用权剩余土地使用年限为51.61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51.61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25"/>
      <c r="F1" s="2585"/>
      <c r="G1" s="1626" t="s">
        <v>2631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2315</v>
      </c>
      <c r="B2" s="1421" t="e">
        <f ca="1">IF(C2="——",IF(B37="元/平方米",ROUND(C39*D3/10000,0),ROUND(F3*C39/10000,0)),IF(B37="元/平方米",ROUND(C39*D3/10000,0),ROUND(F3*C39/10000,0))-D2)</f>
        <v>#DIV/0!</v>
      </c>
      <c r="C2" s="2587"/>
      <c r="D2" s="1127" t="e">
        <f ca="1">SUMIF(INDIRECT("'"&amp;F2&amp;"'"&amp;"!A:A"),"承租人权益价值",INDIRECT("'"&amp;F2&amp;"'"&amp;"!c:c"))</f>
        <v>#REF!</v>
      </c>
      <c r="E2" s="2588" t="s">
        <v>2316</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2633</v>
      </c>
      <c r="B4" s="402"/>
      <c r="C4" s="3186" t="s">
        <v>2634</v>
      </c>
      <c r="D4" s="3187"/>
      <c r="E4" s="3188" t="s">
        <v>2635</v>
      </c>
      <c r="F4" s="3189"/>
      <c r="G4" s="3186" t="s">
        <v>2636</v>
      </c>
      <c r="H4" s="3187"/>
      <c r="I4" s="3186" t="s">
        <v>2637</v>
      </c>
      <c r="J4" s="3187"/>
      <c r="K4" s="610" t="s">
        <v>2638</v>
      </c>
      <c r="L4" s="1133"/>
      <c r="M4" s="1134"/>
      <c r="N4" s="1134"/>
      <c r="O4" s="1134"/>
      <c r="P4" s="3190" t="s">
        <v>2639</v>
      </c>
      <c r="Q4" s="3191"/>
      <c r="R4" s="3196" t="s">
        <v>2635</v>
      </c>
      <c r="S4" s="3197"/>
      <c r="T4" s="3196" t="s">
        <v>2636</v>
      </c>
      <c r="U4" s="3197"/>
      <c r="V4" s="3202" t="s">
        <v>2637</v>
      </c>
      <c r="W4" s="3202"/>
      <c r="X4" s="1815"/>
      <c r="Y4" s="3196" t="s">
        <v>2639</v>
      </c>
      <c r="Z4" s="3197"/>
      <c r="AA4" s="3183" t="s">
        <v>2635</v>
      </c>
      <c r="AB4" s="3184" t="s">
        <v>2636</v>
      </c>
      <c r="AC4" s="3183" t="s">
        <v>2637</v>
      </c>
    </row>
    <row r="5" spans="1:29" ht="15">
      <c r="A5" s="404"/>
      <c r="B5" s="405"/>
      <c r="C5" s="3234" t="s">
        <v>2530</v>
      </c>
      <c r="D5" s="3206"/>
      <c r="E5" s="3235" t="s">
        <v>2531</v>
      </c>
      <c r="F5" s="3236"/>
      <c r="G5" s="3234" t="s">
        <v>2532</v>
      </c>
      <c r="H5" s="3206"/>
      <c r="I5" s="3234" t="s">
        <v>2533</v>
      </c>
      <c r="J5" s="3206"/>
      <c r="K5" s="610"/>
      <c r="L5" s="1133"/>
      <c r="M5" s="1134"/>
      <c r="N5" s="1134"/>
      <c r="O5" s="1134"/>
      <c r="P5" s="3192"/>
      <c r="Q5" s="3193"/>
      <c r="R5" s="3198"/>
      <c r="S5" s="3199"/>
      <c r="T5" s="3198"/>
      <c r="U5" s="3199"/>
      <c r="V5" s="3202"/>
      <c r="W5" s="3202"/>
      <c r="X5" s="1815"/>
      <c r="Y5" s="3198"/>
      <c r="Z5" s="3199"/>
      <c r="AA5" s="3184"/>
      <c r="AB5" s="3184"/>
      <c r="AC5" s="3184"/>
    </row>
    <row r="6" spans="1:29" ht="15.75" thickBot="1">
      <c r="A6" s="406"/>
      <c r="B6" s="407"/>
      <c r="C6" s="3203" t="s">
        <v>2534</v>
      </c>
      <c r="D6" s="3204"/>
      <c r="E6" s="3210" t="s">
        <v>2534</v>
      </c>
      <c r="F6" s="3211"/>
      <c r="G6" s="3203" t="s">
        <v>2534</v>
      </c>
      <c r="H6" s="3204"/>
      <c r="I6" s="3203" t="s">
        <v>2534</v>
      </c>
      <c r="J6" s="3204"/>
      <c r="K6" s="610" t="s">
        <v>2535</v>
      </c>
      <c r="L6" s="1133"/>
      <c r="M6" s="1134"/>
      <c r="N6" s="1134"/>
      <c r="O6" s="1134"/>
      <c r="P6" s="3194"/>
      <c r="Q6" s="3195"/>
      <c r="R6" s="3198"/>
      <c r="S6" s="3199"/>
      <c r="T6" s="3200"/>
      <c r="U6" s="3201"/>
      <c r="V6" s="3202"/>
      <c r="W6" s="3202"/>
      <c r="X6" s="1815"/>
      <c r="Y6" s="3200"/>
      <c r="Z6" s="3201"/>
      <c r="AA6" s="3185"/>
      <c r="AB6" s="3185"/>
      <c r="AC6" s="3185"/>
    </row>
    <row r="7" spans="1:29" s="117" customFormat="1" ht="15.75" thickBot="1">
      <c r="A7" s="408" t="s">
        <v>2536</v>
      </c>
      <c r="B7" s="409"/>
      <c r="C7" s="410">
        <f>'数据-取费表'!B2</f>
        <v>43249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7" t="s">
        <v>2537</v>
      </c>
      <c r="Q7" s="3209"/>
      <c r="R7" s="770" t="s">
        <v>17</v>
      </c>
      <c r="S7" s="771">
        <f t="shared" ref="S7:S14" si="0">F7</f>
        <v>0</v>
      </c>
      <c r="T7" s="770" t="s">
        <v>17</v>
      </c>
      <c r="U7" s="771">
        <f t="shared" ref="U7:U14" si="1">H7</f>
        <v>0</v>
      </c>
      <c r="V7" s="770" t="s">
        <v>17</v>
      </c>
      <c r="W7" s="771">
        <f t="shared" ref="W7:W14" si="2">J7</f>
        <v>0</v>
      </c>
      <c r="X7" s="772"/>
      <c r="Y7" s="3207" t="s">
        <v>2537</v>
      </c>
      <c r="Z7" s="3208"/>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7" t="s">
        <v>2540</v>
      </c>
      <c r="Q8" s="3208"/>
      <c r="R8" s="770" t="s">
        <v>17</v>
      </c>
      <c r="S8" s="771">
        <f t="shared" si="0"/>
        <v>0</v>
      </c>
      <c r="T8" s="770" t="s">
        <v>17</v>
      </c>
      <c r="U8" s="771">
        <f t="shared" si="1"/>
        <v>0</v>
      </c>
      <c r="V8" s="770" t="s">
        <v>17</v>
      </c>
      <c r="W8" s="771">
        <f t="shared" si="2"/>
        <v>0</v>
      </c>
      <c r="X8" s="772"/>
      <c r="Y8" s="3207" t="s">
        <v>2540</v>
      </c>
      <c r="Z8" s="3208"/>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71" t="s">
        <v>2543</v>
      </c>
      <c r="Q9" s="1797" t="str">
        <f t="shared" ref="Q9:Q14" si="6">B9</f>
        <v>用途</v>
      </c>
      <c r="R9" s="770" t="s">
        <v>17</v>
      </c>
      <c r="S9" s="771">
        <f t="shared" si="0"/>
        <v>100</v>
      </c>
      <c r="T9" s="770" t="s">
        <v>17</v>
      </c>
      <c r="U9" s="771">
        <f t="shared" si="1"/>
        <v>100</v>
      </c>
      <c r="V9" s="770" t="s">
        <v>17</v>
      </c>
      <c r="W9" s="771">
        <f t="shared" si="2"/>
        <v>100</v>
      </c>
      <c r="X9" s="772"/>
      <c r="Y9" s="3018"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71"/>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71"/>
      <c r="Q11" s="1797">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71"/>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71"/>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
      <c r="A14" s="401" t="s">
        <v>2547</v>
      </c>
      <c r="B14" s="629" t="s">
        <v>2697</v>
      </c>
      <c r="C14" s="2691"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3" t="s">
        <v>2548</v>
      </c>
      <c r="Q14" s="1812" t="str">
        <f t="shared" si="6"/>
        <v>交通便捷度</v>
      </c>
      <c r="R14" s="774" t="s">
        <v>17</v>
      </c>
      <c r="S14" s="775">
        <f t="shared" si="0"/>
        <v>100</v>
      </c>
      <c r="T14" s="774" t="s">
        <v>17</v>
      </c>
      <c r="U14" s="775">
        <f t="shared" si="1"/>
        <v>100</v>
      </c>
      <c r="V14" s="774" t="s">
        <v>17</v>
      </c>
      <c r="W14" s="775">
        <f t="shared" si="2"/>
        <v>100</v>
      </c>
      <c r="X14" s="1815"/>
      <c r="Y14" s="3173" t="s">
        <v>2548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74"/>
      <c r="Q15" s="1812"/>
      <c r="R15" s="774"/>
      <c r="S15" s="775"/>
      <c r="T15" s="774"/>
      <c r="U15" s="775"/>
      <c r="V15" s="774"/>
      <c r="W15" s="775"/>
      <c r="X15" s="1815"/>
      <c r="Y15" s="3174"/>
      <c r="Z15" s="1816"/>
      <c r="AA15" s="1813">
        <v>1</v>
      </c>
      <c r="AB15" s="1813">
        <v>1</v>
      </c>
      <c r="AC15" s="1813">
        <v>1</v>
      </c>
    </row>
    <row r="16" spans="1:29" ht="15">
      <c r="A16" s="404"/>
      <c r="B16" s="631" t="s">
        <v>2676</v>
      </c>
      <c r="C16" s="2607"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4"/>
      <c r="Q16" s="1812" t="str">
        <f>B16</f>
        <v>公共配套设施</v>
      </c>
      <c r="R16" s="774" t="s">
        <v>17</v>
      </c>
      <c r="S16" s="775">
        <f>F16</f>
        <v>100</v>
      </c>
      <c r="T16" s="774" t="s">
        <v>17</v>
      </c>
      <c r="U16" s="775">
        <f>H16</f>
        <v>100</v>
      </c>
      <c r="V16" s="774" t="s">
        <v>17</v>
      </c>
      <c r="W16" s="775">
        <f>J16</f>
        <v>100</v>
      </c>
      <c r="X16" s="1815"/>
      <c r="Y16" s="3174"/>
      <c r="Z16" s="1816" t="str">
        <f>Q16</f>
        <v>公共配套设施</v>
      </c>
      <c r="AA16" s="1813">
        <f t="shared" si="3"/>
        <v>1</v>
      </c>
      <c r="AB16" s="1813">
        <f t="shared" si="4"/>
        <v>1</v>
      </c>
      <c r="AC16" s="1813">
        <f t="shared" si="5"/>
        <v>1</v>
      </c>
    </row>
    <row r="17" spans="1:29" ht="15">
      <c r="A17" s="404"/>
      <c r="B17" s="632"/>
      <c r="C17" s="2608"/>
      <c r="D17" s="448"/>
      <c r="E17" s="447"/>
      <c r="F17" s="449"/>
      <c r="G17" s="447"/>
      <c r="H17" s="448"/>
      <c r="I17" s="447"/>
      <c r="J17" s="448"/>
      <c r="K17" s="615"/>
      <c r="L17" s="1143"/>
      <c r="M17" s="1134"/>
      <c r="N17" s="1134"/>
      <c r="O17" s="1134"/>
      <c r="P17" s="3174"/>
      <c r="Q17" s="1812"/>
      <c r="R17" s="774"/>
      <c r="S17" s="775"/>
      <c r="T17" s="774"/>
      <c r="U17" s="775"/>
      <c r="V17" s="774"/>
      <c r="W17" s="775"/>
      <c r="X17" s="1815"/>
      <c r="Y17" s="3174"/>
      <c r="Z17" s="1816"/>
      <c r="AA17" s="1813">
        <v>1</v>
      </c>
      <c r="AB17" s="1813">
        <v>1</v>
      </c>
      <c r="AC17" s="1813">
        <v>1</v>
      </c>
    </row>
    <row r="18" spans="1:29" ht="15">
      <c r="A18" s="404"/>
      <c r="B18" s="633" t="s">
        <v>2677</v>
      </c>
      <c r="C18" s="260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4"/>
      <c r="Q18" s="1812" t="str">
        <f>B18</f>
        <v>基础设施水平</v>
      </c>
      <c r="R18" s="774" t="s">
        <v>17</v>
      </c>
      <c r="S18" s="775">
        <f>F18</f>
        <v>100</v>
      </c>
      <c r="T18" s="774" t="s">
        <v>17</v>
      </c>
      <c r="U18" s="775">
        <f>H18</f>
        <v>100</v>
      </c>
      <c r="V18" s="774" t="s">
        <v>17</v>
      </c>
      <c r="W18" s="775">
        <f>J18</f>
        <v>100</v>
      </c>
      <c r="X18" s="1815"/>
      <c r="Y18" s="3174"/>
      <c r="Z18" s="1816" t="str">
        <f>Q18</f>
        <v>基础设施水平</v>
      </c>
      <c r="AA18" s="1813">
        <f t="shared" ref="AA18" si="8">D18/F18</f>
        <v>1</v>
      </c>
      <c r="AB18" s="1813">
        <f t="shared" ref="AB18" si="9">D18/H18</f>
        <v>1</v>
      </c>
      <c r="AC18" s="1813">
        <f t="shared" ref="AC18" si="10">D18/J18</f>
        <v>1</v>
      </c>
    </row>
    <row r="19" spans="1:29" ht="15">
      <c r="A19" s="404"/>
      <c r="B19" s="633"/>
      <c r="C19" s="2608"/>
      <c r="D19" s="450"/>
      <c r="E19" s="2608"/>
      <c r="F19" s="453"/>
      <c r="G19" s="2608"/>
      <c r="H19" s="448"/>
      <c r="I19" s="447"/>
      <c r="J19" s="448"/>
      <c r="K19" s="1386"/>
      <c r="L19" s="1143"/>
      <c r="M19" s="1134"/>
      <c r="N19" s="1134"/>
      <c r="O19" s="1134"/>
      <c r="P19" s="3174"/>
      <c r="Q19" s="1812"/>
      <c r="R19" s="774"/>
      <c r="S19" s="775"/>
      <c r="T19" s="774"/>
      <c r="U19" s="775"/>
      <c r="V19" s="774"/>
      <c r="W19" s="775"/>
      <c r="X19" s="1815"/>
      <c r="Y19" s="3174"/>
      <c r="Z19" s="1816"/>
      <c r="AA19" s="1813">
        <v>1</v>
      </c>
      <c r="AB19" s="1813">
        <v>1</v>
      </c>
      <c r="AC19" s="1813">
        <v>1</v>
      </c>
    </row>
    <row r="20" spans="1:29" ht="15">
      <c r="A20" s="404"/>
      <c r="B20" s="631" t="s">
        <v>2698</v>
      </c>
      <c r="C20" s="2607"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4"/>
      <c r="Q20" s="1812" t="str">
        <f>B20</f>
        <v>自然及人文环境</v>
      </c>
      <c r="R20" s="774" t="s">
        <v>17</v>
      </c>
      <c r="S20" s="775">
        <f>F20</f>
        <v>100</v>
      </c>
      <c r="T20" s="774" t="s">
        <v>17</v>
      </c>
      <c r="U20" s="775">
        <f>H20</f>
        <v>100</v>
      </c>
      <c r="V20" s="774" t="s">
        <v>17</v>
      </c>
      <c r="W20" s="775">
        <f>J20</f>
        <v>100</v>
      </c>
      <c r="X20" s="1815"/>
      <c r="Y20" s="3174"/>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74"/>
      <c r="Q21" s="1812"/>
      <c r="R21" s="774"/>
      <c r="S21" s="775"/>
      <c r="T21" s="774"/>
      <c r="U21" s="775"/>
      <c r="V21" s="774"/>
      <c r="W21" s="775"/>
      <c r="X21" s="1815"/>
      <c r="Y21" s="3174"/>
      <c r="Z21" s="1816"/>
      <c r="AA21" s="1813">
        <v>1</v>
      </c>
      <c r="AB21" s="1813">
        <v>1</v>
      </c>
      <c r="AC21" s="1813">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4"/>
      <c r="Q22" s="1812" t="str">
        <f>B22</f>
        <v>楼层</v>
      </c>
      <c r="R22" s="774" t="s">
        <v>17</v>
      </c>
      <c r="S22" s="775">
        <f>F22</f>
        <v>100</v>
      </c>
      <c r="T22" s="774" t="s">
        <v>17</v>
      </c>
      <c r="U22" s="775">
        <f>H22</f>
        <v>100</v>
      </c>
      <c r="V22" s="774" t="s">
        <v>17</v>
      </c>
      <c r="W22" s="775">
        <f>J22</f>
        <v>100</v>
      </c>
      <c r="X22" s="1815"/>
      <c r="Y22" s="3174"/>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4"/>
      <c r="Q23" s="1812">
        <f>B23</f>
        <v>111</v>
      </c>
      <c r="R23" s="774" t="s">
        <v>17</v>
      </c>
      <c r="S23" s="775">
        <f>F23</f>
        <v>100</v>
      </c>
      <c r="T23" s="774" t="s">
        <v>17</v>
      </c>
      <c r="U23" s="775">
        <f>H23</f>
        <v>100</v>
      </c>
      <c r="V23" s="774" t="s">
        <v>17</v>
      </c>
      <c r="W23" s="775">
        <f>J23</f>
        <v>100</v>
      </c>
      <c r="X23" s="1815"/>
      <c r="Y23" s="3174"/>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4"/>
      <c r="Q24" s="1812">
        <f t="shared" ref="Q24:Q36" si="11">B24</f>
        <v>111</v>
      </c>
      <c r="R24" s="774" t="s">
        <v>17</v>
      </c>
      <c r="S24" s="775">
        <f>F24</f>
        <v>100</v>
      </c>
      <c r="T24" s="774" t="s">
        <v>17</v>
      </c>
      <c r="U24" s="775">
        <f>H24</f>
        <v>100</v>
      </c>
      <c r="V24" s="774" t="s">
        <v>17</v>
      </c>
      <c r="W24" s="775">
        <f>J24</f>
        <v>100</v>
      </c>
      <c r="X24" s="1815"/>
      <c r="Y24" s="3174"/>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4"/>
      <c r="Q25" s="1797">
        <f t="shared" si="11"/>
        <v>111</v>
      </c>
      <c r="R25" s="770" t="s">
        <v>17</v>
      </c>
      <c r="S25" s="771">
        <f>F25</f>
        <v>100</v>
      </c>
      <c r="T25" s="770" t="s">
        <v>17</v>
      </c>
      <c r="U25" s="771">
        <f>H25</f>
        <v>100</v>
      </c>
      <c r="V25" s="770" t="s">
        <v>17</v>
      </c>
      <c r="W25" s="771">
        <f>J25</f>
        <v>100</v>
      </c>
      <c r="X25" s="772"/>
      <c r="Y25" s="3174"/>
      <c r="Z25" s="55">
        <f>Q25</f>
        <v>111</v>
      </c>
      <c r="AA25" s="1813">
        <f>D25/F25</f>
        <v>1</v>
      </c>
      <c r="AB25" s="1813">
        <f>D25/H25</f>
        <v>1</v>
      </c>
      <c r="AC25" s="1813">
        <f>D25/J25</f>
        <v>1</v>
      </c>
    </row>
    <row r="26" spans="1:29" ht="15">
      <c r="A26" s="652" t="s">
        <v>2551</v>
      </c>
      <c r="B26" s="70" t="s">
        <v>2700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2" t="s">
        <v>2553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78" t="s">
        <v>2553</v>
      </c>
      <c r="Z26" s="1816" t="str">
        <f t="shared" ref="Z26:Z36" si="15">Q26</f>
        <v>配套类型</v>
      </c>
      <c r="AA26" s="1813">
        <f t="shared" si="3"/>
        <v>1</v>
      </c>
      <c r="AB26" s="1813">
        <f t="shared" si="4"/>
        <v>1</v>
      </c>
      <c r="AC26" s="1813">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8"/>
      <c r="Q27" s="776" t="str">
        <f t="shared" si="11"/>
        <v>项目停车位配比</v>
      </c>
      <c r="R27" s="777" t="s">
        <v>17</v>
      </c>
      <c r="S27" s="778">
        <f t="shared" si="12"/>
        <v>100</v>
      </c>
      <c r="T27" s="777" t="s">
        <v>17</v>
      </c>
      <c r="U27" s="778">
        <f t="shared" si="13"/>
        <v>100</v>
      </c>
      <c r="V27" s="777" t="s">
        <v>17</v>
      </c>
      <c r="W27" s="778">
        <f t="shared" si="14"/>
        <v>100</v>
      </c>
      <c r="X27" s="779"/>
      <c r="Y27" s="3178"/>
      <c r="Z27" s="780" t="str">
        <f t="shared" si="15"/>
        <v>项目停车位配比</v>
      </c>
      <c r="AA27" s="1813">
        <f t="shared" si="3"/>
        <v>1</v>
      </c>
      <c r="AB27" s="1813">
        <f t="shared" si="4"/>
        <v>1</v>
      </c>
      <c r="AC27" s="1813">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8"/>
      <c r="Q28" s="1812" t="str">
        <f t="shared" si="11"/>
        <v>公共部分装修</v>
      </c>
      <c r="R28" s="774" t="s">
        <v>17</v>
      </c>
      <c r="S28" s="775">
        <f t="shared" si="12"/>
        <v>100</v>
      </c>
      <c r="T28" s="774" t="s">
        <v>17</v>
      </c>
      <c r="U28" s="775">
        <f t="shared" si="13"/>
        <v>100</v>
      </c>
      <c r="V28" s="774" t="s">
        <v>17</v>
      </c>
      <c r="W28" s="775">
        <f t="shared" si="14"/>
        <v>100</v>
      </c>
      <c r="X28" s="1815"/>
      <c r="Y28" s="3178"/>
      <c r="Z28" s="1816" t="str">
        <f t="shared" si="15"/>
        <v>公共部分装修</v>
      </c>
      <c r="AA28" s="1813">
        <f t="shared" si="3"/>
        <v>1</v>
      </c>
      <c r="AB28" s="1813">
        <f t="shared" si="4"/>
        <v>1</v>
      </c>
      <c r="AC28" s="1813">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8"/>
      <c r="Q29" s="1812" t="str">
        <f t="shared" si="11"/>
        <v>成新率</v>
      </c>
      <c r="R29" s="774" t="s">
        <v>17</v>
      </c>
      <c r="S29" s="775" t="e">
        <f t="shared" si="12"/>
        <v>#N/A</v>
      </c>
      <c r="T29" s="774" t="s">
        <v>17</v>
      </c>
      <c r="U29" s="775" t="e">
        <f t="shared" si="13"/>
        <v>#N/A</v>
      </c>
      <c r="V29" s="774" t="s">
        <v>17</v>
      </c>
      <c r="W29" s="775" t="e">
        <f t="shared" si="14"/>
        <v>#N/A</v>
      </c>
      <c r="X29" s="1815"/>
      <c r="Y29" s="3178"/>
      <c r="Z29" s="1816" t="str">
        <f t="shared" si="15"/>
        <v>成新率</v>
      </c>
      <c r="AA29" s="1813" t="e">
        <f t="shared" si="3"/>
        <v>#N/A</v>
      </c>
      <c r="AB29" s="1813" t="e">
        <f t="shared" si="4"/>
        <v>#N/A</v>
      </c>
      <c r="AC29" s="1813"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8"/>
      <c r="Q30" s="1812" t="str">
        <f t="shared" si="11"/>
        <v>物业等级</v>
      </c>
      <c r="R30" s="774" t="s">
        <v>17</v>
      </c>
      <c r="S30" s="775">
        <f t="shared" si="12"/>
        <v>100</v>
      </c>
      <c r="T30" s="774" t="s">
        <v>17</v>
      </c>
      <c r="U30" s="775">
        <f t="shared" si="13"/>
        <v>100</v>
      </c>
      <c r="V30" s="774" t="s">
        <v>17</v>
      </c>
      <c r="W30" s="775">
        <f t="shared" si="14"/>
        <v>100</v>
      </c>
      <c r="X30" s="1815"/>
      <c r="Y30" s="3178"/>
      <c r="Z30" s="1816" t="str">
        <f t="shared" si="15"/>
        <v>物业等级</v>
      </c>
      <c r="AA30" s="1813">
        <f t="shared" si="3"/>
        <v>1</v>
      </c>
      <c r="AB30" s="1813">
        <f t="shared" si="4"/>
        <v>1</v>
      </c>
      <c r="AC30" s="1813">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8"/>
      <c r="Q31" s="1797" t="str">
        <f t="shared" si="11"/>
        <v>停车位面积</v>
      </c>
      <c r="R31" s="770" t="s">
        <v>17</v>
      </c>
      <c r="S31" s="771" t="e">
        <f t="shared" si="12"/>
        <v>#N/A</v>
      </c>
      <c r="T31" s="770" t="s">
        <v>17</v>
      </c>
      <c r="U31" s="771" t="e">
        <f t="shared" si="13"/>
        <v>#N/A</v>
      </c>
      <c r="V31" s="770" t="s">
        <v>17</v>
      </c>
      <c r="W31" s="771" t="e">
        <f t="shared" si="14"/>
        <v>#N/A</v>
      </c>
      <c r="X31" s="772"/>
      <c r="Y31" s="3178"/>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8" t="s">
        <v>2553</v>
      </c>
      <c r="Q32" s="1812" t="str">
        <f t="shared" si="11"/>
        <v>车位类型</v>
      </c>
      <c r="R32" s="774" t="s">
        <v>17</v>
      </c>
      <c r="S32" s="775">
        <f t="shared" si="12"/>
        <v>100</v>
      </c>
      <c r="T32" s="774" t="s">
        <v>17</v>
      </c>
      <c r="U32" s="775">
        <f t="shared" si="13"/>
        <v>100</v>
      </c>
      <c r="V32" s="774" t="s">
        <v>17</v>
      </c>
      <c r="W32" s="775">
        <f t="shared" si="14"/>
        <v>100</v>
      </c>
      <c r="X32" s="1815"/>
      <c r="Y32" s="3178" t="s">
        <v>2553</v>
      </c>
      <c r="Z32" s="1816" t="str">
        <f t="shared" si="15"/>
        <v>车位类型</v>
      </c>
      <c r="AA32" s="1813">
        <f t="shared" si="3"/>
        <v>1</v>
      </c>
      <c r="AB32" s="1813">
        <f t="shared" si="4"/>
        <v>1</v>
      </c>
      <c r="AC32" s="1813">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8"/>
      <c r="Q33" s="1812" t="str">
        <f t="shared" si="11"/>
        <v>是否直接入户</v>
      </c>
      <c r="R33" s="774" t="s">
        <v>17</v>
      </c>
      <c r="S33" s="775">
        <f t="shared" si="12"/>
        <v>100</v>
      </c>
      <c r="T33" s="774" t="s">
        <v>17</v>
      </c>
      <c r="U33" s="775">
        <f t="shared" si="13"/>
        <v>100</v>
      </c>
      <c r="V33" s="774" t="s">
        <v>17</v>
      </c>
      <c r="W33" s="775">
        <f t="shared" si="14"/>
        <v>100</v>
      </c>
      <c r="X33" s="1815"/>
      <c r="Y33" s="3178"/>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8"/>
      <c r="Q34" s="1812">
        <f t="shared" si="11"/>
        <v>111</v>
      </c>
      <c r="R34" s="774" t="s">
        <v>17</v>
      </c>
      <c r="S34" s="775">
        <f t="shared" si="12"/>
        <v>100</v>
      </c>
      <c r="T34" s="774" t="s">
        <v>17</v>
      </c>
      <c r="U34" s="775">
        <f t="shared" si="13"/>
        <v>100</v>
      </c>
      <c r="V34" s="774" t="s">
        <v>17</v>
      </c>
      <c r="W34" s="775">
        <f t="shared" si="14"/>
        <v>100</v>
      </c>
      <c r="X34" s="1815"/>
      <c r="Y34" s="3178"/>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8"/>
      <c r="Q35" s="776">
        <f t="shared" si="11"/>
        <v>111</v>
      </c>
      <c r="R35" s="777" t="s">
        <v>17</v>
      </c>
      <c r="S35" s="778">
        <f t="shared" si="12"/>
        <v>100</v>
      </c>
      <c r="T35" s="777" t="s">
        <v>17</v>
      </c>
      <c r="U35" s="778">
        <f t="shared" si="13"/>
        <v>100</v>
      </c>
      <c r="V35" s="777" t="s">
        <v>17</v>
      </c>
      <c r="W35" s="778">
        <f t="shared" si="14"/>
        <v>100</v>
      </c>
      <c r="X35" s="779"/>
      <c r="Y35" s="3178"/>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8"/>
      <c r="Q36" s="1812">
        <f t="shared" si="11"/>
        <v>111</v>
      </c>
      <c r="R36" s="774" t="s">
        <v>17</v>
      </c>
      <c r="S36" s="775">
        <f t="shared" si="12"/>
        <v>100</v>
      </c>
      <c r="T36" s="774" t="s">
        <v>17</v>
      </c>
      <c r="U36" s="775">
        <f t="shared" si="13"/>
        <v>100</v>
      </c>
      <c r="V36" s="774" t="s">
        <v>17</v>
      </c>
      <c r="W36" s="775">
        <f t="shared" si="14"/>
        <v>100</v>
      </c>
      <c r="X36" s="1815"/>
      <c r="Y36" s="3178"/>
      <c r="Z36" s="1816">
        <f t="shared" si="15"/>
        <v>111</v>
      </c>
      <c r="AA36" s="1813">
        <f t="shared" si="3"/>
        <v>1</v>
      </c>
      <c r="AB36" s="1813">
        <f t="shared" si="4"/>
        <v>1</v>
      </c>
      <c r="AC36" s="1813">
        <f t="shared" si="5"/>
        <v>1</v>
      </c>
    </row>
    <row r="37" spans="1:29" ht="15">
      <c r="A37" s="479" t="s">
        <v>2708</v>
      </c>
      <c r="B37" s="2693" t="s">
        <v>2709</v>
      </c>
      <c r="C37" s="1410" t="s">
        <v>1</v>
      </c>
      <c r="D37" s="1411"/>
      <c r="E37" s="1412"/>
      <c r="F37" s="1413"/>
      <c r="G37" s="1414"/>
      <c r="H37" s="1415"/>
      <c r="I37" s="1412"/>
      <c r="J37" s="1415"/>
      <c r="K37" s="619"/>
      <c r="L37" s="1146"/>
      <c r="M37" s="1147"/>
      <c r="N37" s="1134"/>
      <c r="O37" s="1147"/>
      <c r="P37" s="3171" t="str">
        <f>A37</f>
        <v>成交单价</v>
      </c>
      <c r="Q37" s="3171"/>
      <c r="R37" s="3172">
        <f>E37</f>
        <v>0</v>
      </c>
      <c r="S37" s="3172"/>
      <c r="T37" s="3172">
        <f>G37</f>
        <v>0</v>
      </c>
      <c r="U37" s="3172"/>
      <c r="V37" s="3172">
        <f>I37</f>
        <v>0</v>
      </c>
      <c r="W37" s="3172"/>
      <c r="X37" s="759"/>
      <c r="Y37" s="781"/>
      <c r="Z37" s="759"/>
      <c r="AA37" s="759"/>
      <c r="AB37" s="759"/>
      <c r="AC37" s="759"/>
    </row>
    <row r="38" spans="1:29" ht="15.75" thickBot="1">
      <c r="A38" s="486" t="s">
        <v>2710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71" t="str">
        <f>A38</f>
        <v>比较价值（元/平方米）</v>
      </c>
      <c r="Q38" s="3171"/>
      <c r="R38" s="3172" t="e">
        <f>IF(F1="售价",ROUND(PRODUCT(R37,AA7:AA36),0),ROUND(PRODUCT(R37,AA7:AA36),1))</f>
        <v>#DIV/0!</v>
      </c>
      <c r="S38" s="3172"/>
      <c r="T38" s="3172" t="e">
        <f>IF(F1="售价",ROUND(PRODUCT(T37,AB7:AB36),0),ROUND(PRODUCT(T37,AB7:AB36),1))</f>
        <v>#DIV/0!</v>
      </c>
      <c r="U38" s="3172"/>
      <c r="V38" s="3172" t="e">
        <f>IF(F1="售价",ROUND(PRODUCT(V37,AC7:AC36),0),ROUND(PRODUCT(V37,AC7:AC36),1))</f>
        <v>#DIV/0!</v>
      </c>
      <c r="W38" s="3172"/>
      <c r="X38" s="759"/>
      <c r="Y38" s="759"/>
      <c r="Z38" s="759"/>
      <c r="AA38" s="759"/>
      <c r="AB38" s="759"/>
      <c r="AC38" s="759"/>
    </row>
    <row r="39" spans="1:29" ht="15.75" thickBot="1">
      <c r="A39" s="492" t="s">
        <v>2711</v>
      </c>
      <c r="B39" s="493"/>
      <c r="C39" s="1420" t="e">
        <f>R39</f>
        <v>#DIV/0!</v>
      </c>
      <c r="D39" s="1420"/>
      <c r="E39" s="1420"/>
      <c r="F39" s="1420"/>
      <c r="G39" s="1420"/>
      <c r="H39" s="1420"/>
      <c r="I39" s="1420"/>
      <c r="J39" s="1420"/>
      <c r="K39" s="621"/>
      <c r="L39" s="1146"/>
      <c r="M39" s="1147"/>
      <c r="N39" s="1147"/>
      <c r="O39" s="1147"/>
      <c r="P39" s="3168" t="str">
        <f>A39</f>
        <v>估价对象XX用房的比较价值（楼面单价，元/平方米）</v>
      </c>
      <c r="Q39" s="3169"/>
      <c r="R39" s="3170" t="e">
        <f>IF(F1="售价",ROUND(AVERAGE(R38:V38),0),ROUND(AVERAGE(R38:V38),1))</f>
        <v>#DIV/0!</v>
      </c>
      <c r="S39" s="3170"/>
      <c r="T39" s="3170"/>
      <c r="U39" s="3170"/>
      <c r="V39" s="3170"/>
      <c r="W39" s="3170"/>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2716</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2538</v>
      </c>
      <c r="B51" s="510"/>
      <c r="C51" s="522" t="s">
        <v>2640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2576</v>
      </c>
      <c r="B53" s="528" t="s">
        <v>2542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2591</v>
      </c>
      <c r="C65" s="578" t="s">
        <v>2585</v>
      </c>
      <c r="D65" s="578" t="s">
        <v>2586</v>
      </c>
      <c r="E65" s="578" t="s">
        <v>2587</v>
      </c>
      <c r="F65" s="578" t="s">
        <v>2588</v>
      </c>
      <c r="G65" s="578" t="s">
        <v>2589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2677</v>
      </c>
      <c r="C67" s="660" t="s">
        <v>2663</v>
      </c>
      <c r="D67" s="660" t="s">
        <v>2664</v>
      </c>
      <c r="E67" s="660" t="s">
        <v>2665</v>
      </c>
      <c r="F67" s="660" t="s">
        <v>2666</v>
      </c>
      <c r="G67" s="660" t="s">
        <v>2667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2597</v>
      </c>
      <c r="C69" s="578" t="s">
        <v>2585</v>
      </c>
      <c r="D69" s="578" t="s">
        <v>2586</v>
      </c>
      <c r="E69" s="578" t="s">
        <v>2587</v>
      </c>
      <c r="F69" s="578" t="s">
        <v>2588</v>
      </c>
      <c r="G69" s="578" t="s">
        <v>2589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2551</v>
      </c>
      <c r="B79" s="528" t="s">
        <v>2718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33"/>
      <c r="F1" s="2585"/>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IF(C2="——",ROUND(C37*D3/10000,0),ROUND(C37*D3/10000,0)-D2)</f>
        <v>#DIV/0!</v>
      </c>
      <c r="C2" s="2587"/>
      <c r="D2" s="1127" t="e">
        <f ca="1">SUMIF(INDIRECT("'"&amp;F2&amp;"'"&amp;"!A:A"),"承租人权益价值",INDIRECT("'"&amp;F2&amp;"'"&amp;"!c:c"))</f>
        <v>#REF!</v>
      </c>
      <c r="E2" s="2588" t="s">
        <v>2316</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86" t="s">
        <v>2634</v>
      </c>
      <c r="D4" s="3187"/>
      <c r="E4" s="3188" t="s">
        <v>2635</v>
      </c>
      <c r="F4" s="3189"/>
      <c r="G4" s="3186" t="s">
        <v>2636</v>
      </c>
      <c r="H4" s="3187"/>
      <c r="I4" s="3186" t="s">
        <v>2637</v>
      </c>
      <c r="J4" s="3187"/>
      <c r="K4" s="610" t="s">
        <v>2638</v>
      </c>
      <c r="L4" s="1133"/>
      <c r="M4" s="1134"/>
      <c r="N4" s="1134"/>
      <c r="O4" s="1134"/>
      <c r="P4" s="3190" t="s">
        <v>2639</v>
      </c>
      <c r="Q4" s="3191"/>
      <c r="R4" s="3196" t="s">
        <v>2635</v>
      </c>
      <c r="S4" s="3197"/>
      <c r="T4" s="3196" t="s">
        <v>2636</v>
      </c>
      <c r="U4" s="3197"/>
      <c r="V4" s="3202" t="s">
        <v>2637</v>
      </c>
      <c r="W4" s="3202"/>
      <c r="X4" s="1815"/>
      <c r="Y4" s="3196" t="s">
        <v>2639</v>
      </c>
      <c r="Z4" s="3197"/>
      <c r="AA4" s="3183" t="s">
        <v>2635</v>
      </c>
      <c r="AB4" s="3184" t="s">
        <v>2636</v>
      </c>
      <c r="AC4" s="3183" t="s">
        <v>2637</v>
      </c>
    </row>
    <row r="5" spans="1:29" ht="15">
      <c r="A5" s="404"/>
      <c r="B5" s="405"/>
      <c r="C5" s="3234" t="s">
        <v>2530</v>
      </c>
      <c r="D5" s="3206"/>
      <c r="E5" s="3235" t="s">
        <v>2531</v>
      </c>
      <c r="F5" s="3236"/>
      <c r="G5" s="3234" t="s">
        <v>2532</v>
      </c>
      <c r="H5" s="3206"/>
      <c r="I5" s="3234" t="s">
        <v>2533</v>
      </c>
      <c r="J5" s="3206"/>
      <c r="K5" s="610"/>
      <c r="L5" s="1133"/>
      <c r="M5" s="1134"/>
      <c r="N5" s="1134"/>
      <c r="O5" s="1134"/>
      <c r="P5" s="3192"/>
      <c r="Q5" s="3193"/>
      <c r="R5" s="3198"/>
      <c r="S5" s="3199"/>
      <c r="T5" s="3198"/>
      <c r="U5" s="3199"/>
      <c r="V5" s="3202"/>
      <c r="W5" s="3202"/>
      <c r="X5" s="1815"/>
      <c r="Y5" s="3198"/>
      <c r="Z5" s="3199"/>
      <c r="AA5" s="3184"/>
      <c r="AB5" s="3184"/>
      <c r="AC5" s="3184"/>
    </row>
    <row r="6" spans="1:29" ht="15.75" thickBot="1">
      <c r="A6" s="406"/>
      <c r="B6" s="407"/>
      <c r="C6" s="3203" t="s">
        <v>2534</v>
      </c>
      <c r="D6" s="3204"/>
      <c r="E6" s="3210" t="s">
        <v>2534</v>
      </c>
      <c r="F6" s="3211"/>
      <c r="G6" s="3203" t="s">
        <v>2534</v>
      </c>
      <c r="H6" s="3204"/>
      <c r="I6" s="3203" t="s">
        <v>2534</v>
      </c>
      <c r="J6" s="3204"/>
      <c r="K6" s="610" t="s">
        <v>2535</v>
      </c>
      <c r="L6" s="1133"/>
      <c r="M6" s="1134"/>
      <c r="N6" s="1134"/>
      <c r="O6" s="1134"/>
      <c r="P6" s="3194"/>
      <c r="Q6" s="3195"/>
      <c r="R6" s="3198"/>
      <c r="S6" s="3199"/>
      <c r="T6" s="3200"/>
      <c r="U6" s="3201"/>
      <c r="V6" s="3202"/>
      <c r="W6" s="3202"/>
      <c r="X6" s="1815"/>
      <c r="Y6" s="3200"/>
      <c r="Z6" s="3201"/>
      <c r="AA6" s="3185"/>
      <c r="AB6" s="3185"/>
      <c r="AC6" s="3185"/>
    </row>
    <row r="7" spans="1:29" s="117" customFormat="1" ht="15.75" thickBot="1">
      <c r="A7" s="408" t="s">
        <v>2536</v>
      </c>
      <c r="B7" s="409"/>
      <c r="C7" s="410">
        <f>'数据-取费表'!B2</f>
        <v>43249</v>
      </c>
      <c r="D7" s="411">
        <v>100</v>
      </c>
      <c r="E7" s="412"/>
      <c r="F7" s="413">
        <f>SUMIF(46:46,YEAR(E7)&amp;"-"&amp;MONTH(E7),47:47)</f>
        <v>0</v>
      </c>
      <c r="G7" s="2694"/>
      <c r="H7" s="411">
        <f>SUMIF(46:46,YEAR(G7)&amp;"-"&amp;MONTH(G7),47:47)</f>
        <v>0</v>
      </c>
      <c r="I7" s="412"/>
      <c r="J7" s="411">
        <f>SUMIF(46:46,YEAR(I7)&amp;"-"&amp;MONTH(I7),47:47)</f>
        <v>0</v>
      </c>
      <c r="K7" s="611"/>
      <c r="L7" s="1135"/>
      <c r="M7" s="1136"/>
      <c r="N7" s="1136"/>
      <c r="O7" s="1136"/>
      <c r="P7" s="3207" t="s">
        <v>2537</v>
      </c>
      <c r="Q7" s="3209"/>
      <c r="R7" s="770" t="s">
        <v>17</v>
      </c>
      <c r="S7" s="771">
        <f t="shared" ref="S7:S14" si="0">F7</f>
        <v>0</v>
      </c>
      <c r="T7" s="770" t="s">
        <v>17</v>
      </c>
      <c r="U7" s="771">
        <f t="shared" ref="U7:U14" si="1">H7</f>
        <v>0</v>
      </c>
      <c r="V7" s="770" t="s">
        <v>17</v>
      </c>
      <c r="W7" s="771">
        <f t="shared" ref="W7:W14" si="2">J7</f>
        <v>0</v>
      </c>
      <c r="X7" s="772"/>
      <c r="Y7" s="3207" t="s">
        <v>2537</v>
      </c>
      <c r="Z7" s="3208"/>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7" t="s">
        <v>2540</v>
      </c>
      <c r="Q8" s="3208"/>
      <c r="R8" s="770" t="s">
        <v>17</v>
      </c>
      <c r="S8" s="771">
        <f t="shared" si="0"/>
        <v>0</v>
      </c>
      <c r="T8" s="770" t="s">
        <v>17</v>
      </c>
      <c r="U8" s="771">
        <f t="shared" si="1"/>
        <v>0</v>
      </c>
      <c r="V8" s="770" t="s">
        <v>17</v>
      </c>
      <c r="W8" s="771">
        <f t="shared" si="2"/>
        <v>0</v>
      </c>
      <c r="X8" s="772"/>
      <c r="Y8" s="3207" t="s">
        <v>2540</v>
      </c>
      <c r="Z8" s="3208"/>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71" t="s">
        <v>2543</v>
      </c>
      <c r="Q9" s="1797" t="str">
        <f t="shared" ref="Q9:Q14" si="6">B9</f>
        <v>用途</v>
      </c>
      <c r="R9" s="770" t="s">
        <v>17</v>
      </c>
      <c r="S9" s="771">
        <f t="shared" si="0"/>
        <v>100</v>
      </c>
      <c r="T9" s="770" t="s">
        <v>17</v>
      </c>
      <c r="U9" s="771">
        <f t="shared" si="1"/>
        <v>100</v>
      </c>
      <c r="V9" s="770" t="s">
        <v>17</v>
      </c>
      <c r="W9" s="771">
        <f t="shared" si="2"/>
        <v>100</v>
      </c>
      <c r="X9" s="772"/>
      <c r="Y9" s="3018"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71"/>
      <c r="Q10" s="1797" t="str">
        <f t="shared" si="6"/>
        <v>土地使用年限（年）</v>
      </c>
      <c r="R10" s="770" t="s">
        <v>17</v>
      </c>
      <c r="S10" s="771">
        <f t="shared" si="0"/>
        <v>100</v>
      </c>
      <c r="T10" s="770" t="s">
        <v>17</v>
      </c>
      <c r="U10" s="771">
        <f t="shared" si="1"/>
        <v>100</v>
      </c>
      <c r="V10" s="770" t="s">
        <v>17</v>
      </c>
      <c r="W10" s="771">
        <f t="shared" si="2"/>
        <v>100</v>
      </c>
      <c r="X10" s="772"/>
      <c r="Y10" s="3018"/>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71"/>
      <c r="Q11" s="1797">
        <f t="shared" si="6"/>
        <v>111</v>
      </c>
      <c r="R11" s="770" t="s">
        <v>17</v>
      </c>
      <c r="S11" s="771">
        <f t="shared" si="0"/>
        <v>100</v>
      </c>
      <c r="T11" s="770" t="s">
        <v>17</v>
      </c>
      <c r="U11" s="771">
        <f t="shared" si="1"/>
        <v>100</v>
      </c>
      <c r="V11" s="770" t="s">
        <v>17</v>
      </c>
      <c r="W11" s="771">
        <f t="shared" si="2"/>
        <v>100</v>
      </c>
      <c r="X11" s="772"/>
      <c r="Y11" s="3018"/>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71"/>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3"/>
      <c r="M13" s="1134"/>
      <c r="N13" s="1134"/>
      <c r="O13" s="1142"/>
      <c r="P13" s="3171"/>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
      <c r="A14" s="440" t="s">
        <v>2547</v>
      </c>
      <c r="B14" s="69" t="s">
        <v>2697</v>
      </c>
      <c r="C14" s="2691"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3" t="s">
        <v>2548</v>
      </c>
      <c r="Q14" s="1812" t="str">
        <f t="shared" si="6"/>
        <v>交通便捷度</v>
      </c>
      <c r="R14" s="774" t="s">
        <v>17</v>
      </c>
      <c r="S14" s="775">
        <f t="shared" si="0"/>
        <v>100</v>
      </c>
      <c r="T14" s="774" t="s">
        <v>17</v>
      </c>
      <c r="U14" s="775">
        <f t="shared" si="1"/>
        <v>100</v>
      </c>
      <c r="V14" s="774" t="s">
        <v>17</v>
      </c>
      <c r="W14" s="775">
        <f t="shared" si="2"/>
        <v>100</v>
      </c>
      <c r="X14" s="1815"/>
      <c r="Y14" s="3173" t="s">
        <v>2548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74"/>
      <c r="Q15" s="1812"/>
      <c r="R15" s="774"/>
      <c r="S15" s="775"/>
      <c r="T15" s="774"/>
      <c r="U15" s="775"/>
      <c r="V15" s="774"/>
      <c r="W15" s="775"/>
      <c r="X15" s="1815"/>
      <c r="Y15" s="3174"/>
      <c r="Z15" s="1816"/>
      <c r="AA15" s="1813">
        <v>1</v>
      </c>
      <c r="AB15" s="1813">
        <v>1</v>
      </c>
      <c r="AC15" s="1813">
        <v>1</v>
      </c>
    </row>
    <row r="16" spans="1:29" ht="15">
      <c r="A16" s="428"/>
      <c r="B16" s="451" t="s">
        <v>2676</v>
      </c>
      <c r="C16" s="2607"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4"/>
      <c r="Q16" s="1812" t="str">
        <f>B16</f>
        <v>公共配套设施</v>
      </c>
      <c r="R16" s="774" t="s">
        <v>17</v>
      </c>
      <c r="S16" s="775">
        <f>F16</f>
        <v>100</v>
      </c>
      <c r="T16" s="774" t="s">
        <v>17</v>
      </c>
      <c r="U16" s="775">
        <f>H16</f>
        <v>100</v>
      </c>
      <c r="V16" s="774" t="s">
        <v>17</v>
      </c>
      <c r="W16" s="775">
        <f>J16</f>
        <v>100</v>
      </c>
      <c r="X16" s="1815"/>
      <c r="Y16" s="3174"/>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3"/>
      <c r="M17" s="1134"/>
      <c r="N17" s="1134"/>
      <c r="O17" s="1142"/>
      <c r="P17" s="3174"/>
      <c r="Q17" s="1812"/>
      <c r="R17" s="774"/>
      <c r="S17" s="775"/>
      <c r="T17" s="774"/>
      <c r="U17" s="775"/>
      <c r="V17" s="774"/>
      <c r="W17" s="775"/>
      <c r="X17" s="1815"/>
      <c r="Y17" s="3174"/>
      <c r="Z17" s="1816"/>
      <c r="AA17" s="1813">
        <v>1</v>
      </c>
      <c r="AB17" s="1813">
        <v>1</v>
      </c>
      <c r="AC17" s="1813">
        <v>1</v>
      </c>
    </row>
    <row r="18" spans="1:29" ht="15">
      <c r="A18" s="428"/>
      <c r="B18" s="1387" t="s">
        <v>2677</v>
      </c>
      <c r="C18" s="260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4"/>
      <c r="Q18" s="1812" t="str">
        <f>B18</f>
        <v>基础设施水平</v>
      </c>
      <c r="R18" s="774" t="s">
        <v>17</v>
      </c>
      <c r="S18" s="775">
        <f>F18</f>
        <v>100</v>
      </c>
      <c r="T18" s="774" t="s">
        <v>17</v>
      </c>
      <c r="U18" s="775">
        <f>H18</f>
        <v>100</v>
      </c>
      <c r="V18" s="774" t="s">
        <v>17</v>
      </c>
      <c r="W18" s="775">
        <f>J18</f>
        <v>100</v>
      </c>
      <c r="X18" s="1815"/>
      <c r="Y18" s="3174"/>
      <c r="Z18" s="1816" t="str">
        <f>Q18</f>
        <v>基础设施水平</v>
      </c>
      <c r="AA18" s="1813">
        <f t="shared" ref="AA18" si="8">D18/F18</f>
        <v>1</v>
      </c>
      <c r="AB18" s="1813">
        <f t="shared" ref="AB18" si="9">D18/H18</f>
        <v>1</v>
      </c>
      <c r="AC18" s="1813">
        <f t="shared" ref="AC18" si="10">D18/J18</f>
        <v>1</v>
      </c>
    </row>
    <row r="19" spans="1:29" ht="15">
      <c r="A19" s="428"/>
      <c r="B19" s="1387"/>
      <c r="C19" s="2608"/>
      <c r="D19" s="450"/>
      <c r="E19" s="2608"/>
      <c r="F19" s="453"/>
      <c r="G19" s="2608"/>
      <c r="H19" s="448"/>
      <c r="I19" s="447"/>
      <c r="J19" s="448"/>
      <c r="K19" s="1386"/>
      <c r="L19" s="1143"/>
      <c r="M19" s="1134"/>
      <c r="N19" s="1134"/>
      <c r="O19" s="1142"/>
      <c r="P19" s="3174"/>
      <c r="Q19" s="1812"/>
      <c r="R19" s="774"/>
      <c r="S19" s="775"/>
      <c r="T19" s="774"/>
      <c r="U19" s="775"/>
      <c r="V19" s="774"/>
      <c r="W19" s="775"/>
      <c r="X19" s="1815"/>
      <c r="Y19" s="3174"/>
      <c r="Z19" s="1816"/>
      <c r="AA19" s="1813">
        <v>1</v>
      </c>
      <c r="AB19" s="1813">
        <v>1</v>
      </c>
      <c r="AC19" s="1813">
        <v>1</v>
      </c>
    </row>
    <row r="20" spans="1:29" ht="15">
      <c r="A20" s="428"/>
      <c r="B20" s="451" t="s">
        <v>2698</v>
      </c>
      <c r="C20" s="2607"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4"/>
      <c r="Q20" s="1812" t="str">
        <f>B20</f>
        <v>自然及人文环境</v>
      </c>
      <c r="R20" s="774" t="s">
        <v>17</v>
      </c>
      <c r="S20" s="775">
        <f>F20</f>
        <v>100</v>
      </c>
      <c r="T20" s="774" t="s">
        <v>17</v>
      </c>
      <c r="U20" s="775">
        <f>H20</f>
        <v>100</v>
      </c>
      <c r="V20" s="774" t="s">
        <v>17</v>
      </c>
      <c r="W20" s="775">
        <f>J20</f>
        <v>100</v>
      </c>
      <c r="X20" s="1815"/>
      <c r="Y20" s="3174"/>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74"/>
      <c r="Q21" s="1812"/>
      <c r="R21" s="774"/>
      <c r="S21" s="775"/>
      <c r="T21" s="774"/>
      <c r="U21" s="775"/>
      <c r="V21" s="774"/>
      <c r="W21" s="775"/>
      <c r="X21" s="1815"/>
      <c r="Y21" s="3174"/>
      <c r="Z21" s="1816"/>
      <c r="AA21" s="1813">
        <v>1</v>
      </c>
      <c r="AB21" s="1813">
        <v>1</v>
      </c>
      <c r="AC21" s="1813">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4"/>
      <c r="Q22" s="1812" t="str">
        <f>B22</f>
        <v>楼层</v>
      </c>
      <c r="R22" s="774" t="s">
        <v>17</v>
      </c>
      <c r="S22" s="775">
        <f>F22</f>
        <v>100</v>
      </c>
      <c r="T22" s="774" t="s">
        <v>17</v>
      </c>
      <c r="U22" s="775">
        <f>H22</f>
        <v>100</v>
      </c>
      <c r="V22" s="774" t="s">
        <v>17</v>
      </c>
      <c r="W22" s="775">
        <f>J22</f>
        <v>100</v>
      </c>
      <c r="X22" s="1815"/>
      <c r="Y22" s="3174"/>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4"/>
      <c r="Q23" s="1812">
        <f>B23</f>
        <v>111</v>
      </c>
      <c r="R23" s="774" t="s">
        <v>17</v>
      </c>
      <c r="S23" s="775">
        <f>F23</f>
        <v>100</v>
      </c>
      <c r="T23" s="774" t="s">
        <v>17</v>
      </c>
      <c r="U23" s="775">
        <f>H23</f>
        <v>100</v>
      </c>
      <c r="V23" s="774" t="s">
        <v>17</v>
      </c>
      <c r="W23" s="775">
        <f>J23</f>
        <v>100</v>
      </c>
      <c r="X23" s="1815"/>
      <c r="Y23" s="3174"/>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4"/>
      <c r="Q24" s="1812">
        <f t="shared" ref="Q24:Q34" si="11">B24</f>
        <v>111</v>
      </c>
      <c r="R24" s="774" t="s">
        <v>17</v>
      </c>
      <c r="S24" s="775">
        <f>F24</f>
        <v>100</v>
      </c>
      <c r="T24" s="774" t="s">
        <v>17</v>
      </c>
      <c r="U24" s="775">
        <f>H24</f>
        <v>100</v>
      </c>
      <c r="V24" s="774" t="s">
        <v>17</v>
      </c>
      <c r="W24" s="775">
        <f>J24</f>
        <v>100</v>
      </c>
      <c r="X24" s="1815"/>
      <c r="Y24" s="3174"/>
      <c r="Z24" s="1816">
        <f>Q24</f>
        <v>111</v>
      </c>
      <c r="AA24" s="1813">
        <f t="shared" si="3"/>
        <v>1</v>
      </c>
      <c r="AB24" s="1813">
        <f t="shared" si="4"/>
        <v>1</v>
      </c>
      <c r="AC24" s="1813">
        <f t="shared" si="5"/>
        <v>1</v>
      </c>
    </row>
    <row r="25" spans="1:29" s="117" customFormat="1" ht="15.75" thickBot="1">
      <c r="A25" s="431"/>
      <c r="B25" s="2600">
        <v>111</v>
      </c>
      <c r="C25" s="2696"/>
      <c r="D25" s="665">
        <v>100</v>
      </c>
      <c r="E25" s="2696"/>
      <c r="F25" s="666">
        <f>SUMIF(75:75,E25,76:76)-SUMIF(75:75,C25,76:76)+100</f>
        <v>100</v>
      </c>
      <c r="G25" s="2696"/>
      <c r="H25" s="665">
        <f>SUMIF(75:75,G25,76:76)-SUMIF(75:75,C25,76:76)+100</f>
        <v>100</v>
      </c>
      <c r="I25" s="2696"/>
      <c r="J25" s="665">
        <f>SUMIF(75:75,I25,76:76)-SUMIF(75:75,C25,76:76)+100</f>
        <v>100</v>
      </c>
      <c r="K25" s="613"/>
      <c r="L25" s="1135"/>
      <c r="M25" s="1136"/>
      <c r="N25" s="1136"/>
      <c r="O25" s="1137"/>
      <c r="P25" s="3174"/>
      <c r="Q25" s="1797">
        <f t="shared" si="11"/>
        <v>111</v>
      </c>
      <c r="R25" s="770" t="s">
        <v>17</v>
      </c>
      <c r="S25" s="771">
        <f>F25</f>
        <v>100</v>
      </c>
      <c r="T25" s="770" t="s">
        <v>17</v>
      </c>
      <c r="U25" s="771">
        <f>H25</f>
        <v>100</v>
      </c>
      <c r="V25" s="770" t="s">
        <v>17</v>
      </c>
      <c r="W25" s="771">
        <f>J25</f>
        <v>100</v>
      </c>
      <c r="X25" s="772"/>
      <c r="Y25" s="3174"/>
      <c r="Z25" s="55">
        <f>Q25</f>
        <v>111</v>
      </c>
      <c r="AA25" s="1813">
        <f>D25/F25</f>
        <v>1</v>
      </c>
      <c r="AB25" s="1813">
        <f>D25/H25</f>
        <v>1</v>
      </c>
      <c r="AC25" s="1813">
        <f>D25/J25</f>
        <v>1</v>
      </c>
    </row>
    <row r="26" spans="1:29" ht="15">
      <c r="A26" s="466" t="s">
        <v>2551</v>
      </c>
      <c r="B26" s="71" t="s">
        <v>2702</v>
      </c>
      <c r="C26" s="2677"/>
      <c r="D26" s="467">
        <v>100</v>
      </c>
      <c r="E26" s="2677"/>
      <c r="F26" s="667">
        <f>SUMIF(77:77,E26,78:78)-SUMIF(77:77,C26,78:78)+100</f>
        <v>100</v>
      </c>
      <c r="G26" s="2677"/>
      <c r="H26" s="467">
        <f>SUMIF(77:77,G26,78:78)-SUMIF(77:77,C26,78:78)+100</f>
        <v>100</v>
      </c>
      <c r="I26" s="2677"/>
      <c r="J26" s="467">
        <f>SUMIF(77:77,I26,78:78)-SUMIF(77:77,C26,78:78)+100</f>
        <v>100</v>
      </c>
      <c r="K26" s="612"/>
      <c r="L26" s="1143"/>
      <c r="M26" s="1134"/>
      <c r="N26" s="1134"/>
      <c r="O26" s="1142"/>
      <c r="P26" s="3252" t="s">
        <v>2553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78" t="s">
        <v>2553</v>
      </c>
      <c r="Z26" s="1816" t="str">
        <f t="shared" ref="Z26:Z34" si="15">Q26</f>
        <v>公共部分装修</v>
      </c>
      <c r="AA26" s="1813">
        <f t="shared" si="3"/>
        <v>1</v>
      </c>
      <c r="AB26" s="1813">
        <f t="shared" si="4"/>
        <v>1</v>
      </c>
      <c r="AC26" s="1813">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8"/>
      <c r="Q27" s="776" t="str">
        <f t="shared" si="11"/>
        <v>成新率</v>
      </c>
      <c r="R27" s="777" t="s">
        <v>17</v>
      </c>
      <c r="S27" s="778" t="e">
        <f t="shared" si="12"/>
        <v>#N/A</v>
      </c>
      <c r="T27" s="777" t="s">
        <v>17</v>
      </c>
      <c r="U27" s="778" t="e">
        <f t="shared" si="13"/>
        <v>#N/A</v>
      </c>
      <c r="V27" s="777" t="s">
        <v>17</v>
      </c>
      <c r="W27" s="778" t="e">
        <f t="shared" si="14"/>
        <v>#N/A</v>
      </c>
      <c r="X27" s="779"/>
      <c r="Y27" s="3178"/>
      <c r="Z27" s="780" t="str">
        <f t="shared" si="15"/>
        <v>成新率</v>
      </c>
      <c r="AA27" s="1813" t="e">
        <f t="shared" si="3"/>
        <v>#N/A</v>
      </c>
      <c r="AB27" s="1813" t="e">
        <f t="shared" si="4"/>
        <v>#N/A</v>
      </c>
      <c r="AC27" s="1813"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8"/>
      <c r="Q28" s="1812" t="str">
        <f t="shared" si="11"/>
        <v>物业等级</v>
      </c>
      <c r="R28" s="774" t="s">
        <v>17</v>
      </c>
      <c r="S28" s="775">
        <f t="shared" si="12"/>
        <v>100</v>
      </c>
      <c r="T28" s="774" t="s">
        <v>17</v>
      </c>
      <c r="U28" s="775">
        <f t="shared" si="13"/>
        <v>100</v>
      </c>
      <c r="V28" s="774" t="s">
        <v>17</v>
      </c>
      <c r="W28" s="775">
        <f t="shared" si="14"/>
        <v>100</v>
      </c>
      <c r="X28" s="1815"/>
      <c r="Y28" s="3178"/>
      <c r="Z28" s="1816" t="str">
        <f t="shared" si="15"/>
        <v>物业等级</v>
      </c>
      <c r="AA28" s="1813">
        <f t="shared" si="3"/>
        <v>1</v>
      </c>
      <c r="AB28" s="1813">
        <f t="shared" si="4"/>
        <v>1</v>
      </c>
      <c r="AC28" s="1813">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8"/>
      <c r="Q29" s="1812" t="str">
        <f t="shared" si="11"/>
        <v>有无电梯</v>
      </c>
      <c r="R29" s="774" t="s">
        <v>17</v>
      </c>
      <c r="S29" s="775">
        <f t="shared" si="12"/>
        <v>100</v>
      </c>
      <c r="T29" s="774" t="s">
        <v>17</v>
      </c>
      <c r="U29" s="775">
        <f t="shared" si="13"/>
        <v>100</v>
      </c>
      <c r="V29" s="774" t="s">
        <v>17</v>
      </c>
      <c r="W29" s="775">
        <f t="shared" si="14"/>
        <v>100</v>
      </c>
      <c r="X29" s="1815"/>
      <c r="Y29" s="3178"/>
      <c r="Z29" s="1816" t="str">
        <f t="shared" si="15"/>
        <v>有无电梯</v>
      </c>
      <c r="AA29" s="1813">
        <f t="shared" si="3"/>
        <v>1</v>
      </c>
      <c r="AB29" s="1813">
        <f t="shared" si="4"/>
        <v>1</v>
      </c>
      <c r="AC29" s="1813">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8"/>
      <c r="Q30" s="1812" t="str">
        <f t="shared" si="11"/>
        <v>建筑面积</v>
      </c>
      <c r="R30" s="774" t="s">
        <v>17</v>
      </c>
      <c r="S30" s="775" t="e">
        <f t="shared" si="12"/>
        <v>#N/A</v>
      </c>
      <c r="T30" s="774" t="s">
        <v>17</v>
      </c>
      <c r="U30" s="775" t="e">
        <f t="shared" si="13"/>
        <v>#N/A</v>
      </c>
      <c r="V30" s="774" t="s">
        <v>17</v>
      </c>
      <c r="W30" s="775" t="e">
        <f t="shared" si="14"/>
        <v>#N/A</v>
      </c>
      <c r="X30" s="1815"/>
      <c r="Y30" s="3178"/>
      <c r="Z30" s="1816" t="str">
        <f t="shared" si="15"/>
        <v>建筑面积</v>
      </c>
      <c r="AA30" s="1813" t="e">
        <f t="shared" si="3"/>
        <v>#N/A</v>
      </c>
      <c r="AB30" s="1813" t="e">
        <f t="shared" si="4"/>
        <v>#N/A</v>
      </c>
      <c r="AC30" s="1813"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8"/>
      <c r="Q31" s="1797" t="str">
        <f t="shared" si="11"/>
        <v>是否封闭</v>
      </c>
      <c r="R31" s="770" t="s">
        <v>17</v>
      </c>
      <c r="S31" s="771">
        <f t="shared" si="12"/>
        <v>100</v>
      </c>
      <c r="T31" s="770" t="s">
        <v>17</v>
      </c>
      <c r="U31" s="771">
        <f t="shared" si="13"/>
        <v>100</v>
      </c>
      <c r="V31" s="770" t="s">
        <v>17</v>
      </c>
      <c r="W31" s="771">
        <f t="shared" si="14"/>
        <v>100</v>
      </c>
      <c r="X31" s="772"/>
      <c r="Y31" s="3178"/>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8" t="s">
        <v>2553</v>
      </c>
      <c r="Q32" s="1812">
        <f t="shared" si="11"/>
        <v>111</v>
      </c>
      <c r="R32" s="774" t="s">
        <v>17</v>
      </c>
      <c r="S32" s="775">
        <f t="shared" si="12"/>
        <v>100</v>
      </c>
      <c r="T32" s="774" t="s">
        <v>17</v>
      </c>
      <c r="U32" s="775">
        <f t="shared" si="13"/>
        <v>100</v>
      </c>
      <c r="V32" s="774" t="s">
        <v>17</v>
      </c>
      <c r="W32" s="775">
        <f t="shared" si="14"/>
        <v>100</v>
      </c>
      <c r="X32" s="1815"/>
      <c r="Y32" s="3178" t="s">
        <v>2553</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8"/>
      <c r="Q33" s="1812">
        <f t="shared" si="11"/>
        <v>111</v>
      </c>
      <c r="R33" s="774" t="s">
        <v>17</v>
      </c>
      <c r="S33" s="775">
        <f t="shared" si="12"/>
        <v>100</v>
      </c>
      <c r="T33" s="774" t="s">
        <v>17</v>
      </c>
      <c r="U33" s="775">
        <f t="shared" si="13"/>
        <v>100</v>
      </c>
      <c r="V33" s="774" t="s">
        <v>17</v>
      </c>
      <c r="W33" s="775">
        <f t="shared" si="14"/>
        <v>100</v>
      </c>
      <c r="X33" s="1815"/>
      <c r="Y33" s="3178"/>
      <c r="Z33" s="1816">
        <f t="shared" si="15"/>
        <v>111</v>
      </c>
      <c r="AA33" s="1813">
        <f t="shared" si="3"/>
        <v>1</v>
      </c>
      <c r="AB33" s="1813">
        <f t="shared" si="4"/>
        <v>1</v>
      </c>
      <c r="AC33" s="1813">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3"/>
      <c r="M34" s="1134"/>
      <c r="N34" s="1134"/>
      <c r="O34" s="1142"/>
      <c r="P34" s="3178"/>
      <c r="Q34" s="1812">
        <f t="shared" si="11"/>
        <v>111</v>
      </c>
      <c r="R34" s="774" t="s">
        <v>17</v>
      </c>
      <c r="S34" s="775">
        <f t="shared" si="12"/>
        <v>100</v>
      </c>
      <c r="T34" s="774" t="s">
        <v>17</v>
      </c>
      <c r="U34" s="775">
        <f t="shared" si="13"/>
        <v>100</v>
      </c>
      <c r="V34" s="774" t="s">
        <v>17</v>
      </c>
      <c r="W34" s="775">
        <f t="shared" si="14"/>
        <v>100</v>
      </c>
      <c r="X34" s="1815"/>
      <c r="Y34" s="3178"/>
      <c r="Z34" s="1816">
        <f t="shared" si="15"/>
        <v>111</v>
      </c>
      <c r="AA34" s="1813">
        <f t="shared" si="3"/>
        <v>1</v>
      </c>
      <c r="AB34" s="1813">
        <f t="shared" si="4"/>
        <v>1</v>
      </c>
      <c r="AC34" s="1813">
        <f t="shared" si="5"/>
        <v>1</v>
      </c>
    </row>
    <row r="35" spans="1:29" ht="15">
      <c r="A35" s="479" t="s">
        <v>2565</v>
      </c>
      <c r="B35" s="480"/>
      <c r="C35" s="1410" t="s">
        <v>1</v>
      </c>
      <c r="D35" s="1411"/>
      <c r="E35" s="1412"/>
      <c r="F35" s="1413"/>
      <c r="G35" s="1414"/>
      <c r="H35" s="1415"/>
      <c r="I35" s="1412"/>
      <c r="J35" s="1415"/>
      <c r="K35" s="783"/>
      <c r="L35" s="1146"/>
      <c r="M35" s="1147"/>
      <c r="N35" s="1134"/>
      <c r="O35" s="1147"/>
      <c r="P35" s="3171" t="str">
        <f>A35</f>
        <v>成交单价（元/平方米）</v>
      </c>
      <c r="Q35" s="3171"/>
      <c r="R35" s="3172">
        <f>E35</f>
        <v>0</v>
      </c>
      <c r="S35" s="3172"/>
      <c r="T35" s="3172">
        <f>G35</f>
        <v>0</v>
      </c>
      <c r="U35" s="3172"/>
      <c r="V35" s="3172">
        <f>I35</f>
        <v>0</v>
      </c>
      <c r="W35" s="3172"/>
      <c r="X35" s="759"/>
      <c r="Y35" s="781"/>
      <c r="Z35" s="759"/>
      <c r="AA35" s="759"/>
      <c r="AB35" s="759"/>
      <c r="AC35" s="759"/>
    </row>
    <row r="36" spans="1:29" ht="15.75" thickBot="1">
      <c r="A36" s="486" t="s">
        <v>2657</v>
      </c>
      <c r="B36" s="487"/>
      <c r="C36" s="1416" t="e">
        <f>R37</f>
        <v>#DIV/0!</v>
      </c>
      <c r="D36" s="1417"/>
      <c r="E36" s="1418" t="e">
        <f>R36</f>
        <v>#DIV/0!</v>
      </c>
      <c r="F36" s="1418"/>
      <c r="G36" s="1416" t="e">
        <f>T36</f>
        <v>#DIV/0!</v>
      </c>
      <c r="H36" s="1417"/>
      <c r="I36" s="1418" t="e">
        <f>V36</f>
        <v>#DIV/0!</v>
      </c>
      <c r="J36" s="1417"/>
      <c r="K36" s="784"/>
      <c r="L36" s="1146"/>
      <c r="M36" s="1147"/>
      <c r="N36" s="1134"/>
      <c r="O36" s="1147"/>
      <c r="P36" s="3171" t="str">
        <f>A36</f>
        <v>比较价值（元/平方米）</v>
      </c>
      <c r="Q36" s="3171"/>
      <c r="R36" s="3172" t="e">
        <f>IF(F1="售价",ROUND(PRODUCT(R35,AA7:AA34),0),ROUND(PRODUCT(R35,AA7:AA34),1))</f>
        <v>#DIV/0!</v>
      </c>
      <c r="S36" s="3172"/>
      <c r="T36" s="3172" t="e">
        <f>IF(F1="售价",ROUND(PRODUCT(T35,AB7:AB34),0),ROUND(PRODUCT(T35,AB7:AB34),1))</f>
        <v>#DIV/0!</v>
      </c>
      <c r="U36" s="3172"/>
      <c r="V36" s="3172" t="e">
        <f>IF(F1="售价",ROUND(PRODUCT(V35,AC7:AC34),0),ROUND(PRODUCT(V35,AC7:AC34),1))</f>
        <v>#DIV/0!</v>
      </c>
      <c r="W36" s="3172"/>
      <c r="X36" s="759"/>
      <c r="Y36" s="759"/>
      <c r="Z36" s="759"/>
      <c r="AA36" s="759"/>
      <c r="AB36" s="759"/>
      <c r="AC36" s="759"/>
    </row>
    <row r="37" spans="1:29" ht="15.75" thickBot="1">
      <c r="A37" s="492" t="s">
        <v>2658</v>
      </c>
      <c r="B37" s="493"/>
      <c r="C37" s="1420" t="e">
        <f>R37</f>
        <v>#DIV/0!</v>
      </c>
      <c r="D37" s="1420"/>
      <c r="E37" s="1420"/>
      <c r="F37" s="1420"/>
      <c r="G37" s="1420"/>
      <c r="H37" s="1420"/>
      <c r="I37" s="1420"/>
      <c r="J37" s="1420"/>
      <c r="K37" s="785"/>
      <c r="L37" s="1146"/>
      <c r="M37" s="1147"/>
      <c r="N37" s="1147"/>
      <c r="O37" s="1147"/>
      <c r="P37" s="3168" t="str">
        <f>A37</f>
        <v>估价对象XX用房的比较价值（楼面单价，元/平方米）</v>
      </c>
      <c r="Q37" s="3169"/>
      <c r="R37" s="3170" t="e">
        <f>IF(F1="售价",ROUND(AVERAGE(R36:V36),0),ROUND(AVERAGE(R36:V36),1))</f>
        <v>#DIV/0!</v>
      </c>
      <c r="S37" s="3170"/>
      <c r="T37" s="3170"/>
      <c r="U37" s="3170"/>
      <c r="V37" s="3170"/>
      <c r="W37" s="3170"/>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2576</v>
      </c>
      <c r="B51" s="528" t="s">
        <v>2542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2551</v>
      </c>
      <c r="B77" s="528" t="s">
        <v>2604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2633</v>
      </c>
      <c r="B4" s="402"/>
      <c r="C4" s="3186" t="s">
        <v>2634</v>
      </c>
      <c r="D4" s="3187"/>
      <c r="E4" s="3188" t="s">
        <v>2635</v>
      </c>
      <c r="F4" s="3189"/>
      <c r="G4" s="3186" t="s">
        <v>2636</v>
      </c>
      <c r="H4" s="3187"/>
      <c r="I4" s="3186" t="s">
        <v>2637</v>
      </c>
      <c r="J4" s="3187"/>
      <c r="K4" s="610" t="s">
        <v>2638</v>
      </c>
      <c r="L4" s="1133"/>
      <c r="M4" s="1134"/>
      <c r="N4" s="1134"/>
      <c r="O4" s="1134"/>
      <c r="P4" s="3190" t="s">
        <v>2639</v>
      </c>
      <c r="Q4" s="3191"/>
      <c r="R4" s="3196" t="s">
        <v>2635</v>
      </c>
      <c r="S4" s="3197"/>
      <c r="T4" s="3196" t="s">
        <v>2636</v>
      </c>
      <c r="U4" s="3197"/>
      <c r="V4" s="3202" t="s">
        <v>2637</v>
      </c>
      <c r="W4" s="3202"/>
      <c r="X4" s="1815"/>
      <c r="Y4" s="3196" t="s">
        <v>2639</v>
      </c>
      <c r="Z4" s="3197"/>
      <c r="AA4" s="3183" t="s">
        <v>2635</v>
      </c>
      <c r="AB4" s="3184" t="s">
        <v>2636</v>
      </c>
      <c r="AC4" s="3183" t="s">
        <v>2637</v>
      </c>
    </row>
    <row r="5" spans="1:30" ht="15">
      <c r="A5" s="404"/>
      <c r="B5" s="405"/>
      <c r="C5" s="3234" t="s">
        <v>2530</v>
      </c>
      <c r="D5" s="3206"/>
      <c r="E5" s="3235" t="s">
        <v>2531</v>
      </c>
      <c r="F5" s="3236"/>
      <c r="G5" s="3234" t="s">
        <v>2532</v>
      </c>
      <c r="H5" s="3206"/>
      <c r="I5" s="3234" t="s">
        <v>2533</v>
      </c>
      <c r="J5" s="3206"/>
      <c r="K5" s="610"/>
      <c r="L5" s="1133"/>
      <c r="M5" s="1134"/>
      <c r="N5" s="1134"/>
      <c r="O5" s="1134"/>
      <c r="P5" s="3192"/>
      <c r="Q5" s="3193"/>
      <c r="R5" s="3198"/>
      <c r="S5" s="3199"/>
      <c r="T5" s="3198"/>
      <c r="U5" s="3199"/>
      <c r="V5" s="3202"/>
      <c r="W5" s="3202"/>
      <c r="X5" s="1815"/>
      <c r="Y5" s="3198"/>
      <c r="Z5" s="3199"/>
      <c r="AA5" s="3184"/>
      <c r="AB5" s="3184"/>
      <c r="AC5" s="3184"/>
    </row>
    <row r="6" spans="1:30" ht="15.75" thickBot="1">
      <c r="A6" s="406"/>
      <c r="B6" s="407"/>
      <c r="C6" s="3203" t="s">
        <v>2534</v>
      </c>
      <c r="D6" s="3204"/>
      <c r="E6" s="3210" t="s">
        <v>2534</v>
      </c>
      <c r="F6" s="3211"/>
      <c r="G6" s="3203" t="s">
        <v>2534</v>
      </c>
      <c r="H6" s="3204"/>
      <c r="I6" s="3203" t="s">
        <v>2534</v>
      </c>
      <c r="J6" s="3204"/>
      <c r="K6" s="610" t="s">
        <v>2535</v>
      </c>
      <c r="L6" s="1133"/>
      <c r="M6" s="1134"/>
      <c r="N6" s="1134"/>
      <c r="O6" s="1134"/>
      <c r="P6" s="3194"/>
      <c r="Q6" s="3195"/>
      <c r="R6" s="3198"/>
      <c r="S6" s="3199"/>
      <c r="T6" s="3200"/>
      <c r="U6" s="3201"/>
      <c r="V6" s="3202"/>
      <c r="W6" s="3202"/>
      <c r="X6" s="1815"/>
      <c r="Y6" s="3200"/>
      <c r="Z6" s="3201"/>
      <c r="AA6" s="3185"/>
      <c r="AB6" s="3185"/>
      <c r="AC6" s="3185"/>
    </row>
    <row r="7" spans="1:30" s="117" customFormat="1" ht="15.75" thickBot="1">
      <c r="A7" s="408" t="s">
        <v>2536</v>
      </c>
      <c r="B7" s="409"/>
      <c r="C7" s="410">
        <f>'数据-取费表'!B2</f>
        <v>43249</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5"/>
      <c r="M7" s="1136"/>
      <c r="N7" s="1136"/>
      <c r="O7" s="1136"/>
      <c r="P7" s="3207" t="s">
        <v>2537</v>
      </c>
      <c r="Q7" s="3209"/>
      <c r="R7" s="770" t="s">
        <v>17</v>
      </c>
      <c r="S7" s="771">
        <f t="shared" ref="S7:S15" si="0">F7</f>
        <v>0</v>
      </c>
      <c r="T7" s="770" t="s">
        <v>17</v>
      </c>
      <c r="U7" s="771">
        <f t="shared" ref="U7:U15" si="1">H7</f>
        <v>0</v>
      </c>
      <c r="V7" s="770" t="s">
        <v>17</v>
      </c>
      <c r="W7" s="771">
        <f t="shared" ref="W7:W15" si="2">J7</f>
        <v>0</v>
      </c>
      <c r="X7" s="772"/>
      <c r="Y7" s="3207" t="s">
        <v>2537</v>
      </c>
      <c r="Z7" s="3208"/>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7" t="s">
        <v>2540</v>
      </c>
      <c r="Q8" s="3208"/>
      <c r="R8" s="770" t="s">
        <v>17</v>
      </c>
      <c r="S8" s="771">
        <f t="shared" si="0"/>
        <v>0</v>
      </c>
      <c r="T8" s="770" t="s">
        <v>17</v>
      </c>
      <c r="U8" s="771">
        <f t="shared" si="1"/>
        <v>0</v>
      </c>
      <c r="V8" s="770" t="s">
        <v>17</v>
      </c>
      <c r="W8" s="771">
        <f t="shared" si="2"/>
        <v>0</v>
      </c>
      <c r="X8" s="772"/>
      <c r="Y8" s="3207" t="s">
        <v>2540</v>
      </c>
      <c r="Z8" s="3208"/>
      <c r="AA8" s="773" t="e">
        <f t="shared" ref="AA8:AA45" si="3">D8/F8</f>
        <v>#DIV/0!</v>
      </c>
      <c r="AB8" s="773" t="e">
        <f t="shared" ref="AB8:AB45" si="4">D8/H8</f>
        <v>#DIV/0!</v>
      </c>
      <c r="AC8" s="773" t="e">
        <f t="shared" ref="AC8:AC45" si="5">D8/J8</f>
        <v>#DIV/0!</v>
      </c>
    </row>
    <row r="9" spans="1:30" s="117" customFormat="1">
      <c r="A9" s="415" t="s">
        <v>2541</v>
      </c>
      <c r="B9" s="71" t="s">
        <v>2542</v>
      </c>
      <c r="C9" s="2697"/>
      <c r="D9" s="135">
        <v>100</v>
      </c>
      <c r="E9" s="2697"/>
      <c r="F9" s="135">
        <f>SUMIF(75:75,E9,76:76)-SUMIF(75:75,C9,76:76)+100</f>
        <v>100</v>
      </c>
      <c r="G9" s="2697"/>
      <c r="H9" s="135">
        <f>SUMIF(75:75,G9,76:76)-SUMIF(75:75,C9,76:76)+100</f>
        <v>100</v>
      </c>
      <c r="I9" s="2697"/>
      <c r="J9" s="135">
        <f>SUMIF(75:75,I9,76:76)-SUMIF(75:75,C9,76:76)+100</f>
        <v>100</v>
      </c>
      <c r="K9" s="611"/>
      <c r="L9" s="1135"/>
      <c r="M9" s="1136"/>
      <c r="N9" s="1136"/>
      <c r="O9" s="1137"/>
      <c r="P9" s="3171" t="s">
        <v>2543</v>
      </c>
      <c r="Q9" s="1797" t="str">
        <f t="shared" ref="Q9:Q15" si="6">B9</f>
        <v>用途</v>
      </c>
      <c r="R9" s="770" t="s">
        <v>17</v>
      </c>
      <c r="S9" s="771">
        <f t="shared" si="0"/>
        <v>100</v>
      </c>
      <c r="T9" s="770" t="s">
        <v>17</v>
      </c>
      <c r="U9" s="771">
        <f t="shared" si="1"/>
        <v>100</v>
      </c>
      <c r="V9" s="770" t="s">
        <v>17</v>
      </c>
      <c r="W9" s="771">
        <f t="shared" si="2"/>
        <v>100</v>
      </c>
      <c r="X9" s="772"/>
      <c r="Y9" s="3018"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171"/>
      <c r="Q10" s="1797" t="str">
        <f t="shared" si="6"/>
        <v>土地使用年限（年）</v>
      </c>
      <c r="R10" s="770" t="s">
        <v>17</v>
      </c>
      <c r="S10" s="771">
        <f t="shared" si="0"/>
        <v>108</v>
      </c>
      <c r="T10" s="770" t="s">
        <v>17</v>
      </c>
      <c r="U10" s="771">
        <f t="shared" si="1"/>
        <v>108</v>
      </c>
      <c r="V10" s="770" t="s">
        <v>17</v>
      </c>
      <c r="W10" s="771">
        <f t="shared" si="2"/>
        <v>108</v>
      </c>
      <c r="X10" s="772"/>
      <c r="Y10" s="3018"/>
      <c r="Z10" s="55" t="str">
        <f t="shared" si="7"/>
        <v>土地使用年限（年）</v>
      </c>
      <c r="AA10" s="773">
        <f t="shared" si="3"/>
        <v>0.92592592592592593</v>
      </c>
      <c r="AB10" s="773">
        <f t="shared" si="4"/>
        <v>0.92592592592592593</v>
      </c>
      <c r="AC10" s="773">
        <f t="shared" si="5"/>
        <v>0.92592592592592593</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71"/>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30" s="117" customFormat="1" ht="15">
      <c r="A12" s="431"/>
      <c r="B12" s="2600" t="s">
        <v>2735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71"/>
      <c r="Q12" s="1797" t="str">
        <f t="shared" si="6"/>
        <v>配建</v>
      </c>
      <c r="R12" s="770" t="s">
        <v>17</v>
      </c>
      <c r="S12" s="771">
        <f t="shared" si="0"/>
        <v>100</v>
      </c>
      <c r="T12" s="770" t="s">
        <v>17</v>
      </c>
      <c r="U12" s="771">
        <f t="shared" si="1"/>
        <v>100</v>
      </c>
      <c r="V12" s="770" t="s">
        <v>17</v>
      </c>
      <c r="W12" s="771">
        <f t="shared" si="2"/>
        <v>100</v>
      </c>
      <c r="X12" s="772"/>
      <c r="Y12" s="3018"/>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71"/>
      <c r="Q13" s="1797">
        <f t="shared" si="6"/>
        <v>111</v>
      </c>
      <c r="R13" s="770" t="s">
        <v>17</v>
      </c>
      <c r="S13" s="771">
        <f t="shared" si="0"/>
        <v>100</v>
      </c>
      <c r="T13" s="770" t="s">
        <v>17</v>
      </c>
      <c r="U13" s="771">
        <f t="shared" si="1"/>
        <v>100</v>
      </c>
      <c r="V13" s="770" t="s">
        <v>17</v>
      </c>
      <c r="W13" s="771">
        <f t="shared" si="2"/>
        <v>100</v>
      </c>
      <c r="X13" s="772"/>
      <c r="Y13" s="3018"/>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71"/>
      <c r="Q14" s="1797">
        <f t="shared" si="6"/>
        <v>111</v>
      </c>
      <c r="R14" s="770" t="s">
        <v>17</v>
      </c>
      <c r="S14" s="771">
        <f t="shared" si="0"/>
        <v>100</v>
      </c>
      <c r="T14" s="770" t="s">
        <v>17</v>
      </c>
      <c r="U14" s="771">
        <f t="shared" si="1"/>
        <v>100</v>
      </c>
      <c r="V14" s="770" t="s">
        <v>17</v>
      </c>
      <c r="W14" s="771">
        <f t="shared" si="2"/>
        <v>100</v>
      </c>
      <c r="X14" s="772"/>
      <c r="Y14" s="3018"/>
      <c r="Z14" s="55">
        <f t="shared" si="7"/>
        <v>111</v>
      </c>
      <c r="AA14" s="773">
        <f>D14/F14</f>
        <v>1</v>
      </c>
      <c r="AB14" s="773">
        <f>D14/H14</f>
        <v>1</v>
      </c>
      <c r="AC14" s="773">
        <f>D14/J14</f>
        <v>1</v>
      </c>
    </row>
    <row r="15" spans="1:30" ht="15">
      <c r="A15" s="440" t="s">
        <v>2547</v>
      </c>
      <c r="B15" s="69" t="s">
        <v>2081</v>
      </c>
      <c r="C15" s="2603"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3" t="s">
        <v>2548</v>
      </c>
      <c r="Q15" s="1812" t="str">
        <f t="shared" si="6"/>
        <v>居住社区成熟度</v>
      </c>
      <c r="R15" s="774" t="s">
        <v>17</v>
      </c>
      <c r="S15" s="775">
        <f t="shared" si="0"/>
        <v>100</v>
      </c>
      <c r="T15" s="774" t="s">
        <v>17</v>
      </c>
      <c r="U15" s="775">
        <f t="shared" si="1"/>
        <v>100</v>
      </c>
      <c r="V15" s="774" t="s">
        <v>17</v>
      </c>
      <c r="W15" s="775">
        <f t="shared" si="2"/>
        <v>100</v>
      </c>
      <c r="X15" s="1815"/>
      <c r="Y15" s="3173" t="s">
        <v>2548</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2"/>
      <c r="L16" s="1143"/>
      <c r="M16" s="1134"/>
      <c r="N16" s="1134"/>
      <c r="O16" s="1142"/>
      <c r="P16" s="3174"/>
      <c r="Q16" s="1812"/>
      <c r="R16" s="774"/>
      <c r="S16" s="775"/>
      <c r="T16" s="774"/>
      <c r="U16" s="775"/>
      <c r="V16" s="774"/>
      <c r="W16" s="775"/>
      <c r="X16" s="1815"/>
      <c r="Y16" s="3174"/>
      <c r="Z16" s="1816"/>
      <c r="AA16" s="1813">
        <v>1</v>
      </c>
      <c r="AB16" s="1813">
        <v>1</v>
      </c>
      <c r="AC16" s="1813">
        <v>1</v>
      </c>
    </row>
    <row r="17" spans="1:29" ht="15">
      <c r="A17" s="428"/>
      <c r="B17" s="451" t="s">
        <v>2641</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4"/>
      <c r="Q17" s="1812" t="str">
        <f>B17</f>
        <v>商业繁华度</v>
      </c>
      <c r="R17" s="774" t="s">
        <v>17</v>
      </c>
      <c r="S17" s="775">
        <f>F17</f>
        <v>100</v>
      </c>
      <c r="T17" s="774" t="s">
        <v>17</v>
      </c>
      <c r="U17" s="775">
        <f>H17</f>
        <v>100</v>
      </c>
      <c r="V17" s="774" t="s">
        <v>17</v>
      </c>
      <c r="W17" s="775">
        <f>J17</f>
        <v>100</v>
      </c>
      <c r="X17" s="1815"/>
      <c r="Y17" s="3174"/>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2"/>
      <c r="L18" s="1143"/>
      <c r="M18" s="1134"/>
      <c r="N18" s="1134"/>
      <c r="O18" s="1142"/>
      <c r="P18" s="3174"/>
      <c r="Q18" s="1812"/>
      <c r="R18" s="774"/>
      <c r="S18" s="775"/>
      <c r="T18" s="774"/>
      <c r="U18" s="775"/>
      <c r="V18" s="774"/>
      <c r="W18" s="775"/>
      <c r="X18" s="1815"/>
      <c r="Y18" s="3174"/>
      <c r="Z18" s="1816"/>
      <c r="AA18" s="1813">
        <v>1</v>
      </c>
      <c r="AB18" s="1813">
        <v>1</v>
      </c>
      <c r="AC18" s="1813">
        <v>1</v>
      </c>
    </row>
    <row r="19" spans="1:29" ht="15">
      <c r="A19" s="428"/>
      <c r="B19" s="451" t="s">
        <v>2675</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4"/>
      <c r="Q19" s="1812" t="str">
        <f>B19</f>
        <v>办公集聚程度</v>
      </c>
      <c r="R19" s="774" t="s">
        <v>17</v>
      </c>
      <c r="S19" s="775">
        <f>F19</f>
        <v>100</v>
      </c>
      <c r="T19" s="774" t="s">
        <v>17</v>
      </c>
      <c r="U19" s="775">
        <f>H19</f>
        <v>100</v>
      </c>
      <c r="V19" s="774" t="s">
        <v>17</v>
      </c>
      <c r="W19" s="775">
        <f>J19</f>
        <v>100</v>
      </c>
      <c r="X19" s="1815"/>
      <c r="Y19" s="3174"/>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2"/>
      <c r="L20" s="1143"/>
      <c r="M20" s="1134"/>
      <c r="N20" s="1134"/>
      <c r="O20" s="1142"/>
      <c r="P20" s="3174"/>
      <c r="Q20" s="1812"/>
      <c r="R20" s="774"/>
      <c r="S20" s="775"/>
      <c r="T20" s="774"/>
      <c r="U20" s="775"/>
      <c r="V20" s="774"/>
      <c r="W20" s="775"/>
      <c r="X20" s="1815"/>
      <c r="Y20" s="3174"/>
      <c r="Z20" s="1816"/>
      <c r="AA20" s="1813">
        <v>1</v>
      </c>
      <c r="AB20" s="1813">
        <v>1</v>
      </c>
      <c r="AC20" s="1813">
        <v>1</v>
      </c>
    </row>
    <row r="21" spans="1:29" ht="15">
      <c r="A21" s="428"/>
      <c r="B21" s="451" t="s">
        <v>2697</v>
      </c>
      <c r="C21" s="2607"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4"/>
      <c r="Q21" s="1812" t="str">
        <f>B21</f>
        <v>交通便捷度</v>
      </c>
      <c r="R21" s="774" t="s">
        <v>17</v>
      </c>
      <c r="S21" s="775">
        <f>F21</f>
        <v>100</v>
      </c>
      <c r="T21" s="774" t="s">
        <v>17</v>
      </c>
      <c r="U21" s="775">
        <f>H21</f>
        <v>100</v>
      </c>
      <c r="V21" s="774" t="s">
        <v>17</v>
      </c>
      <c r="W21" s="775">
        <f>J21</f>
        <v>100</v>
      </c>
      <c r="X21" s="1815"/>
      <c r="Y21" s="3174"/>
      <c r="Z21" s="1816" t="str">
        <f>Q21</f>
        <v>交通便捷度</v>
      </c>
      <c r="AA21" s="1813">
        <f t="shared" si="3"/>
        <v>1</v>
      </c>
      <c r="AB21" s="1813">
        <f t="shared" si="4"/>
        <v>1</v>
      </c>
      <c r="AC21" s="1813">
        <f t="shared" si="5"/>
        <v>1</v>
      </c>
    </row>
    <row r="22" spans="1:29" ht="15">
      <c r="A22" s="428"/>
      <c r="B22" s="1387"/>
      <c r="C22" s="447"/>
      <c r="D22" s="450"/>
      <c r="E22" s="2605"/>
      <c r="F22" s="448"/>
      <c r="G22" s="2605"/>
      <c r="H22" s="448"/>
      <c r="I22" s="2604"/>
      <c r="J22" s="448"/>
      <c r="K22" s="672"/>
      <c r="L22" s="1143"/>
      <c r="M22" s="1134"/>
      <c r="N22" s="1134"/>
      <c r="O22" s="1142"/>
      <c r="P22" s="3174"/>
      <c r="Q22" s="1812"/>
      <c r="R22" s="774"/>
      <c r="S22" s="775"/>
      <c r="T22" s="774"/>
      <c r="U22" s="775"/>
      <c r="V22" s="774"/>
      <c r="W22" s="775"/>
      <c r="X22" s="1815"/>
      <c r="Y22" s="3174"/>
      <c r="Z22" s="1816"/>
      <c r="AA22" s="1813">
        <v>1</v>
      </c>
      <c r="AB22" s="1813">
        <v>1</v>
      </c>
      <c r="AC22" s="1813">
        <v>1</v>
      </c>
    </row>
    <row r="23" spans="1:29" ht="15">
      <c r="A23" s="404"/>
      <c r="B23" s="451" t="s">
        <v>2736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4"/>
      <c r="Q23" s="1812" t="str">
        <f t="shared" ref="Q23:Q37" si="8">B23</f>
        <v>区域土地利用方向</v>
      </c>
      <c r="R23" s="774" t="s">
        <v>17</v>
      </c>
      <c r="S23" s="775">
        <f>F23</f>
        <v>100</v>
      </c>
      <c r="T23" s="774" t="s">
        <v>17</v>
      </c>
      <c r="U23" s="775">
        <f>H23</f>
        <v>100</v>
      </c>
      <c r="V23" s="774" t="s">
        <v>17</v>
      </c>
      <c r="W23" s="775">
        <f>J23</f>
        <v>100</v>
      </c>
      <c r="X23" s="1815"/>
      <c r="Y23" s="3174"/>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2"/>
      <c r="L24" s="1143"/>
      <c r="M24" s="1134"/>
      <c r="N24" s="1134"/>
      <c r="O24" s="1142"/>
      <c r="P24" s="3174"/>
      <c r="Q24" s="1812"/>
      <c r="R24" s="774"/>
      <c r="S24" s="775"/>
      <c r="T24" s="774"/>
      <c r="U24" s="775"/>
      <c r="V24" s="774"/>
      <c r="W24" s="775"/>
      <c r="X24" s="1815"/>
      <c r="Y24" s="3174"/>
      <c r="Z24" s="1816"/>
      <c r="AA24" s="1813"/>
      <c r="AB24" s="1813"/>
      <c r="AC24" s="1813"/>
    </row>
    <row r="25" spans="1:29" ht="27">
      <c r="A25" s="404"/>
      <c r="B25" s="1387" t="s">
        <v>2737</v>
      </c>
      <c r="C25" s="2662"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4"/>
      <c r="Q25" s="1812" t="str">
        <f t="shared" si="8"/>
        <v>自然及人文环境状况</v>
      </c>
      <c r="R25" s="774" t="s">
        <v>17</v>
      </c>
      <c r="S25" s="775">
        <f>F25</f>
        <v>100</v>
      </c>
      <c r="T25" s="774" t="s">
        <v>17</v>
      </c>
      <c r="U25" s="775">
        <f>H25</f>
        <v>100</v>
      </c>
      <c r="V25" s="774" t="s">
        <v>17</v>
      </c>
      <c r="W25" s="775">
        <f>J25</f>
        <v>100</v>
      </c>
      <c r="X25" s="1815"/>
      <c r="Y25" s="3174"/>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2"/>
      <c r="L26" s="1143"/>
      <c r="M26" s="1134"/>
      <c r="N26" s="1134"/>
      <c r="O26" s="1142"/>
      <c r="P26" s="3174"/>
      <c r="Q26" s="1812"/>
      <c r="R26" s="774"/>
      <c r="S26" s="775"/>
      <c r="T26" s="774"/>
      <c r="U26" s="775"/>
      <c r="V26" s="774"/>
      <c r="W26" s="775"/>
      <c r="X26" s="1815"/>
      <c r="Y26" s="3174"/>
      <c r="Z26" s="1816"/>
      <c r="AA26" s="1813">
        <v>1</v>
      </c>
      <c r="AB26" s="1813">
        <v>1</v>
      </c>
      <c r="AC26" s="1813">
        <v>1</v>
      </c>
    </row>
    <row r="27" spans="1:29" s="117" customFormat="1" ht="15">
      <c r="A27" s="649"/>
      <c r="B27" s="1387" t="s">
        <v>2642</v>
      </c>
      <c r="C27" s="2607"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4"/>
      <c r="Q27" s="1797" t="str">
        <f t="shared" si="8"/>
        <v>公共配套设施</v>
      </c>
      <c r="R27" s="770" t="s">
        <v>17</v>
      </c>
      <c r="S27" s="771">
        <f>F27</f>
        <v>100</v>
      </c>
      <c r="T27" s="770" t="s">
        <v>17</v>
      </c>
      <c r="U27" s="771">
        <f>H27</f>
        <v>100</v>
      </c>
      <c r="V27" s="770" t="s">
        <v>17</v>
      </c>
      <c r="W27" s="771">
        <f>J27</f>
        <v>100</v>
      </c>
      <c r="X27" s="772"/>
      <c r="Y27" s="3174"/>
      <c r="Z27" s="55" t="str">
        <f>Q27</f>
        <v>公共配套设施</v>
      </c>
      <c r="AA27" s="1813">
        <f>D27/F27</f>
        <v>1</v>
      </c>
      <c r="AB27" s="1813">
        <f>D27/H27</f>
        <v>1</v>
      </c>
      <c r="AC27" s="1813">
        <f>D27/J27</f>
        <v>1</v>
      </c>
    </row>
    <row r="28" spans="1:29" s="117" customFormat="1" ht="15">
      <c r="A28" s="649"/>
      <c r="B28" s="456"/>
      <c r="C28" s="2698"/>
      <c r="D28" s="448"/>
      <c r="E28" s="2611"/>
      <c r="F28" s="448"/>
      <c r="G28" s="2611"/>
      <c r="H28" s="448"/>
      <c r="I28" s="447"/>
      <c r="J28" s="448"/>
      <c r="K28" s="672"/>
      <c r="L28" s="1135"/>
      <c r="M28" s="1136"/>
      <c r="N28" s="1136"/>
      <c r="O28" s="1137"/>
      <c r="P28" s="3174"/>
      <c r="Q28" s="1797"/>
      <c r="R28" s="770"/>
      <c r="S28" s="771"/>
      <c r="T28" s="770"/>
      <c r="U28" s="771"/>
      <c r="V28" s="770"/>
      <c r="W28" s="771"/>
      <c r="X28" s="772"/>
      <c r="Y28" s="3174"/>
      <c r="Z28" s="55"/>
      <c r="AA28" s="1813">
        <v>1</v>
      </c>
      <c r="AB28" s="1813">
        <v>1</v>
      </c>
      <c r="AC28" s="1813">
        <v>1</v>
      </c>
    </row>
    <row r="29" spans="1:29" s="117" customFormat="1" ht="15">
      <c r="A29" s="649"/>
      <c r="B29" s="1387" t="s">
        <v>2643</v>
      </c>
      <c r="C29" s="260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4"/>
      <c r="Q29" s="1797" t="str">
        <f t="shared" ref="Q29" si="9">B29</f>
        <v>基础设施水平</v>
      </c>
      <c r="R29" s="770" t="s">
        <v>17</v>
      </c>
      <c r="S29" s="771">
        <f>F29</f>
        <v>100</v>
      </c>
      <c r="T29" s="770" t="s">
        <v>17</v>
      </c>
      <c r="U29" s="771">
        <f>H29</f>
        <v>100</v>
      </c>
      <c r="V29" s="770" t="s">
        <v>17</v>
      </c>
      <c r="W29" s="771">
        <f>J29</f>
        <v>100</v>
      </c>
      <c r="X29" s="772"/>
      <c r="Y29" s="3174"/>
      <c r="Z29" s="55" t="str">
        <f>Q29</f>
        <v>基础设施水平</v>
      </c>
      <c r="AA29" s="1813">
        <f>D29/F29</f>
        <v>1</v>
      </c>
      <c r="AB29" s="1813">
        <f>D29/H29</f>
        <v>1</v>
      </c>
      <c r="AC29" s="1813">
        <f>D29/J29</f>
        <v>1</v>
      </c>
    </row>
    <row r="30" spans="1:29" s="117" customFormat="1" ht="15">
      <c r="A30" s="649"/>
      <c r="B30" s="456"/>
      <c r="C30" s="2698"/>
      <c r="D30" s="448"/>
      <c r="E30" s="2699"/>
      <c r="F30" s="448"/>
      <c r="G30" s="2699"/>
      <c r="H30" s="448"/>
      <c r="I30" s="2699"/>
      <c r="J30" s="448"/>
      <c r="K30" s="672"/>
      <c r="L30" s="1135"/>
      <c r="M30" s="1136"/>
      <c r="N30" s="1136"/>
      <c r="O30" s="1137"/>
      <c r="P30" s="3174"/>
      <c r="Q30" s="1797"/>
      <c r="R30" s="770"/>
      <c r="S30" s="771"/>
      <c r="T30" s="770"/>
      <c r="U30" s="771"/>
      <c r="V30" s="770"/>
      <c r="W30" s="771"/>
      <c r="X30" s="772"/>
      <c r="Y30" s="3174"/>
      <c r="Z30" s="55"/>
      <c r="AA30" s="1813">
        <v>1</v>
      </c>
      <c r="AB30" s="1813">
        <v>1</v>
      </c>
      <c r="AC30" s="1813">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4"/>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4"/>
      <c r="Z31" s="1816" t="str">
        <f t="shared" ref="Z31:Z45" si="13">Q31</f>
        <v>临街状况</v>
      </c>
      <c r="AA31" s="1813">
        <f t="shared" si="3"/>
        <v>1</v>
      </c>
      <c r="AB31" s="1813">
        <f t="shared" si="4"/>
        <v>1</v>
      </c>
      <c r="AC31" s="1813">
        <f t="shared" si="5"/>
        <v>1</v>
      </c>
    </row>
    <row r="32" spans="1:29" ht="27">
      <c r="A32" s="428"/>
      <c r="B32" s="1387"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4"/>
      <c r="Q32" s="1812" t="str">
        <f t="shared" si="8"/>
        <v>毗邻道路的类型与等级</v>
      </c>
      <c r="R32" s="774" t="s">
        <v>17</v>
      </c>
      <c r="S32" s="775">
        <f t="shared" si="10"/>
        <v>100</v>
      </c>
      <c r="T32" s="774" t="s">
        <v>17</v>
      </c>
      <c r="U32" s="775">
        <f t="shared" si="11"/>
        <v>100</v>
      </c>
      <c r="V32" s="774" t="s">
        <v>17</v>
      </c>
      <c r="W32" s="775">
        <f t="shared" si="12"/>
        <v>100</v>
      </c>
      <c r="X32" s="1815"/>
      <c r="Y32" s="3174"/>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3"/>
      <c r="M33" s="1134"/>
      <c r="N33" s="1134"/>
      <c r="O33" s="1142"/>
      <c r="P33" s="3174"/>
      <c r="Q33" s="1812"/>
      <c r="R33" s="774"/>
      <c r="S33" s="775"/>
      <c r="T33" s="774"/>
      <c r="U33" s="775"/>
      <c r="V33" s="774"/>
      <c r="W33" s="775"/>
      <c r="X33" s="1815"/>
      <c r="Y33" s="3174"/>
      <c r="Z33" s="1816"/>
      <c r="AA33" s="1813">
        <v>1</v>
      </c>
      <c r="AB33" s="1813">
        <v>1</v>
      </c>
      <c r="AC33" s="1813">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4"/>
      <c r="Q34" s="1812" t="str">
        <f t="shared" si="8"/>
        <v>土地级别</v>
      </c>
      <c r="R34" s="774" t="s">
        <v>17</v>
      </c>
      <c r="S34" s="775">
        <f t="shared" si="10"/>
        <v>100</v>
      </c>
      <c r="T34" s="774" t="s">
        <v>17</v>
      </c>
      <c r="U34" s="775">
        <f t="shared" si="11"/>
        <v>100</v>
      </c>
      <c r="V34" s="774" t="s">
        <v>17</v>
      </c>
      <c r="W34" s="775">
        <f t="shared" si="12"/>
        <v>100</v>
      </c>
      <c r="X34" s="1815"/>
      <c r="Y34" s="3174"/>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4"/>
      <c r="Q35" s="1812">
        <f t="shared" si="8"/>
        <v>111</v>
      </c>
      <c r="R35" s="774" t="s">
        <v>17</v>
      </c>
      <c r="S35" s="775">
        <f t="shared" si="10"/>
        <v>100</v>
      </c>
      <c r="T35" s="774" t="s">
        <v>17</v>
      </c>
      <c r="U35" s="775">
        <f t="shared" si="11"/>
        <v>100</v>
      </c>
      <c r="V35" s="774" t="s">
        <v>17</v>
      </c>
      <c r="W35" s="775">
        <f t="shared" si="12"/>
        <v>100</v>
      </c>
      <c r="X35" s="1815"/>
      <c r="Y35" s="3174"/>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2" t="s">
        <v>2553</v>
      </c>
      <c r="Q36" s="1812">
        <f t="shared" si="8"/>
        <v>111</v>
      </c>
      <c r="R36" s="774" t="s">
        <v>17</v>
      </c>
      <c r="S36" s="775">
        <f t="shared" si="10"/>
        <v>100</v>
      </c>
      <c r="T36" s="774" t="s">
        <v>17</v>
      </c>
      <c r="U36" s="775">
        <f t="shared" si="11"/>
        <v>100</v>
      </c>
      <c r="V36" s="774" t="s">
        <v>17</v>
      </c>
      <c r="W36" s="775">
        <f t="shared" si="12"/>
        <v>100</v>
      </c>
      <c r="X36" s="1815"/>
      <c r="Y36" s="3178" t="s">
        <v>2553</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8"/>
      <c r="Q37" s="1812">
        <f t="shared" si="8"/>
        <v>111</v>
      </c>
      <c r="R37" s="777" t="s">
        <v>17</v>
      </c>
      <c r="S37" s="778">
        <f t="shared" si="10"/>
        <v>100</v>
      </c>
      <c r="T37" s="777" t="s">
        <v>17</v>
      </c>
      <c r="U37" s="778">
        <f t="shared" si="11"/>
        <v>100</v>
      </c>
      <c r="V37" s="777" t="s">
        <v>17</v>
      </c>
      <c r="W37" s="778">
        <f t="shared" si="12"/>
        <v>100</v>
      </c>
      <c r="X37" s="779"/>
      <c r="Y37" s="3178"/>
      <c r="Z37" s="780">
        <f t="shared" si="13"/>
        <v>111</v>
      </c>
      <c r="AA37" s="1813">
        <f t="shared" si="3"/>
        <v>1</v>
      </c>
      <c r="AB37" s="1813">
        <f t="shared" si="4"/>
        <v>1</v>
      </c>
      <c r="AC37" s="1813">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8"/>
      <c r="Q38" s="1812" t="str">
        <f>B38</f>
        <v>宗地面积</v>
      </c>
      <c r="R38" s="774" t="s">
        <v>17</v>
      </c>
      <c r="S38" s="775" t="e">
        <f t="shared" si="10"/>
        <v>#N/A</v>
      </c>
      <c r="T38" s="774" t="s">
        <v>17</v>
      </c>
      <c r="U38" s="775" t="e">
        <f t="shared" si="11"/>
        <v>#N/A</v>
      </c>
      <c r="V38" s="774" t="s">
        <v>17</v>
      </c>
      <c r="W38" s="775" t="e">
        <f t="shared" si="12"/>
        <v>#N/A</v>
      </c>
      <c r="X38" s="1815"/>
      <c r="Y38" s="3178"/>
      <c r="Z38" s="1816" t="str">
        <f t="shared" si="13"/>
        <v>宗地面积</v>
      </c>
      <c r="AA38" s="1813" t="e">
        <f t="shared" si="3"/>
        <v>#N/A</v>
      </c>
      <c r="AB38" s="1813" t="e">
        <f t="shared" si="4"/>
        <v>#N/A</v>
      </c>
      <c r="AC38" s="1813" t="e">
        <f t="shared" si="5"/>
        <v>#N/A</v>
      </c>
    </row>
    <row r="39" spans="1:29" ht="15">
      <c r="A39" s="472"/>
      <c r="B39" s="422" t="s">
        <v>2740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178"/>
      <c r="Q39" s="1812" t="str">
        <f t="shared" ref="Q39:Q45" si="14">B39</f>
        <v>宗地形状</v>
      </c>
      <c r="R39" s="774" t="s">
        <v>17</v>
      </c>
      <c r="S39" s="775">
        <f t="shared" si="10"/>
        <v>100</v>
      </c>
      <c r="T39" s="774" t="s">
        <v>17</v>
      </c>
      <c r="U39" s="775">
        <f t="shared" si="11"/>
        <v>100</v>
      </c>
      <c r="V39" s="774" t="s">
        <v>17</v>
      </c>
      <c r="W39" s="775">
        <f t="shared" si="12"/>
        <v>100</v>
      </c>
      <c r="X39" s="1815"/>
      <c r="Y39" s="3178"/>
      <c r="Z39" s="1816" t="str">
        <f t="shared" si="13"/>
        <v>宗地形状</v>
      </c>
      <c r="AA39" s="1813">
        <f t="shared" si="3"/>
        <v>1</v>
      </c>
      <c r="AB39" s="1813">
        <f t="shared" si="4"/>
        <v>1</v>
      </c>
      <c r="AC39" s="1813">
        <f t="shared" si="5"/>
        <v>1</v>
      </c>
    </row>
    <row r="40" spans="1:29" ht="15">
      <c r="A40" s="472"/>
      <c r="B40" s="422" t="s">
        <v>2741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178"/>
      <c r="Q40" s="1812" t="str">
        <f t="shared" si="14"/>
        <v>临街宽度及深度</v>
      </c>
      <c r="R40" s="774" t="s">
        <v>17</v>
      </c>
      <c r="S40" s="775">
        <f t="shared" si="10"/>
        <v>100</v>
      </c>
      <c r="T40" s="774" t="s">
        <v>17</v>
      </c>
      <c r="U40" s="775">
        <f t="shared" si="11"/>
        <v>100</v>
      </c>
      <c r="V40" s="774" t="s">
        <v>17</v>
      </c>
      <c r="W40" s="775">
        <f t="shared" si="12"/>
        <v>100</v>
      </c>
      <c r="X40" s="1815"/>
      <c r="Y40" s="3178"/>
      <c r="Z40" s="1816" t="str">
        <f t="shared" si="13"/>
        <v>临街宽度及深度</v>
      </c>
      <c r="AA40" s="1813">
        <f t="shared" si="3"/>
        <v>1</v>
      </c>
      <c r="AB40" s="1813">
        <f t="shared" si="4"/>
        <v>1</v>
      </c>
      <c r="AC40" s="1813">
        <f t="shared" si="5"/>
        <v>1</v>
      </c>
    </row>
    <row r="41" spans="1:29" s="117" customFormat="1" ht="15">
      <c r="A41" s="473"/>
      <c r="B41" s="422" t="s">
        <v>2742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5"/>
      <c r="M41" s="1136"/>
      <c r="N41" s="1136"/>
      <c r="O41" s="1137"/>
      <c r="P41" s="3178"/>
      <c r="Q41" s="1812" t="str">
        <f t="shared" si="14"/>
        <v>宗地开发程度</v>
      </c>
      <c r="R41" s="770" t="s">
        <v>17</v>
      </c>
      <c r="S41" s="771">
        <f t="shared" si="10"/>
        <v>100</v>
      </c>
      <c r="T41" s="770" t="s">
        <v>17</v>
      </c>
      <c r="U41" s="771">
        <f t="shared" si="11"/>
        <v>100</v>
      </c>
      <c r="V41" s="770" t="s">
        <v>17</v>
      </c>
      <c r="W41" s="771">
        <f t="shared" si="12"/>
        <v>100</v>
      </c>
      <c r="X41" s="772"/>
      <c r="Y41" s="3178"/>
      <c r="Z41" s="55" t="str">
        <f t="shared" si="13"/>
        <v>宗地开发程度</v>
      </c>
      <c r="AA41" s="773">
        <f t="shared" si="3"/>
        <v>1</v>
      </c>
      <c r="AB41" s="773">
        <f t="shared" si="4"/>
        <v>1</v>
      </c>
      <c r="AC41" s="773">
        <f t="shared" si="5"/>
        <v>1</v>
      </c>
    </row>
    <row r="42" spans="1:29" ht="15">
      <c r="A42" s="472"/>
      <c r="B42" s="422" t="s">
        <v>2743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178" t="s">
        <v>2553</v>
      </c>
      <c r="Q42" s="1812" t="str">
        <f t="shared" si="14"/>
        <v>工程地质条件</v>
      </c>
      <c r="R42" s="774" t="s">
        <v>17</v>
      </c>
      <c r="S42" s="775">
        <f t="shared" si="10"/>
        <v>100</v>
      </c>
      <c r="T42" s="774" t="s">
        <v>17</v>
      </c>
      <c r="U42" s="775">
        <f t="shared" si="11"/>
        <v>100</v>
      </c>
      <c r="V42" s="774" t="s">
        <v>17</v>
      </c>
      <c r="W42" s="775">
        <f t="shared" si="12"/>
        <v>100</v>
      </c>
      <c r="X42" s="1815"/>
      <c r="Y42" s="3178" t="s">
        <v>2553</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8"/>
      <c r="Q43" s="1812">
        <f t="shared" si="14"/>
        <v>111</v>
      </c>
      <c r="R43" s="774" t="s">
        <v>17</v>
      </c>
      <c r="S43" s="775">
        <f t="shared" si="10"/>
        <v>100</v>
      </c>
      <c r="T43" s="774" t="s">
        <v>17</v>
      </c>
      <c r="U43" s="775">
        <f t="shared" si="11"/>
        <v>100</v>
      </c>
      <c r="V43" s="774" t="s">
        <v>17</v>
      </c>
      <c r="W43" s="775">
        <f t="shared" si="12"/>
        <v>100</v>
      </c>
      <c r="X43" s="1815"/>
      <c r="Y43" s="3178"/>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8"/>
      <c r="Q44" s="1812">
        <f t="shared" si="14"/>
        <v>111</v>
      </c>
      <c r="R44" s="774" t="s">
        <v>17</v>
      </c>
      <c r="S44" s="775">
        <f t="shared" si="10"/>
        <v>100</v>
      </c>
      <c r="T44" s="774" t="s">
        <v>17</v>
      </c>
      <c r="U44" s="775">
        <f t="shared" si="11"/>
        <v>100</v>
      </c>
      <c r="V44" s="774" t="s">
        <v>17</v>
      </c>
      <c r="W44" s="775">
        <f t="shared" si="12"/>
        <v>100</v>
      </c>
      <c r="X44" s="1815"/>
      <c r="Y44" s="3178"/>
      <c r="Z44" s="1816">
        <f t="shared" si="13"/>
        <v>111</v>
      </c>
      <c r="AA44" s="1813">
        <f t="shared" si="3"/>
        <v>1</v>
      </c>
      <c r="AB44" s="1813">
        <f t="shared" si="4"/>
        <v>1</v>
      </c>
      <c r="AC44" s="1813">
        <f t="shared" si="5"/>
        <v>1</v>
      </c>
    </row>
    <row r="45" spans="1:29" s="471" customFormat="1" ht="15.75" thickBot="1">
      <c r="A45" s="468"/>
      <c r="B45" s="1390">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8"/>
      <c r="Q45" s="1812">
        <f t="shared" si="14"/>
        <v>111</v>
      </c>
      <c r="R45" s="777" t="s">
        <v>17</v>
      </c>
      <c r="S45" s="778">
        <f t="shared" si="10"/>
        <v>100</v>
      </c>
      <c r="T45" s="777" t="s">
        <v>17</v>
      </c>
      <c r="U45" s="778">
        <f t="shared" si="11"/>
        <v>100</v>
      </c>
      <c r="V45" s="777" t="s">
        <v>17</v>
      </c>
      <c r="W45" s="778">
        <f t="shared" si="12"/>
        <v>100</v>
      </c>
      <c r="X45" s="779"/>
      <c r="Y45" s="3178"/>
      <c r="Z45" s="780">
        <f t="shared" si="13"/>
        <v>111</v>
      </c>
      <c r="AA45" s="1813">
        <f t="shared" si="3"/>
        <v>1</v>
      </c>
      <c r="AB45" s="1813">
        <f t="shared" si="4"/>
        <v>1</v>
      </c>
      <c r="AC45" s="1813">
        <f t="shared" si="5"/>
        <v>1</v>
      </c>
    </row>
    <row r="46" spans="1:29" ht="15">
      <c r="A46" s="479" t="s">
        <v>2708</v>
      </c>
      <c r="B46" s="2702" t="s">
        <v>2744</v>
      </c>
      <c r="C46" s="682" t="s">
        <v>1</v>
      </c>
      <c r="D46" s="481"/>
      <c r="E46" s="482"/>
      <c r="F46" s="483"/>
      <c r="G46" s="484"/>
      <c r="H46" s="485"/>
      <c r="I46" s="482"/>
      <c r="J46" s="485"/>
      <c r="K46" s="783"/>
      <c r="L46" s="1146"/>
      <c r="M46" s="1147"/>
      <c r="N46" s="1134"/>
      <c r="O46" s="1147"/>
      <c r="P46" s="3171" t="str">
        <f>A46</f>
        <v>成交单价</v>
      </c>
      <c r="Q46" s="3171"/>
      <c r="R46" s="3202">
        <f>E46</f>
        <v>0</v>
      </c>
      <c r="S46" s="3202"/>
      <c r="T46" s="3202">
        <f>G46</f>
        <v>0</v>
      </c>
      <c r="U46" s="3202"/>
      <c r="V46" s="3202">
        <f>I46</f>
        <v>0</v>
      </c>
      <c r="W46" s="3202"/>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6"/>
      <c r="M47" s="1147"/>
      <c r="N47" s="1147"/>
      <c r="O47" s="1147"/>
      <c r="P47" s="3171" t="str">
        <f>A47</f>
        <v>比较价值（元/平方米）</v>
      </c>
      <c r="Q47" s="3171"/>
      <c r="R47" s="3253" t="e">
        <f>ROUND(PRODUCT(R46,AA7:AA45),0)</f>
        <v>#DIV/0!</v>
      </c>
      <c r="S47" s="3253"/>
      <c r="T47" s="3253" t="e">
        <f>ROUND(PRODUCT(T46,AB7:AB45),0)</f>
        <v>#DIV/0!</v>
      </c>
      <c r="U47" s="3253"/>
      <c r="V47" s="3253" t="e">
        <f>ROUND(PRODUCT(V46,AC7:AC45),0)</f>
        <v>#DIV/0!</v>
      </c>
      <c r="W47" s="3253"/>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6"/>
      <c r="M48" s="1147"/>
      <c r="N48" s="1147"/>
      <c r="O48" s="1147"/>
      <c r="P48" s="3168" t="str">
        <f>A48</f>
        <v>估价对象XX用房的比较价值（楼面单价，元/平方米）</v>
      </c>
      <c r="Q48" s="3169"/>
      <c r="R48" s="3254" t="e">
        <f>ROUND(AVERAGE(R47:V47),0)</f>
        <v>#DIV/0!</v>
      </c>
      <c r="S48" s="3254"/>
      <c r="T48" s="3254"/>
      <c r="U48" s="3254"/>
      <c r="V48" s="3254"/>
      <c r="W48" s="3254"/>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2746</v>
      </c>
      <c r="B55" s="685" t="s">
        <v>2747</v>
      </c>
      <c r="C55" s="2703" t="s">
        <v>2748</v>
      </c>
      <c r="D55" s="2704" t="s">
        <v>2749</v>
      </c>
      <c r="E55" s="686" t="s">
        <v>2750</v>
      </c>
      <c r="F55" s="1110" t="s">
        <v>2751</v>
      </c>
      <c r="G55" s="3186" t="s">
        <v>2752</v>
      </c>
      <c r="H55" s="3255"/>
      <c r="I55" s="144" t="s">
        <v>2753</v>
      </c>
      <c r="J55" s="2705">
        <f>项目基本情况!F35</f>
        <v>0</v>
      </c>
      <c r="K55" s="2706" t="s">
        <v>2754</v>
      </c>
      <c r="L55" s="1109"/>
      <c r="M55" s="1147"/>
      <c r="N55" s="1147"/>
      <c r="O55" s="1147"/>
    </row>
    <row r="56" spans="1:15" s="692" customFormat="1">
      <c r="A56" s="688" t="s">
        <v>2755</v>
      </c>
      <c r="B56" s="689" t="e">
        <f>C48</f>
        <v>#DIV/0!</v>
      </c>
      <c r="C56" s="690">
        <v>1</v>
      </c>
      <c r="D56" s="1166">
        <v>1</v>
      </c>
      <c r="E56" s="690">
        <f>'数据-汇总表'!E8+'数据-汇总表'!E9</f>
        <v>91.52</v>
      </c>
      <c r="F56" s="1106" t="e">
        <f t="shared" ref="F56:F65" si="15">ROUND(B56*E56/10000,0)</f>
        <v>#DIV/0!</v>
      </c>
      <c r="G56" s="3182"/>
      <c r="H56" s="3171"/>
      <c r="I56" s="1111">
        <v>1</v>
      </c>
      <c r="J56" s="1114">
        <v>1</v>
      </c>
      <c r="K56" s="1148"/>
      <c r="L56" s="944"/>
      <c r="M56" s="944"/>
      <c r="N56" s="944"/>
      <c r="O56" s="944"/>
    </row>
    <row r="57" spans="1:15" s="692" customFormat="1">
      <c r="A57" s="693" t="s">
        <v>2756</v>
      </c>
      <c r="B57" s="262" t="e">
        <f>ROUND($C$48*C57*D57,0)</f>
        <v>#DIV/0!</v>
      </c>
      <c r="C57" s="200">
        <f t="shared" ref="C57:C65" si="16">IF($C$55="北京市系数",I57,J57)</f>
        <v>0</v>
      </c>
      <c r="D57" s="1167">
        <v>0.25</v>
      </c>
      <c r="E57" s="694"/>
      <c r="F57" s="1106" t="e">
        <f t="shared" si="15"/>
        <v>#DIV/0!</v>
      </c>
      <c r="G57" s="3256" t="s">
        <v>2757</v>
      </c>
      <c r="H57" s="1107">
        <f>项目基本情况!B37</f>
        <v>0</v>
      </c>
      <c r="I57" s="1111">
        <f>SUMIF(修正!A45:A56,H57,修正!B45:B56)</f>
        <v>0</v>
      </c>
      <c r="J57" s="1115"/>
      <c r="K57" s="1147"/>
      <c r="L57" s="944"/>
      <c r="M57" s="944"/>
      <c r="N57" s="944"/>
      <c r="O57" s="944"/>
    </row>
    <row r="58" spans="1:15" s="692" customFormat="1">
      <c r="A58" s="693" t="s">
        <v>2758</v>
      </c>
      <c r="B58" s="262" t="e">
        <f t="shared" ref="B58:B65" si="17">ROUND($C$48*C58*D58,0)</f>
        <v>#DIV/0!</v>
      </c>
      <c r="C58" s="200">
        <f t="shared" si="16"/>
        <v>0</v>
      </c>
      <c r="D58" s="1167">
        <v>0.25</v>
      </c>
      <c r="E58" s="694"/>
      <c r="F58" s="1106" t="e">
        <f t="shared" si="15"/>
        <v>#DIV/0!</v>
      </c>
      <c r="G58" s="3256"/>
      <c r="H58" s="1107">
        <f>项目基本情况!B37</f>
        <v>0</v>
      </c>
      <c r="I58" s="1111">
        <f>SUMIF(修正!A45:A56,H58,修正!C45:C56)</f>
        <v>0</v>
      </c>
      <c r="J58" s="1115"/>
      <c r="K58" s="1148"/>
      <c r="L58" s="944"/>
      <c r="M58" s="944"/>
      <c r="N58" s="944"/>
      <c r="O58" s="944"/>
    </row>
    <row r="59" spans="1:15" s="692" customFormat="1">
      <c r="A59" s="693" t="s">
        <v>2759</v>
      </c>
      <c r="B59" s="262" t="e">
        <f t="shared" si="17"/>
        <v>#DIV/0!</v>
      </c>
      <c r="C59" s="200">
        <f t="shared" si="16"/>
        <v>0</v>
      </c>
      <c r="D59" s="1167">
        <v>0.25</v>
      </c>
      <c r="E59" s="694"/>
      <c r="F59" s="1106" t="e">
        <f t="shared" si="15"/>
        <v>#DIV/0!</v>
      </c>
      <c r="G59" s="3256"/>
      <c r="H59" s="1107">
        <f>项目基本情况!B37</f>
        <v>0</v>
      </c>
      <c r="I59" s="1111">
        <f>SUMIF(修正!A45:A56,H59,修正!D45:D56)</f>
        <v>0</v>
      </c>
      <c r="J59" s="1115"/>
      <c r="K59" s="1147"/>
      <c r="L59" s="944"/>
      <c r="M59" s="944"/>
      <c r="N59" s="944"/>
      <c r="O59" s="944"/>
    </row>
    <row r="60" spans="1:15" s="692" customFormat="1">
      <c r="A60" s="693" t="s">
        <v>2760</v>
      </c>
      <c r="B60" s="262" t="e">
        <f t="shared" si="17"/>
        <v>#DIV/0!</v>
      </c>
      <c r="C60" s="200">
        <f t="shared" si="16"/>
        <v>0</v>
      </c>
      <c r="D60" s="1167">
        <v>0.25</v>
      </c>
      <c r="E60" s="694"/>
      <c r="F60" s="1106" t="e">
        <f t="shared" si="15"/>
        <v>#DIV/0!</v>
      </c>
      <c r="G60" s="3256"/>
      <c r="H60" s="1107">
        <f>项目基本情况!B37</f>
        <v>0</v>
      </c>
      <c r="I60" s="1111">
        <f>SUMIF(修正!A45:A56,H60,修正!E45:E56)</f>
        <v>0</v>
      </c>
      <c r="J60" s="1115"/>
      <c r="K60" s="1148"/>
      <c r="L60" s="944"/>
      <c r="M60" s="944"/>
      <c r="N60" s="944"/>
      <c r="O60" s="944"/>
    </row>
    <row r="61" spans="1:15" s="692" customFormat="1">
      <c r="A61" s="693" t="s">
        <v>2761</v>
      </c>
      <c r="B61" s="262" t="e">
        <f t="shared" si="17"/>
        <v>#DIV/0!</v>
      </c>
      <c r="C61" s="200">
        <f t="shared" si="16"/>
        <v>0</v>
      </c>
      <c r="D61" s="1167">
        <v>0.25</v>
      </c>
      <c r="E61" s="261">
        <f>'数据-汇总表'!E11</f>
        <v>0</v>
      </c>
      <c r="F61" s="1106" t="e">
        <f t="shared" si="15"/>
        <v>#DIV/0!</v>
      </c>
      <c r="G61" s="2707" t="s">
        <v>2762</v>
      </c>
      <c r="H61" s="1107">
        <f>项目基本情况!C37</f>
        <v>0</v>
      </c>
      <c r="I61" s="1111">
        <f>SUMIF(修正!A45:A56,H61,修正!F45:F56)</f>
        <v>0</v>
      </c>
      <c r="J61" s="1115"/>
      <c r="K61" s="1147"/>
      <c r="L61" s="944"/>
      <c r="M61" s="944"/>
      <c r="N61" s="944"/>
      <c r="O61" s="944"/>
    </row>
    <row r="62" spans="1:15" s="692" customFormat="1">
      <c r="A62" s="693" t="s">
        <v>2763</v>
      </c>
      <c r="B62" s="262" t="e">
        <f t="shared" si="17"/>
        <v>#DIV/0!</v>
      </c>
      <c r="C62" s="200">
        <f t="shared" si="16"/>
        <v>0</v>
      </c>
      <c r="D62" s="1167">
        <v>0.25</v>
      </c>
      <c r="E62" s="261">
        <f>'数据-汇总表'!E12</f>
        <v>0</v>
      </c>
      <c r="F62" s="1106" t="e">
        <f t="shared" si="15"/>
        <v>#DIV/0!</v>
      </c>
      <c r="G62" s="1112" t="s">
        <v>2764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2765</v>
      </c>
      <c r="B63" s="262" t="e">
        <f t="shared" si="17"/>
        <v>#DIV/0!</v>
      </c>
      <c r="C63" s="200">
        <f t="shared" si="16"/>
        <v>0</v>
      </c>
      <c r="D63" s="1167">
        <v>0.25</v>
      </c>
      <c r="E63" s="261">
        <f>'数据-汇总表'!E13</f>
        <v>0</v>
      </c>
      <c r="F63" s="1106" t="e">
        <f t="shared" si="15"/>
        <v>#DIV/0!</v>
      </c>
      <c r="G63" s="1112" t="s">
        <v>2766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2767</v>
      </c>
      <c r="B64" s="262" t="e">
        <f t="shared" si="17"/>
        <v>#DIV/0!</v>
      </c>
      <c r="C64" s="200">
        <f t="shared" si="16"/>
        <v>0</v>
      </c>
      <c r="D64" s="1167">
        <v>0.25</v>
      </c>
      <c r="E64" s="261">
        <f>'数据-汇总表'!E14</f>
        <v>0</v>
      </c>
      <c r="F64" s="1106" t="e">
        <f t="shared" si="15"/>
        <v>#DIV/0!</v>
      </c>
      <c r="G64" s="2707" t="s">
        <v>2757</v>
      </c>
      <c r="H64" s="1107">
        <f>项目基本情况!B37</f>
        <v>0</v>
      </c>
      <c r="I64" s="1111">
        <f>SUMIF(修正!A45:A56,H64,修正!H45:H56)</f>
        <v>0</v>
      </c>
      <c r="J64" s="1115"/>
      <c r="K64" s="1148"/>
      <c r="L64" s="944"/>
      <c r="M64" s="944"/>
      <c r="N64" s="944"/>
      <c r="O64" s="944"/>
    </row>
    <row r="65" spans="1:17" s="692" customFormat="1" ht="15" thickBot="1">
      <c r="A65" s="693" t="s">
        <v>2768</v>
      </c>
      <c r="B65" s="262" t="e">
        <f t="shared" si="17"/>
        <v>#DIV/0!</v>
      </c>
      <c r="C65" s="200">
        <f t="shared" si="16"/>
        <v>0</v>
      </c>
      <c r="D65" s="1167">
        <v>0.25</v>
      </c>
      <c r="E65" s="261">
        <f>'数据-汇总表'!E15</f>
        <v>0</v>
      </c>
      <c r="F65" s="1106" t="e">
        <f t="shared" si="15"/>
        <v>#DIV/0!</v>
      </c>
      <c r="G65" s="2708" t="s">
        <v>2762</v>
      </c>
      <c r="H65" s="1117">
        <f>项目基本情况!C37</f>
        <v>0</v>
      </c>
      <c r="I65" s="1113">
        <f>SUMIF(修正!A45:A56,H65,修正!H45:H56)</f>
        <v>0</v>
      </c>
      <c r="J65" s="1116"/>
      <c r="K65" s="1147"/>
      <c r="L65" s="944"/>
      <c r="M65" s="944"/>
      <c r="N65" s="944"/>
      <c r="O65" s="944"/>
    </row>
    <row r="66" spans="1:17" s="692" customFormat="1" ht="13.5" thickBot="1">
      <c r="A66" s="695" t="s">
        <v>2769</v>
      </c>
      <c r="B66" s="696" t="s">
        <v>28</v>
      </c>
      <c r="C66" s="696" t="s">
        <v>29</v>
      </c>
      <c r="D66" s="696" t="s">
        <v>1029</v>
      </c>
      <c r="E66" s="696">
        <f>IF(B46="楼面地价",SUM(E56:E65),'数据-汇总表'!D3)</f>
        <v>91.52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2662</v>
      </c>
      <c r="B69" s="759"/>
      <c r="C69" s="764"/>
      <c r="D69" s="764"/>
      <c r="E69" s="764"/>
      <c r="F69" s="765"/>
      <c r="G69" s="765"/>
      <c r="H69" s="764"/>
      <c r="I69" s="764"/>
      <c r="J69" s="1162"/>
      <c r="K69" s="1163"/>
      <c r="L69" s="1164"/>
      <c r="M69" s="1162"/>
      <c r="N69" s="1162"/>
      <c r="O69" s="1162"/>
      <c r="P69" s="503"/>
      <c r="Q69" s="504"/>
    </row>
    <row r="70" spans="1:17" s="508" customFormat="1" ht="15">
      <c r="A70" s="2709" t="s">
        <v>2770</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0" t="s">
        <v>2771</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2573</v>
      </c>
      <c r="B72" s="516"/>
      <c r="C72" s="517"/>
      <c r="D72" s="518"/>
      <c r="E72" s="518"/>
      <c r="F72" s="518"/>
      <c r="G72" s="518"/>
      <c r="H72" s="518"/>
      <c r="I72" s="518"/>
      <c r="J72" s="518"/>
      <c r="K72" s="518"/>
      <c r="L72" s="518"/>
      <c r="M72" s="519"/>
      <c r="N72" s="518"/>
      <c r="O72" s="1165"/>
      <c r="P72" s="504"/>
      <c r="Q72" s="504"/>
    </row>
    <row r="73" spans="1:17" s="117" customFormat="1" ht="15">
      <c r="A73" s="521" t="s">
        <v>2538</v>
      </c>
      <c r="B73" s="510"/>
      <c r="C73" s="522" t="s">
        <v>2640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2576</v>
      </c>
      <c r="B75" s="528" t="s">
        <v>2542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86" t="s">
        <v>2634</v>
      </c>
      <c r="D4" s="3187"/>
      <c r="E4" s="3188" t="s">
        <v>2635</v>
      </c>
      <c r="F4" s="3189"/>
      <c r="G4" s="3186" t="s">
        <v>2636</v>
      </c>
      <c r="H4" s="3187"/>
      <c r="I4" s="3186" t="s">
        <v>2637</v>
      </c>
      <c r="J4" s="3187"/>
      <c r="K4" s="610" t="s">
        <v>2638</v>
      </c>
      <c r="L4" s="1133"/>
      <c r="M4" s="1134"/>
      <c r="N4" s="1134"/>
      <c r="O4" s="1134"/>
      <c r="P4" s="3190" t="s">
        <v>2639</v>
      </c>
      <c r="Q4" s="3191"/>
      <c r="R4" s="3196" t="s">
        <v>2635</v>
      </c>
      <c r="S4" s="3197"/>
      <c r="T4" s="3196" t="s">
        <v>2636</v>
      </c>
      <c r="U4" s="3197"/>
      <c r="V4" s="3202" t="s">
        <v>2637</v>
      </c>
      <c r="W4" s="3202"/>
      <c r="X4" s="1815"/>
      <c r="Y4" s="3196" t="s">
        <v>2639</v>
      </c>
      <c r="Z4" s="3197"/>
      <c r="AA4" s="3183" t="s">
        <v>2635</v>
      </c>
      <c r="AB4" s="3184" t="s">
        <v>2636</v>
      </c>
      <c r="AC4" s="3183" t="s">
        <v>2637</v>
      </c>
    </row>
    <row r="5" spans="1:29" ht="15">
      <c r="A5" s="404"/>
      <c r="B5" s="405"/>
      <c r="C5" s="3234" t="s">
        <v>2530</v>
      </c>
      <c r="D5" s="3206"/>
      <c r="E5" s="3235" t="s">
        <v>2531</v>
      </c>
      <c r="F5" s="3236"/>
      <c r="G5" s="3234" t="s">
        <v>2532</v>
      </c>
      <c r="H5" s="3206"/>
      <c r="I5" s="3234" t="s">
        <v>2533</v>
      </c>
      <c r="J5" s="3206"/>
      <c r="K5" s="610"/>
      <c r="L5" s="1133"/>
      <c r="M5" s="1134"/>
      <c r="N5" s="1134"/>
      <c r="O5" s="1134"/>
      <c r="P5" s="3192"/>
      <c r="Q5" s="3193"/>
      <c r="R5" s="3198"/>
      <c r="S5" s="3199"/>
      <c r="T5" s="3198"/>
      <c r="U5" s="3199"/>
      <c r="V5" s="3202"/>
      <c r="W5" s="3202"/>
      <c r="X5" s="1815"/>
      <c r="Y5" s="3198"/>
      <c r="Z5" s="3199"/>
      <c r="AA5" s="3184"/>
      <c r="AB5" s="3184"/>
      <c r="AC5" s="3184"/>
    </row>
    <row r="6" spans="1:29" ht="15.75" thickBot="1">
      <c r="A6" s="406"/>
      <c r="B6" s="407"/>
      <c r="C6" s="3257" t="s">
        <v>2785</v>
      </c>
      <c r="D6" s="3258"/>
      <c r="E6" s="3259" t="s">
        <v>2785</v>
      </c>
      <c r="F6" s="3260"/>
      <c r="G6" s="3257" t="s">
        <v>2785</v>
      </c>
      <c r="H6" s="3258"/>
      <c r="I6" s="3257" t="s">
        <v>2785</v>
      </c>
      <c r="J6" s="3258"/>
      <c r="K6" s="610" t="s">
        <v>2535</v>
      </c>
      <c r="L6" s="1133"/>
      <c r="M6" s="1134"/>
      <c r="N6" s="1134"/>
      <c r="O6" s="1134"/>
      <c r="P6" s="3194"/>
      <c r="Q6" s="3195"/>
      <c r="R6" s="3198"/>
      <c r="S6" s="3199"/>
      <c r="T6" s="3200"/>
      <c r="U6" s="3201"/>
      <c r="V6" s="3202"/>
      <c r="W6" s="3202"/>
      <c r="X6" s="1815"/>
      <c r="Y6" s="3200"/>
      <c r="Z6" s="3201"/>
      <c r="AA6" s="3185"/>
      <c r="AB6" s="3185"/>
      <c r="AC6" s="3185"/>
    </row>
    <row r="7" spans="1:29" s="117" customFormat="1" ht="15.75" thickBot="1">
      <c r="A7" s="408" t="s">
        <v>2536</v>
      </c>
      <c r="B7" s="409"/>
      <c r="C7" s="410">
        <f>'数据-取费表'!B2</f>
        <v>43249</v>
      </c>
      <c r="D7" s="411">
        <v>100</v>
      </c>
      <c r="E7" s="412"/>
      <c r="F7" s="413">
        <f>SUMIF(65:65,YEAR(E7)&amp;"-"&amp;INT((MONTH(E7)+2)/3),66:66)</f>
        <v>0</v>
      </c>
      <c r="G7" s="2694"/>
      <c r="H7" s="411">
        <f>SUMIF(65:65,YEAR(G7)&amp;"-"&amp;INT((MONTH(G7)+2)/3),66:66)</f>
        <v>0</v>
      </c>
      <c r="I7" s="2694"/>
      <c r="J7" s="411">
        <f>SUMIF(65:65,YEAR(I7)&amp;"-"&amp;INT((MONTH(I7)+2)/3),66:66)</f>
        <v>0</v>
      </c>
      <c r="K7" s="611"/>
      <c r="L7" s="1135"/>
      <c r="M7" s="1136"/>
      <c r="N7" s="1136"/>
      <c r="O7" s="1136"/>
      <c r="P7" s="3207" t="s">
        <v>2537</v>
      </c>
      <c r="Q7" s="3209"/>
      <c r="R7" s="770" t="s">
        <v>17</v>
      </c>
      <c r="S7" s="771">
        <f t="shared" ref="S7:S15" si="0">F7</f>
        <v>0</v>
      </c>
      <c r="T7" s="770" t="s">
        <v>17</v>
      </c>
      <c r="U7" s="771">
        <f t="shared" ref="U7:U15" si="1">H7</f>
        <v>0</v>
      </c>
      <c r="V7" s="770" t="s">
        <v>17</v>
      </c>
      <c r="W7" s="771">
        <f t="shared" ref="W7:W15" si="2">J7</f>
        <v>0</v>
      </c>
      <c r="X7" s="772"/>
      <c r="Y7" s="3207" t="s">
        <v>2537</v>
      </c>
      <c r="Z7" s="3208"/>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7" t="s">
        <v>2540</v>
      </c>
      <c r="Q8" s="3208"/>
      <c r="R8" s="770" t="s">
        <v>17</v>
      </c>
      <c r="S8" s="771">
        <f t="shared" si="0"/>
        <v>0</v>
      </c>
      <c r="T8" s="770" t="s">
        <v>17</v>
      </c>
      <c r="U8" s="771">
        <f t="shared" si="1"/>
        <v>0</v>
      </c>
      <c r="V8" s="770" t="s">
        <v>17</v>
      </c>
      <c r="W8" s="771">
        <f t="shared" si="2"/>
        <v>0</v>
      </c>
      <c r="X8" s="772"/>
      <c r="Y8" s="3207" t="s">
        <v>2540</v>
      </c>
      <c r="Z8" s="3208"/>
      <c r="AA8" s="773" t="e">
        <f t="shared" ref="AA8:AA40" si="3">D8/F8</f>
        <v>#DIV/0!</v>
      </c>
      <c r="AB8" s="773" t="e">
        <f t="shared" ref="AB8:AB40" si="4">D8/H8</f>
        <v>#DIV/0!</v>
      </c>
      <c r="AC8" s="773" t="e">
        <f t="shared" ref="AC8:AC40" si="5">D8/J8</f>
        <v>#DIV/0!</v>
      </c>
    </row>
    <row r="9" spans="1:29" s="117" customFormat="1">
      <c r="A9" s="415" t="s">
        <v>2541</v>
      </c>
      <c r="B9" s="71" t="s">
        <v>2542</v>
      </c>
      <c r="C9" s="2697"/>
      <c r="D9" s="135">
        <v>100</v>
      </c>
      <c r="E9" s="2697"/>
      <c r="F9" s="135">
        <f>SUMIF(70:70,E9,71:71)-SUMIF(70:70,C9,71:71)+100</f>
        <v>100</v>
      </c>
      <c r="G9" s="2697"/>
      <c r="H9" s="135">
        <f>SUMIF(70:70,G9,71:71)-SUMIF(70:70,C9,71:71)+100</f>
        <v>100</v>
      </c>
      <c r="I9" s="2697"/>
      <c r="J9" s="135">
        <f>SUMIF(70:70,I9,71:71)-SUMIF(70:70,C9,71:71)+100</f>
        <v>100</v>
      </c>
      <c r="K9" s="611"/>
      <c r="L9" s="1135"/>
      <c r="M9" s="1136"/>
      <c r="N9" s="1136"/>
      <c r="O9" s="1137"/>
      <c r="P9" s="3171" t="s">
        <v>2543</v>
      </c>
      <c r="Q9" s="1797" t="str">
        <f t="shared" ref="Q9:Q15" si="6">B9</f>
        <v>用途</v>
      </c>
      <c r="R9" s="770" t="s">
        <v>17</v>
      </c>
      <c r="S9" s="771">
        <f t="shared" si="0"/>
        <v>100</v>
      </c>
      <c r="T9" s="770" t="s">
        <v>17</v>
      </c>
      <c r="U9" s="771">
        <f t="shared" si="1"/>
        <v>100</v>
      </c>
      <c r="V9" s="770" t="s">
        <v>17</v>
      </c>
      <c r="W9" s="771">
        <f t="shared" si="2"/>
        <v>100</v>
      </c>
      <c r="X9" s="772"/>
      <c r="Y9" s="3018"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171"/>
      <c r="Q10" s="1797" t="str">
        <f t="shared" si="6"/>
        <v>土地使用年限（年）</v>
      </c>
      <c r="R10" s="770" t="s">
        <v>17</v>
      </c>
      <c r="S10" s="771">
        <f t="shared" si="0"/>
        <v>108</v>
      </c>
      <c r="T10" s="770" t="s">
        <v>17</v>
      </c>
      <c r="U10" s="771">
        <f t="shared" si="1"/>
        <v>108</v>
      </c>
      <c r="V10" s="770" t="s">
        <v>17</v>
      </c>
      <c r="W10" s="771">
        <f t="shared" si="2"/>
        <v>108</v>
      </c>
      <c r="X10" s="772"/>
      <c r="Y10" s="3018"/>
      <c r="Z10" s="55" t="str">
        <f t="shared" si="7"/>
        <v>土地使用年限（年）</v>
      </c>
      <c r="AA10" s="773">
        <f t="shared" si="3"/>
        <v>0.92592592592592593</v>
      </c>
      <c r="AB10" s="773">
        <f t="shared" si="4"/>
        <v>0.92592592592592593</v>
      </c>
      <c r="AC10" s="773">
        <f t="shared" si="5"/>
        <v>0.92592592592592593</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71"/>
      <c r="Q11" s="1797" t="str">
        <f t="shared" si="6"/>
        <v>容积率</v>
      </c>
      <c r="R11" s="770" t="s">
        <v>17</v>
      </c>
      <c r="S11" s="771" t="e">
        <f t="shared" si="0"/>
        <v>#N/A</v>
      </c>
      <c r="T11" s="770" t="s">
        <v>17</v>
      </c>
      <c r="U11" s="771" t="e">
        <f t="shared" si="1"/>
        <v>#N/A</v>
      </c>
      <c r="V11" s="770" t="s">
        <v>17</v>
      </c>
      <c r="W11" s="771" t="e">
        <f t="shared" si="2"/>
        <v>#N/A</v>
      </c>
      <c r="X11" s="772"/>
      <c r="Y11" s="3018"/>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71"/>
      <c r="Q12" s="1797">
        <f t="shared" si="6"/>
        <v>111</v>
      </c>
      <c r="R12" s="770" t="s">
        <v>17</v>
      </c>
      <c r="S12" s="771">
        <f t="shared" si="0"/>
        <v>100</v>
      </c>
      <c r="T12" s="770" t="s">
        <v>17</v>
      </c>
      <c r="U12" s="771">
        <f t="shared" si="1"/>
        <v>100</v>
      </c>
      <c r="V12" s="770" t="s">
        <v>17</v>
      </c>
      <c r="W12" s="771">
        <f t="shared" si="2"/>
        <v>100</v>
      </c>
      <c r="X12" s="772"/>
      <c r="Y12" s="3018"/>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71"/>
      <c r="Q13" s="1797">
        <f t="shared" si="6"/>
        <v>111</v>
      </c>
      <c r="R13" s="770" t="s">
        <v>17</v>
      </c>
      <c r="S13" s="771">
        <f t="shared" si="0"/>
        <v>100</v>
      </c>
      <c r="T13" s="770" t="s">
        <v>17</v>
      </c>
      <c r="U13" s="771">
        <f t="shared" si="1"/>
        <v>100</v>
      </c>
      <c r="V13" s="770" t="s">
        <v>17</v>
      </c>
      <c r="W13" s="771">
        <f t="shared" si="2"/>
        <v>100</v>
      </c>
      <c r="X13" s="772"/>
      <c r="Y13" s="3018"/>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71"/>
      <c r="Q14" s="1797">
        <f t="shared" si="6"/>
        <v>111</v>
      </c>
      <c r="R14" s="770" t="s">
        <v>17</v>
      </c>
      <c r="S14" s="771">
        <f t="shared" si="0"/>
        <v>100</v>
      </c>
      <c r="T14" s="770" t="s">
        <v>17</v>
      </c>
      <c r="U14" s="771">
        <f t="shared" si="1"/>
        <v>100</v>
      </c>
      <c r="V14" s="770" t="s">
        <v>17</v>
      </c>
      <c r="W14" s="771">
        <f t="shared" si="2"/>
        <v>100</v>
      </c>
      <c r="X14" s="772"/>
      <c r="Y14" s="3018"/>
      <c r="Z14" s="55">
        <f t="shared" si="7"/>
        <v>111</v>
      </c>
      <c r="AA14" s="773">
        <f t="shared" si="3"/>
        <v>1</v>
      </c>
      <c r="AB14" s="773">
        <f t="shared" si="4"/>
        <v>1</v>
      </c>
      <c r="AC14" s="773">
        <f t="shared" si="5"/>
        <v>1</v>
      </c>
    </row>
    <row r="15" spans="1:29" ht="15">
      <c r="A15" s="440" t="s">
        <v>2547</v>
      </c>
      <c r="B15" s="629" t="s">
        <v>2786</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3" t="s">
        <v>2548</v>
      </c>
      <c r="Q15" s="1812" t="str">
        <f t="shared" si="6"/>
        <v>产业集聚程度</v>
      </c>
      <c r="R15" s="774" t="s">
        <v>17</v>
      </c>
      <c r="S15" s="775">
        <f t="shared" si="0"/>
        <v>100</v>
      </c>
      <c r="T15" s="774" t="s">
        <v>17</v>
      </c>
      <c r="U15" s="775">
        <f t="shared" si="1"/>
        <v>100</v>
      </c>
      <c r="V15" s="774" t="s">
        <v>17</v>
      </c>
      <c r="W15" s="775">
        <f t="shared" si="2"/>
        <v>100</v>
      </c>
      <c r="X15" s="1815"/>
      <c r="Y15" s="3173" t="s">
        <v>2548</v>
      </c>
      <c r="Z15" s="1816" t="str">
        <f t="shared" si="7"/>
        <v>产业集聚程度</v>
      </c>
      <c r="AA15" s="1813">
        <f t="shared" si="3"/>
        <v>1</v>
      </c>
      <c r="AB15" s="1813">
        <f t="shared" si="4"/>
        <v>1</v>
      </c>
      <c r="AC15" s="1813">
        <f t="shared" si="5"/>
        <v>1</v>
      </c>
    </row>
    <row r="16" spans="1:29" ht="15">
      <c r="A16" s="428"/>
      <c r="B16" s="630"/>
      <c r="C16" s="447"/>
      <c r="D16" s="448"/>
      <c r="E16" s="2611"/>
      <c r="F16" s="448"/>
      <c r="G16" s="2611"/>
      <c r="H16" s="450"/>
      <c r="I16" s="2611"/>
      <c r="J16" s="448"/>
      <c r="K16" s="672"/>
      <c r="L16" s="1143"/>
      <c r="M16" s="1134"/>
      <c r="N16" s="1134"/>
      <c r="O16" s="1142"/>
      <c r="P16" s="3174"/>
      <c r="Q16" s="1812"/>
      <c r="R16" s="774"/>
      <c r="S16" s="775"/>
      <c r="T16" s="774"/>
      <c r="U16" s="775"/>
      <c r="V16" s="774"/>
      <c r="W16" s="775"/>
      <c r="X16" s="1815"/>
      <c r="Y16" s="3174"/>
      <c r="Z16" s="1816"/>
      <c r="AA16" s="1813">
        <v>1</v>
      </c>
      <c r="AB16" s="1813">
        <v>1</v>
      </c>
      <c r="AC16" s="1813">
        <v>1</v>
      </c>
    </row>
    <row r="17" spans="1:29" ht="15">
      <c r="A17" s="428"/>
      <c r="B17" s="631" t="s">
        <v>2697</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4"/>
      <c r="Q17" s="1812" t="str">
        <f>B17</f>
        <v>交通便捷度</v>
      </c>
      <c r="R17" s="774" t="s">
        <v>17</v>
      </c>
      <c r="S17" s="775">
        <f>F17</f>
        <v>100</v>
      </c>
      <c r="T17" s="774" t="s">
        <v>17</v>
      </c>
      <c r="U17" s="775">
        <f>H17</f>
        <v>100</v>
      </c>
      <c r="V17" s="774" t="s">
        <v>17</v>
      </c>
      <c r="W17" s="775">
        <f>J17</f>
        <v>100</v>
      </c>
      <c r="X17" s="1815"/>
      <c r="Y17" s="3174"/>
      <c r="Z17" s="1816" t="str">
        <f>Q17</f>
        <v>交通便捷度</v>
      </c>
      <c r="AA17" s="1813">
        <f t="shared" si="3"/>
        <v>1</v>
      </c>
      <c r="AB17" s="1813">
        <f t="shared" si="4"/>
        <v>1</v>
      </c>
      <c r="AC17" s="1813">
        <f t="shared" si="5"/>
        <v>1</v>
      </c>
    </row>
    <row r="18" spans="1:29" ht="15">
      <c r="A18" s="428"/>
      <c r="B18" s="632"/>
      <c r="C18" s="447"/>
      <c r="D18" s="448"/>
      <c r="E18" s="2605"/>
      <c r="F18" s="448"/>
      <c r="G18" s="2605"/>
      <c r="H18" s="448"/>
      <c r="I18" s="2604"/>
      <c r="J18" s="448"/>
      <c r="K18" s="672"/>
      <c r="L18" s="1143"/>
      <c r="M18" s="1134"/>
      <c r="N18" s="1134"/>
      <c r="O18" s="1142"/>
      <c r="P18" s="3174"/>
      <c r="Q18" s="1812"/>
      <c r="R18" s="774"/>
      <c r="S18" s="775"/>
      <c r="T18" s="774"/>
      <c r="U18" s="775"/>
      <c r="V18" s="774"/>
      <c r="W18" s="775"/>
      <c r="X18" s="1815"/>
      <c r="Y18" s="3174"/>
      <c r="Z18" s="1816"/>
      <c r="AA18" s="1813">
        <v>1</v>
      </c>
      <c r="AB18" s="1813">
        <v>1</v>
      </c>
      <c r="AC18" s="1813">
        <v>1</v>
      </c>
    </row>
    <row r="19" spans="1:29" ht="15">
      <c r="A19" s="428"/>
      <c r="B19" s="631" t="s">
        <v>2736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4"/>
      <c r="Q19" s="1812" t="str">
        <f t="shared" ref="Q19:Q33" si="8">B19</f>
        <v>区域土地利用方向</v>
      </c>
      <c r="R19" s="774" t="s">
        <v>17</v>
      </c>
      <c r="S19" s="775">
        <f>F19</f>
        <v>100</v>
      </c>
      <c r="T19" s="774" t="s">
        <v>17</v>
      </c>
      <c r="U19" s="775">
        <f>H19</f>
        <v>100</v>
      </c>
      <c r="V19" s="774" t="s">
        <v>17</v>
      </c>
      <c r="W19" s="775">
        <f>J19</f>
        <v>100</v>
      </c>
      <c r="X19" s="1815"/>
      <c r="Y19" s="3174"/>
      <c r="Z19" s="1816" t="str">
        <f>Q19</f>
        <v>区域土地利用方向</v>
      </c>
      <c r="AA19" s="1813">
        <f t="shared" si="3"/>
        <v>1</v>
      </c>
      <c r="AB19" s="1813">
        <f t="shared" si="4"/>
        <v>1</v>
      </c>
      <c r="AC19" s="1813">
        <f t="shared" si="5"/>
        <v>1</v>
      </c>
    </row>
    <row r="20" spans="1:29" ht="15">
      <c r="A20" s="404"/>
      <c r="B20" s="632"/>
      <c r="C20" s="447"/>
      <c r="D20" s="448"/>
      <c r="E20" s="2605"/>
      <c r="F20" s="448"/>
      <c r="G20" s="2605"/>
      <c r="H20" s="448"/>
      <c r="I20" s="2605"/>
      <c r="J20" s="448"/>
      <c r="K20" s="812"/>
      <c r="L20" s="1143"/>
      <c r="M20" s="1134"/>
      <c r="N20" s="1134"/>
      <c r="O20" s="1142"/>
      <c r="P20" s="3174"/>
      <c r="Q20" s="1812"/>
      <c r="R20" s="774"/>
      <c r="S20" s="775"/>
      <c r="T20" s="774"/>
      <c r="U20" s="775"/>
      <c r="V20" s="774"/>
      <c r="W20" s="775"/>
      <c r="X20" s="1815"/>
      <c r="Y20" s="3174"/>
      <c r="Z20" s="1816"/>
      <c r="AA20" s="1813"/>
      <c r="AB20" s="1813"/>
      <c r="AC20" s="1813"/>
    </row>
    <row r="21" spans="1:29" ht="15">
      <c r="A21" s="404"/>
      <c r="B21" s="631" t="s">
        <v>2787</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4"/>
      <c r="Q21" s="1812" t="str">
        <f t="shared" si="8"/>
        <v>环境状况</v>
      </c>
      <c r="R21" s="774" t="s">
        <v>17</v>
      </c>
      <c r="S21" s="775">
        <f>F21</f>
        <v>100</v>
      </c>
      <c r="T21" s="774" t="s">
        <v>17</v>
      </c>
      <c r="U21" s="775">
        <f>H21</f>
        <v>100</v>
      </c>
      <c r="V21" s="774" t="s">
        <v>17</v>
      </c>
      <c r="W21" s="775">
        <f>J21</f>
        <v>100</v>
      </c>
      <c r="X21" s="1815"/>
      <c r="Y21" s="3174"/>
      <c r="Z21" s="1816" t="str">
        <f>Q21</f>
        <v>环境状况</v>
      </c>
      <c r="AA21" s="1813">
        <f t="shared" si="3"/>
        <v>1</v>
      </c>
      <c r="AB21" s="1813">
        <f t="shared" si="4"/>
        <v>1</v>
      </c>
      <c r="AC21" s="1813">
        <f t="shared" si="5"/>
        <v>1</v>
      </c>
    </row>
    <row r="22" spans="1:29" ht="15">
      <c r="A22" s="404"/>
      <c r="B22" s="632"/>
      <c r="C22" s="447"/>
      <c r="D22" s="448"/>
      <c r="E22" s="2611"/>
      <c r="F22" s="448"/>
      <c r="G22" s="2611"/>
      <c r="H22" s="448"/>
      <c r="I22" s="447"/>
      <c r="J22" s="448"/>
      <c r="K22" s="672"/>
      <c r="L22" s="1143"/>
      <c r="M22" s="1134"/>
      <c r="N22" s="1134"/>
      <c r="O22" s="1142"/>
      <c r="P22" s="3174"/>
      <c r="Q22" s="1812"/>
      <c r="R22" s="774"/>
      <c r="S22" s="775"/>
      <c r="T22" s="774"/>
      <c r="U22" s="775"/>
      <c r="V22" s="774"/>
      <c r="W22" s="775"/>
      <c r="X22" s="1815"/>
      <c r="Y22" s="3174"/>
      <c r="Z22" s="1816"/>
      <c r="AA22" s="1813">
        <v>1</v>
      </c>
      <c r="AB22" s="1813">
        <v>1</v>
      </c>
      <c r="AC22" s="1813">
        <v>1</v>
      </c>
    </row>
    <row r="23" spans="1:29" s="117" customFormat="1" ht="15">
      <c r="A23" s="649"/>
      <c r="B23" s="633" t="s">
        <v>2642</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4"/>
      <c r="Q23" s="1797" t="str">
        <f t="shared" si="8"/>
        <v>公共配套设施</v>
      </c>
      <c r="R23" s="770" t="s">
        <v>17</v>
      </c>
      <c r="S23" s="771">
        <f>F23</f>
        <v>100</v>
      </c>
      <c r="T23" s="770" t="s">
        <v>17</v>
      </c>
      <c r="U23" s="771">
        <f>H23</f>
        <v>100</v>
      </c>
      <c r="V23" s="770" t="s">
        <v>17</v>
      </c>
      <c r="W23" s="771">
        <f>J23</f>
        <v>100</v>
      </c>
      <c r="X23" s="772"/>
      <c r="Y23" s="3174"/>
      <c r="Z23" s="55" t="str">
        <f>Q23</f>
        <v>公共配套设施</v>
      </c>
      <c r="AA23" s="1813">
        <f>D23/F23</f>
        <v>1</v>
      </c>
      <c r="AB23" s="1813">
        <f>D23/H23</f>
        <v>1</v>
      </c>
      <c r="AC23" s="1813">
        <f>D23/J23</f>
        <v>1</v>
      </c>
    </row>
    <row r="24" spans="1:29" s="117" customFormat="1" ht="15">
      <c r="A24" s="649"/>
      <c r="B24" s="632"/>
      <c r="C24" s="2698"/>
      <c r="D24" s="448"/>
      <c r="E24" s="2611"/>
      <c r="F24" s="448"/>
      <c r="G24" s="2611"/>
      <c r="H24" s="448"/>
      <c r="I24" s="447"/>
      <c r="J24" s="448"/>
      <c r="K24" s="672"/>
      <c r="L24" s="1135"/>
      <c r="M24" s="1136"/>
      <c r="N24" s="1136"/>
      <c r="O24" s="1137"/>
      <c r="P24" s="3174"/>
      <c r="Q24" s="1797"/>
      <c r="R24" s="770"/>
      <c r="S24" s="771"/>
      <c r="T24" s="770"/>
      <c r="U24" s="771"/>
      <c r="V24" s="770"/>
      <c r="W24" s="771"/>
      <c r="X24" s="772"/>
      <c r="Y24" s="3174"/>
      <c r="Z24" s="55"/>
      <c r="AA24" s="773">
        <v>1</v>
      </c>
      <c r="AB24" s="773">
        <v>1</v>
      </c>
      <c r="AC24" s="773">
        <v>1</v>
      </c>
    </row>
    <row r="25" spans="1:29" s="117" customFormat="1" ht="15">
      <c r="A25" s="649"/>
      <c r="B25" s="633" t="s">
        <v>2643</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4"/>
      <c r="Q25" s="1797" t="str">
        <f t="shared" ref="Q25" si="9">B25</f>
        <v>基础设施水平</v>
      </c>
      <c r="R25" s="770" t="s">
        <v>17</v>
      </c>
      <c r="S25" s="771">
        <f>F25</f>
        <v>100</v>
      </c>
      <c r="T25" s="770" t="s">
        <v>17</v>
      </c>
      <c r="U25" s="771">
        <f>H25</f>
        <v>100</v>
      </c>
      <c r="V25" s="770" t="s">
        <v>17</v>
      </c>
      <c r="W25" s="771">
        <f>J25</f>
        <v>100</v>
      </c>
      <c r="X25" s="772"/>
      <c r="Y25" s="3174"/>
      <c r="Z25" s="55" t="str">
        <f>Q25</f>
        <v>基础设施水平</v>
      </c>
      <c r="AA25" s="1813">
        <f>D25/F25</f>
        <v>1</v>
      </c>
      <c r="AB25" s="1813">
        <f>D25/H25</f>
        <v>1</v>
      </c>
      <c r="AC25" s="1813">
        <f>D25/J25</f>
        <v>1</v>
      </c>
    </row>
    <row r="26" spans="1:29" s="117" customFormat="1" ht="15">
      <c r="A26" s="649"/>
      <c r="B26" s="632"/>
      <c r="C26" s="2698"/>
      <c r="D26" s="448"/>
      <c r="E26" s="2699"/>
      <c r="F26" s="448"/>
      <c r="G26" s="2699"/>
      <c r="H26" s="448"/>
      <c r="I26" s="2699"/>
      <c r="J26" s="448"/>
      <c r="K26" s="672"/>
      <c r="L26" s="1135"/>
      <c r="M26" s="1136"/>
      <c r="N26" s="1136"/>
      <c r="O26" s="1137"/>
      <c r="P26" s="3174"/>
      <c r="Q26" s="1797"/>
      <c r="R26" s="770"/>
      <c r="S26" s="771"/>
      <c r="T26" s="770"/>
      <c r="U26" s="771"/>
      <c r="V26" s="770"/>
      <c r="W26" s="771"/>
      <c r="X26" s="772"/>
      <c r="Y26" s="3174"/>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4"/>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74"/>
      <c r="Z27" s="1816" t="str">
        <f t="shared" ref="Z27:Z40" si="13">Q27</f>
        <v>临街状况</v>
      </c>
      <c r="AA27" s="1813">
        <f t="shared" si="3"/>
        <v>1</v>
      </c>
      <c r="AB27" s="1813">
        <f t="shared" si="4"/>
        <v>1</v>
      </c>
      <c r="AC27" s="1813">
        <f t="shared" si="5"/>
        <v>1</v>
      </c>
    </row>
    <row r="28" spans="1:29" ht="27">
      <c r="A28" s="428"/>
      <c r="B28" s="633" t="s">
        <v>2679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4"/>
      <c r="Q28" s="1812" t="str">
        <f t="shared" si="8"/>
        <v>毗邻道路的类型与等级</v>
      </c>
      <c r="R28" s="774" t="s">
        <v>17</v>
      </c>
      <c r="S28" s="775">
        <f t="shared" si="10"/>
        <v>100</v>
      </c>
      <c r="T28" s="774" t="s">
        <v>17</v>
      </c>
      <c r="U28" s="775">
        <f t="shared" si="11"/>
        <v>100</v>
      </c>
      <c r="V28" s="774" t="s">
        <v>17</v>
      </c>
      <c r="W28" s="775">
        <f t="shared" si="12"/>
        <v>100</v>
      </c>
      <c r="X28" s="1815"/>
      <c r="Y28" s="3174"/>
      <c r="Z28" s="1816" t="str">
        <f t="shared" si="13"/>
        <v>毗邻道路的类型与等级</v>
      </c>
      <c r="AA28" s="1813">
        <f t="shared" si="3"/>
        <v>1</v>
      </c>
      <c r="AB28" s="1813">
        <f t="shared" si="4"/>
        <v>1</v>
      </c>
      <c r="AC28" s="1813">
        <f t="shared" si="5"/>
        <v>1</v>
      </c>
    </row>
    <row r="29" spans="1:29" ht="15">
      <c r="A29" s="428"/>
      <c r="B29" s="632"/>
      <c r="C29" s="447"/>
      <c r="D29" s="448"/>
      <c r="E29" s="2611"/>
      <c r="F29" s="448"/>
      <c r="G29" s="2611"/>
      <c r="H29" s="448"/>
      <c r="I29" s="2611"/>
      <c r="J29" s="448"/>
      <c r="K29" s="613"/>
      <c r="L29" s="1143"/>
      <c r="M29" s="1134"/>
      <c r="N29" s="1134"/>
      <c r="O29" s="1142"/>
      <c r="P29" s="3174"/>
      <c r="Q29" s="1812"/>
      <c r="R29" s="774"/>
      <c r="S29" s="775"/>
      <c r="T29" s="774"/>
      <c r="U29" s="775"/>
      <c r="V29" s="774"/>
      <c r="W29" s="775"/>
      <c r="X29" s="1815"/>
      <c r="Y29" s="3174"/>
      <c r="Z29" s="1816"/>
      <c r="AA29" s="1813">
        <v>1</v>
      </c>
      <c r="AB29" s="1813">
        <v>1</v>
      </c>
      <c r="AC29" s="1813">
        <v>1</v>
      </c>
    </row>
    <row r="30" spans="1:29" ht="15">
      <c r="A30" s="428"/>
      <c r="B30" s="654" t="s">
        <v>2738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4"/>
      <c r="Q30" s="1812" t="str">
        <f t="shared" si="8"/>
        <v>土地级别</v>
      </c>
      <c r="R30" s="774" t="s">
        <v>17</v>
      </c>
      <c r="S30" s="775">
        <f t="shared" si="10"/>
        <v>100</v>
      </c>
      <c r="T30" s="774" t="s">
        <v>17</v>
      </c>
      <c r="U30" s="775">
        <f t="shared" si="11"/>
        <v>100</v>
      </c>
      <c r="V30" s="774" t="s">
        <v>17</v>
      </c>
      <c r="W30" s="775">
        <f t="shared" si="12"/>
        <v>100</v>
      </c>
      <c r="X30" s="1815"/>
      <c r="Y30" s="3174"/>
      <c r="Z30" s="1816" t="str">
        <f t="shared" si="13"/>
        <v>土地级别</v>
      </c>
      <c r="AA30" s="1813">
        <f t="shared" si="3"/>
        <v>1</v>
      </c>
      <c r="AB30" s="1813">
        <f t="shared" si="4"/>
        <v>1</v>
      </c>
      <c r="AC30" s="1813">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4"/>
      <c r="Q31" s="1812">
        <f t="shared" si="8"/>
        <v>111</v>
      </c>
      <c r="R31" s="774" t="s">
        <v>17</v>
      </c>
      <c r="S31" s="775">
        <f t="shared" si="10"/>
        <v>100</v>
      </c>
      <c r="T31" s="774" t="s">
        <v>17</v>
      </c>
      <c r="U31" s="775">
        <f t="shared" si="11"/>
        <v>100</v>
      </c>
      <c r="V31" s="774" t="s">
        <v>17</v>
      </c>
      <c r="W31" s="775">
        <f t="shared" si="12"/>
        <v>100</v>
      </c>
      <c r="X31" s="1815"/>
      <c r="Y31" s="3174"/>
      <c r="Z31" s="1816">
        <f t="shared" si="13"/>
        <v>111</v>
      </c>
      <c r="AA31" s="1813">
        <f t="shared" si="3"/>
        <v>1</v>
      </c>
      <c r="AB31" s="1813">
        <f t="shared" si="4"/>
        <v>1</v>
      </c>
      <c r="AC31" s="1813">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2" t="s">
        <v>2553</v>
      </c>
      <c r="Q32" s="1812">
        <f t="shared" si="8"/>
        <v>111</v>
      </c>
      <c r="R32" s="774" t="s">
        <v>17</v>
      </c>
      <c r="S32" s="775">
        <f t="shared" si="10"/>
        <v>100</v>
      </c>
      <c r="T32" s="774" t="s">
        <v>17</v>
      </c>
      <c r="U32" s="775">
        <f t="shared" si="11"/>
        <v>100</v>
      </c>
      <c r="V32" s="774" t="s">
        <v>17</v>
      </c>
      <c r="W32" s="775">
        <f t="shared" si="12"/>
        <v>100</v>
      </c>
      <c r="X32" s="1815"/>
      <c r="Y32" s="3178" t="s">
        <v>2553</v>
      </c>
      <c r="Z32" s="1816">
        <f t="shared" si="13"/>
        <v>111</v>
      </c>
      <c r="AA32" s="1813">
        <f t="shared" si="3"/>
        <v>1</v>
      </c>
      <c r="AB32" s="1813">
        <f t="shared" si="4"/>
        <v>1</v>
      </c>
      <c r="AC32" s="1813">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8"/>
      <c r="Q33" s="1812">
        <f t="shared" si="8"/>
        <v>111</v>
      </c>
      <c r="R33" s="777" t="s">
        <v>17</v>
      </c>
      <c r="S33" s="778">
        <f t="shared" si="10"/>
        <v>100</v>
      </c>
      <c r="T33" s="777" t="s">
        <v>17</v>
      </c>
      <c r="U33" s="778">
        <f t="shared" si="11"/>
        <v>100</v>
      </c>
      <c r="V33" s="777" t="s">
        <v>17</v>
      </c>
      <c r="W33" s="778">
        <f t="shared" si="12"/>
        <v>100</v>
      </c>
      <c r="X33" s="779"/>
      <c r="Y33" s="3178"/>
      <c r="Z33" s="780">
        <f t="shared" si="13"/>
        <v>111</v>
      </c>
      <c r="AA33" s="1813">
        <f t="shared" si="3"/>
        <v>1</v>
      </c>
      <c r="AB33" s="1813">
        <f t="shared" si="4"/>
        <v>1</v>
      </c>
      <c r="AC33" s="1813">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8"/>
      <c r="Q34" s="1812" t="str">
        <f>B34</f>
        <v>宗地面积</v>
      </c>
      <c r="R34" s="774" t="s">
        <v>17</v>
      </c>
      <c r="S34" s="775" t="e">
        <f t="shared" si="10"/>
        <v>#N/A</v>
      </c>
      <c r="T34" s="774" t="s">
        <v>17</v>
      </c>
      <c r="U34" s="775" t="e">
        <f t="shared" si="11"/>
        <v>#N/A</v>
      </c>
      <c r="V34" s="774" t="s">
        <v>17</v>
      </c>
      <c r="W34" s="775" t="e">
        <f t="shared" si="12"/>
        <v>#N/A</v>
      </c>
      <c r="X34" s="1815"/>
      <c r="Y34" s="3178"/>
      <c r="Z34" s="1816" t="str">
        <f t="shared" si="13"/>
        <v>宗地面积</v>
      </c>
      <c r="AA34" s="1813" t="e">
        <f t="shared" si="3"/>
        <v>#N/A</v>
      </c>
      <c r="AB34" s="1813" t="e">
        <f t="shared" si="4"/>
        <v>#N/A</v>
      </c>
      <c r="AC34" s="1813" t="e">
        <f t="shared" si="5"/>
        <v>#N/A</v>
      </c>
    </row>
    <row r="35" spans="1:29" ht="15">
      <c r="A35" s="472"/>
      <c r="B35" s="422" t="s">
        <v>2740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178"/>
      <c r="Q35" s="1812" t="str">
        <f t="shared" ref="Q35:Q40" si="14">B35</f>
        <v>宗地形状</v>
      </c>
      <c r="R35" s="774" t="s">
        <v>17</v>
      </c>
      <c r="S35" s="775">
        <f t="shared" si="10"/>
        <v>100</v>
      </c>
      <c r="T35" s="774" t="s">
        <v>17</v>
      </c>
      <c r="U35" s="775">
        <f t="shared" si="11"/>
        <v>100</v>
      </c>
      <c r="V35" s="774" t="s">
        <v>17</v>
      </c>
      <c r="W35" s="775">
        <f t="shared" si="12"/>
        <v>100</v>
      </c>
      <c r="X35" s="1815"/>
      <c r="Y35" s="3178"/>
      <c r="Z35" s="1816" t="str">
        <f t="shared" si="13"/>
        <v>宗地形状</v>
      </c>
      <c r="AA35" s="1813">
        <f t="shared" si="3"/>
        <v>1</v>
      </c>
      <c r="AB35" s="1813">
        <f t="shared" si="4"/>
        <v>1</v>
      </c>
      <c r="AC35" s="1813">
        <f t="shared" si="5"/>
        <v>1</v>
      </c>
    </row>
    <row r="36" spans="1:29" s="117" customFormat="1" ht="15">
      <c r="A36" s="473"/>
      <c r="B36" s="422" t="s">
        <v>2742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5"/>
      <c r="M36" s="1136"/>
      <c r="N36" s="1136"/>
      <c r="O36" s="1137"/>
      <c r="P36" s="3178"/>
      <c r="Q36" s="1812" t="str">
        <f t="shared" si="14"/>
        <v>宗地开发程度</v>
      </c>
      <c r="R36" s="770" t="s">
        <v>17</v>
      </c>
      <c r="S36" s="771">
        <f t="shared" si="10"/>
        <v>100</v>
      </c>
      <c r="T36" s="770" t="s">
        <v>17</v>
      </c>
      <c r="U36" s="771">
        <f t="shared" si="11"/>
        <v>100</v>
      </c>
      <c r="V36" s="770" t="s">
        <v>17</v>
      </c>
      <c r="W36" s="771">
        <f t="shared" si="12"/>
        <v>100</v>
      </c>
      <c r="X36" s="772"/>
      <c r="Y36" s="3178"/>
      <c r="Z36" s="55" t="str">
        <f t="shared" si="13"/>
        <v>宗地开发程度</v>
      </c>
      <c r="AA36" s="773">
        <f t="shared" si="3"/>
        <v>1</v>
      </c>
      <c r="AB36" s="773">
        <f t="shared" si="4"/>
        <v>1</v>
      </c>
      <c r="AC36" s="773">
        <f t="shared" si="5"/>
        <v>1</v>
      </c>
    </row>
    <row r="37" spans="1:29" ht="15">
      <c r="A37" s="472"/>
      <c r="B37" s="422" t="s">
        <v>2743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178" t="s">
        <v>2553</v>
      </c>
      <c r="Q37" s="1812" t="str">
        <f t="shared" si="14"/>
        <v>工程地质条件</v>
      </c>
      <c r="R37" s="774" t="s">
        <v>17</v>
      </c>
      <c r="S37" s="775">
        <f t="shared" si="10"/>
        <v>100</v>
      </c>
      <c r="T37" s="774" t="s">
        <v>17</v>
      </c>
      <c r="U37" s="775">
        <f t="shared" si="11"/>
        <v>100</v>
      </c>
      <c r="V37" s="774" t="s">
        <v>17</v>
      </c>
      <c r="W37" s="775">
        <f t="shared" si="12"/>
        <v>100</v>
      </c>
      <c r="X37" s="1815"/>
      <c r="Y37" s="3178" t="s">
        <v>2553</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8"/>
      <c r="Q38" s="1812">
        <f t="shared" si="14"/>
        <v>111</v>
      </c>
      <c r="R38" s="774" t="s">
        <v>17</v>
      </c>
      <c r="S38" s="775">
        <f t="shared" si="10"/>
        <v>100</v>
      </c>
      <c r="T38" s="774" t="s">
        <v>17</v>
      </c>
      <c r="U38" s="775">
        <f t="shared" si="11"/>
        <v>100</v>
      </c>
      <c r="V38" s="774" t="s">
        <v>17</v>
      </c>
      <c r="W38" s="775">
        <f t="shared" si="12"/>
        <v>100</v>
      </c>
      <c r="X38" s="1815"/>
      <c r="Y38" s="3178"/>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8"/>
      <c r="Q39" s="1812">
        <f t="shared" si="14"/>
        <v>111</v>
      </c>
      <c r="R39" s="774" t="s">
        <v>17</v>
      </c>
      <c r="S39" s="775">
        <f t="shared" si="10"/>
        <v>100</v>
      </c>
      <c r="T39" s="774" t="s">
        <v>17</v>
      </c>
      <c r="U39" s="775">
        <f t="shared" si="11"/>
        <v>100</v>
      </c>
      <c r="V39" s="774" t="s">
        <v>17</v>
      </c>
      <c r="W39" s="775">
        <f t="shared" si="12"/>
        <v>100</v>
      </c>
      <c r="X39" s="1815"/>
      <c r="Y39" s="3178"/>
      <c r="Z39" s="1816">
        <f t="shared" si="13"/>
        <v>111</v>
      </c>
      <c r="AA39" s="1813">
        <f t="shared" si="3"/>
        <v>1</v>
      </c>
      <c r="AB39" s="1813">
        <f t="shared" si="4"/>
        <v>1</v>
      </c>
      <c r="AC39" s="1813">
        <f t="shared" si="5"/>
        <v>1</v>
      </c>
    </row>
    <row r="40" spans="1:29" s="471" customFormat="1" ht="15.75" thickBot="1">
      <c r="A40" s="468"/>
      <c r="B40" s="1390">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8"/>
      <c r="Q40" s="1812">
        <f t="shared" si="14"/>
        <v>111</v>
      </c>
      <c r="R40" s="777" t="s">
        <v>17</v>
      </c>
      <c r="S40" s="778">
        <f t="shared" si="10"/>
        <v>100</v>
      </c>
      <c r="T40" s="777" t="s">
        <v>17</v>
      </c>
      <c r="U40" s="778">
        <f t="shared" si="11"/>
        <v>100</v>
      </c>
      <c r="V40" s="777" t="s">
        <v>17</v>
      </c>
      <c r="W40" s="778">
        <f t="shared" si="12"/>
        <v>100</v>
      </c>
      <c r="X40" s="779"/>
      <c r="Y40" s="3178"/>
      <c r="Z40" s="780">
        <f t="shared" si="13"/>
        <v>111</v>
      </c>
      <c r="AA40" s="1813">
        <f t="shared" si="3"/>
        <v>1</v>
      </c>
      <c r="AB40" s="1813">
        <f t="shared" si="4"/>
        <v>1</v>
      </c>
      <c r="AC40" s="1813">
        <f t="shared" si="5"/>
        <v>1</v>
      </c>
    </row>
    <row r="41" spans="1:29" ht="15">
      <c r="A41" s="479" t="s">
        <v>2708</v>
      </c>
      <c r="B41" s="2702" t="s">
        <v>2788</v>
      </c>
      <c r="C41" s="682" t="s">
        <v>1</v>
      </c>
      <c r="D41" s="481"/>
      <c r="E41" s="482"/>
      <c r="F41" s="483"/>
      <c r="G41" s="484"/>
      <c r="H41" s="485"/>
      <c r="I41" s="482"/>
      <c r="J41" s="485"/>
      <c r="K41" s="783"/>
      <c r="L41" s="1146"/>
      <c r="M41" s="1134"/>
      <c r="N41" s="1134"/>
      <c r="O41" s="1147"/>
      <c r="P41" s="3171" t="str">
        <f>A41</f>
        <v>成交单价</v>
      </c>
      <c r="Q41" s="3171"/>
      <c r="R41" s="3202">
        <f>E41</f>
        <v>0</v>
      </c>
      <c r="S41" s="3202"/>
      <c r="T41" s="3202">
        <f>G41</f>
        <v>0</v>
      </c>
      <c r="U41" s="3202"/>
      <c r="V41" s="3202">
        <f>I41</f>
        <v>0</v>
      </c>
      <c r="W41" s="3202"/>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6"/>
      <c r="M42" s="1134"/>
      <c r="N42" s="1134"/>
      <c r="O42" s="1147"/>
      <c r="P42" s="3171" t="str">
        <f>A42</f>
        <v>比较价值（元/平方米）</v>
      </c>
      <c r="Q42" s="3171"/>
      <c r="R42" s="3253" t="e">
        <f>ROUND(PRODUCT(R41,AA7:AA40),0)</f>
        <v>#DIV/0!</v>
      </c>
      <c r="S42" s="3253"/>
      <c r="T42" s="3253" t="e">
        <f>ROUND(PRODUCT(T41,AB7:AB40),0)</f>
        <v>#DIV/0!</v>
      </c>
      <c r="U42" s="3253"/>
      <c r="V42" s="3253" t="e">
        <f>ROUND(PRODUCT(V41,AC7:AC40),0)</f>
        <v>#DIV/0!</v>
      </c>
      <c r="W42" s="3253"/>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6"/>
      <c r="M43" s="1134"/>
      <c r="N43" s="1134"/>
      <c r="O43" s="1147"/>
      <c r="P43" s="3168" t="str">
        <f>A43</f>
        <v>估价对象XX用房的比较价值（楼面单价，元/平方米）</v>
      </c>
      <c r="Q43" s="3169"/>
      <c r="R43" s="3254" t="e">
        <f>ROUND(AVERAGE(R42:V42),0)</f>
        <v>#DIV/0!</v>
      </c>
      <c r="S43" s="3254"/>
      <c r="T43" s="3254"/>
      <c r="U43" s="3254"/>
      <c r="V43" s="3254"/>
      <c r="W43" s="3254"/>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2746</v>
      </c>
      <c r="B50" s="685" t="s">
        <v>2747</v>
      </c>
      <c r="C50" s="2703" t="s">
        <v>2748</v>
      </c>
      <c r="D50" s="2704" t="s">
        <v>2749</v>
      </c>
      <c r="E50" s="686" t="s">
        <v>2750</v>
      </c>
      <c r="F50" s="687" t="s">
        <v>2751</v>
      </c>
      <c r="G50" s="3186" t="s">
        <v>2752</v>
      </c>
      <c r="H50" s="3255"/>
      <c r="I50" s="1816" t="s">
        <v>2789</v>
      </c>
      <c r="J50" s="1816">
        <f>项目基本情况!F35</f>
        <v>0</v>
      </c>
      <c r="K50" s="2706" t="s">
        <v>2754</v>
      </c>
      <c r="L50" s="1109"/>
      <c r="M50" s="1147"/>
      <c r="N50" s="1147"/>
      <c r="O50" s="1147"/>
    </row>
    <row r="51" spans="1:17" s="692" customFormat="1">
      <c r="A51" s="688" t="s">
        <v>2755</v>
      </c>
      <c r="B51" s="689" t="e">
        <f>C43</f>
        <v>#DIV/0!</v>
      </c>
      <c r="C51" s="690">
        <v>1</v>
      </c>
      <c r="D51" s="1166">
        <v>1</v>
      </c>
      <c r="E51" s="690">
        <f>'数据-汇总表'!E8+'数据-汇总表'!E9</f>
        <v>91.52</v>
      </c>
      <c r="F51" s="691" t="e">
        <f t="shared" ref="F51:F60" si="15">ROUND(B51*E51/10000,0)</f>
        <v>#DIV/0!</v>
      </c>
      <c r="G51" s="3182"/>
      <c r="H51" s="3171"/>
      <c r="I51" s="945">
        <v>1</v>
      </c>
      <c r="J51" s="945">
        <v>1</v>
      </c>
      <c r="K51" s="1148"/>
      <c r="L51" s="944"/>
      <c r="M51" s="944"/>
      <c r="N51" s="944"/>
      <c r="O51" s="944"/>
    </row>
    <row r="52" spans="1:17" s="692" customFormat="1">
      <c r="A52" s="693" t="s">
        <v>2756</v>
      </c>
      <c r="B52" s="262" t="e">
        <f>ROUND($C$43*C52*D52,0)</f>
        <v>#DIV/0!</v>
      </c>
      <c r="C52" s="200">
        <f t="shared" ref="C52:C60" si="16">IF($C$50="北京市系数",I52,J52)</f>
        <v>0</v>
      </c>
      <c r="D52" s="1167">
        <v>0.25</v>
      </c>
      <c r="E52" s="694"/>
      <c r="F52" s="691" t="e">
        <f t="shared" si="15"/>
        <v>#DIV/0!</v>
      </c>
      <c r="G52" s="3256" t="s">
        <v>2757</v>
      </c>
      <c r="H52" s="1107">
        <f>项目基本情况!B37</f>
        <v>0</v>
      </c>
      <c r="I52" s="945">
        <f>SUMIF(修正!A45:A56,H52,修正!B45:B56)</f>
        <v>0</v>
      </c>
      <c r="J52" s="946"/>
      <c r="K52" s="1147"/>
      <c r="L52" s="944"/>
      <c r="M52" s="944"/>
      <c r="N52" s="944"/>
      <c r="O52" s="944"/>
    </row>
    <row r="53" spans="1:17" s="692" customFormat="1">
      <c r="A53" s="693" t="s">
        <v>2758</v>
      </c>
      <c r="B53" s="262" t="e">
        <f t="shared" ref="B53:B60" si="17">ROUND($C$43*C53*D53,0)</f>
        <v>#DIV/0!</v>
      </c>
      <c r="C53" s="200">
        <f t="shared" si="16"/>
        <v>0</v>
      </c>
      <c r="D53" s="1167">
        <v>0.25</v>
      </c>
      <c r="E53" s="694"/>
      <c r="F53" s="691" t="e">
        <f t="shared" si="15"/>
        <v>#DIV/0!</v>
      </c>
      <c r="G53" s="3256"/>
      <c r="H53" s="1107">
        <f>项目基本情况!B37</f>
        <v>0</v>
      </c>
      <c r="I53" s="945">
        <f>SUMIF(修正!A45:A56,H53,修正!C45:C56)</f>
        <v>0</v>
      </c>
      <c r="J53" s="946"/>
      <c r="K53" s="1148"/>
      <c r="L53" s="944"/>
      <c r="M53" s="944"/>
      <c r="N53" s="944"/>
      <c r="O53" s="944"/>
    </row>
    <row r="54" spans="1:17" s="692" customFormat="1">
      <c r="A54" s="693" t="s">
        <v>2759</v>
      </c>
      <c r="B54" s="262" t="e">
        <f t="shared" si="17"/>
        <v>#DIV/0!</v>
      </c>
      <c r="C54" s="200">
        <f t="shared" si="16"/>
        <v>0</v>
      </c>
      <c r="D54" s="1167">
        <v>0.25</v>
      </c>
      <c r="E54" s="694"/>
      <c r="F54" s="691" t="e">
        <f t="shared" si="15"/>
        <v>#DIV/0!</v>
      </c>
      <c r="G54" s="3256"/>
      <c r="H54" s="1107">
        <f>项目基本情况!B37</f>
        <v>0</v>
      </c>
      <c r="I54" s="945">
        <f>SUMIF(修正!A45:A56,H54,修正!D45:D56)</f>
        <v>0</v>
      </c>
      <c r="J54" s="946"/>
      <c r="K54" s="1147"/>
      <c r="L54" s="944"/>
      <c r="M54" s="944"/>
      <c r="N54" s="944"/>
      <c r="O54" s="944"/>
    </row>
    <row r="55" spans="1:17" s="692" customFormat="1">
      <c r="A55" s="693" t="s">
        <v>2760</v>
      </c>
      <c r="B55" s="262" t="e">
        <f t="shared" si="17"/>
        <v>#DIV/0!</v>
      </c>
      <c r="C55" s="200">
        <f t="shared" si="16"/>
        <v>0</v>
      </c>
      <c r="D55" s="1167">
        <v>0.25</v>
      </c>
      <c r="E55" s="694"/>
      <c r="F55" s="691" t="e">
        <f t="shared" si="15"/>
        <v>#DIV/0!</v>
      </c>
      <c r="G55" s="3256"/>
      <c r="H55" s="1107">
        <f>项目基本情况!B37</f>
        <v>0</v>
      </c>
      <c r="I55" s="945">
        <f>SUMIF(修正!A45:A56,H55,修正!E45:E56)</f>
        <v>0</v>
      </c>
      <c r="J55" s="946"/>
      <c r="K55" s="1148"/>
      <c r="L55" s="944"/>
      <c r="M55" s="944"/>
      <c r="N55" s="944"/>
      <c r="O55" s="944"/>
    </row>
    <row r="56" spans="1:17" s="692" customFormat="1">
      <c r="A56" s="693" t="s">
        <v>2761</v>
      </c>
      <c r="B56" s="262" t="e">
        <f t="shared" si="17"/>
        <v>#DIV/0!</v>
      </c>
      <c r="C56" s="200">
        <f t="shared" si="16"/>
        <v>0</v>
      </c>
      <c r="D56" s="1167">
        <v>0.25</v>
      </c>
      <c r="E56" s="261">
        <f>'数据-汇总表'!E11</f>
        <v>0</v>
      </c>
      <c r="F56" s="691" t="e">
        <f t="shared" si="15"/>
        <v>#DIV/0!</v>
      </c>
      <c r="G56" s="2707" t="s">
        <v>2762</v>
      </c>
      <c r="H56" s="1107">
        <f>项目基本情况!C37</f>
        <v>0</v>
      </c>
      <c r="I56" s="945">
        <f>SUMIF(修正!A45:A56,H56,修正!F45:F56)</f>
        <v>0</v>
      </c>
      <c r="J56" s="946"/>
      <c r="K56" s="1147"/>
      <c r="L56" s="944"/>
      <c r="M56" s="944"/>
      <c r="N56" s="944"/>
      <c r="O56" s="944"/>
    </row>
    <row r="57" spans="1:17" s="692" customFormat="1">
      <c r="A57" s="693" t="s">
        <v>2763</v>
      </c>
      <c r="B57" s="262" t="e">
        <f t="shared" si="17"/>
        <v>#DIV/0!</v>
      </c>
      <c r="C57" s="200">
        <f t="shared" si="16"/>
        <v>0</v>
      </c>
      <c r="D57" s="1167">
        <v>0.25</v>
      </c>
      <c r="E57" s="261">
        <f>'数据-汇总表'!E12</f>
        <v>0</v>
      </c>
      <c r="F57" s="691" t="e">
        <f t="shared" si="15"/>
        <v>#DIV/0!</v>
      </c>
      <c r="G57" s="1112" t="s">
        <v>2764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2765</v>
      </c>
      <c r="B58" s="262" t="e">
        <f t="shared" si="17"/>
        <v>#DIV/0!</v>
      </c>
      <c r="C58" s="200">
        <f t="shared" si="16"/>
        <v>0</v>
      </c>
      <c r="D58" s="1167">
        <v>0.25</v>
      </c>
      <c r="E58" s="261">
        <f>'数据-汇总表'!E13</f>
        <v>0</v>
      </c>
      <c r="F58" s="691" t="e">
        <f t="shared" si="15"/>
        <v>#DIV/0!</v>
      </c>
      <c r="G58" s="1112" t="s">
        <v>2766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2767</v>
      </c>
      <c r="B59" s="262" t="e">
        <f t="shared" si="17"/>
        <v>#DIV/0!</v>
      </c>
      <c r="C59" s="200">
        <f t="shared" si="16"/>
        <v>0</v>
      </c>
      <c r="D59" s="1167">
        <v>0.25</v>
      </c>
      <c r="E59" s="261">
        <f>'数据-汇总表'!E14</f>
        <v>0</v>
      </c>
      <c r="F59" s="691" t="e">
        <f t="shared" si="15"/>
        <v>#DIV/0!</v>
      </c>
      <c r="G59" s="2707" t="s">
        <v>2757</v>
      </c>
      <c r="H59" s="1107">
        <f>项目基本情况!B37</f>
        <v>0</v>
      </c>
      <c r="I59" s="945">
        <f>SUMIF(修正!A45:A56,H59,修正!H45:H56)</f>
        <v>0</v>
      </c>
      <c r="J59" s="946"/>
      <c r="K59" s="1148"/>
      <c r="L59" s="944"/>
      <c r="M59" s="944"/>
      <c r="N59" s="944"/>
      <c r="O59" s="944"/>
    </row>
    <row r="60" spans="1:17" s="692" customFormat="1" ht="15" thickBot="1">
      <c r="A60" s="693" t="s">
        <v>2768</v>
      </c>
      <c r="B60" s="262" t="e">
        <f t="shared" si="17"/>
        <v>#DIV/0!</v>
      </c>
      <c r="C60" s="200">
        <f t="shared" si="16"/>
        <v>0</v>
      </c>
      <c r="D60" s="1167">
        <v>0.25</v>
      </c>
      <c r="E60" s="261">
        <f>'数据-汇总表'!E15</f>
        <v>0</v>
      </c>
      <c r="F60" s="691" t="e">
        <f t="shared" si="15"/>
        <v>#DIV/0!</v>
      </c>
      <c r="G60" s="2708" t="s">
        <v>2762</v>
      </c>
      <c r="H60" s="1117">
        <f>项目基本情况!C37</f>
        <v>0</v>
      </c>
      <c r="I60" s="945">
        <f>SUMIF(修正!A45:A56,H60,修正!H45:H56)</f>
        <v>0</v>
      </c>
      <c r="J60" s="946"/>
      <c r="K60" s="1147"/>
      <c r="L60" s="944"/>
      <c r="M60" s="944"/>
      <c r="N60" s="944"/>
      <c r="O60" s="944"/>
    </row>
    <row r="61" spans="1:17" s="692" customFormat="1" ht="15" thickBot="1">
      <c r="A61" s="695" t="s">
        <v>2769</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2662</v>
      </c>
      <c r="B64" s="759"/>
      <c r="C64" s="764"/>
      <c r="D64" s="764"/>
      <c r="E64" s="764"/>
      <c r="F64" s="765"/>
      <c r="G64" s="765"/>
      <c r="H64" s="764"/>
      <c r="I64" s="764"/>
      <c r="J64" s="764"/>
      <c r="K64" s="766"/>
      <c r="L64" s="767"/>
      <c r="M64" s="764"/>
      <c r="N64" s="764"/>
      <c r="O64" s="1162"/>
      <c r="P64" s="503"/>
      <c r="Q64" s="504"/>
    </row>
    <row r="65" spans="1:17" s="508" customFormat="1" ht="15">
      <c r="A65" s="2709" t="s">
        <v>2770</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4" t="s">
        <v>2790</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2576</v>
      </c>
      <c r="B70" s="528" t="s">
        <v>2542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2679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2792</v>
      </c>
      <c r="B1" s="241"/>
      <c r="C1" s="245" t="s">
        <v>2793</v>
      </c>
      <c r="D1" s="388">
        <f>SUM(D29:D30,D33:D39)</f>
        <v>0</v>
      </c>
      <c r="E1" s="2715"/>
      <c r="F1" s="2715"/>
      <c r="G1" s="2715"/>
      <c r="H1" s="2715"/>
      <c r="I1" s="2715"/>
      <c r="J1" s="2715"/>
      <c r="K1" s="1373"/>
      <c r="L1" s="2716" t="s">
        <v>2794</v>
      </c>
      <c r="M1" s="1083">
        <f>SUMPRODUCT((区片价!B5:B9=I2)*(区片价!C3:F3=E2)*(区片价!C5:F9))</f>
        <v>0</v>
      </c>
      <c r="N1" s="1086">
        <f>SUMPRODUCT((因素修正幅度!B5:B9=I2)*(因素修正幅度!C3:F3=E2)*(因素修正幅度!C5:F9))</f>
        <v>0</v>
      </c>
      <c r="O1" s="2717"/>
      <c r="P1" s="2717"/>
      <c r="Q1" s="1373"/>
      <c r="R1" s="1605" t="s">
        <v>2795</v>
      </c>
      <c r="S1" s="1605" t="s">
        <v>2796</v>
      </c>
      <c r="T1" s="1605" t="s">
        <v>2797</v>
      </c>
      <c r="U1" s="1605" t="s">
        <v>2798</v>
      </c>
      <c r="V1" s="1605" t="s">
        <v>2799</v>
      </c>
      <c r="W1" s="1609"/>
      <c r="X1" s="1609"/>
      <c r="Y1" s="1609"/>
      <c r="Z1" s="1609"/>
      <c r="AA1" s="1609"/>
      <c r="AB1" s="1609"/>
      <c r="AC1" s="1610"/>
      <c r="AD1" s="1611"/>
      <c r="AE1" s="1611"/>
      <c r="AF1" s="1611"/>
      <c r="AG1" s="1611"/>
      <c r="AH1" s="1611"/>
      <c r="AI1" s="1611"/>
      <c r="AJ1" s="1612"/>
    </row>
    <row r="2" spans="1:36" ht="15.75">
      <c r="A2" s="245" t="s">
        <v>2800</v>
      </c>
      <c r="B2" s="248" t="e">
        <f>C26</f>
        <v>#DIV/0!</v>
      </c>
      <c r="C2" s="2719" t="s">
        <v>2801</v>
      </c>
      <c r="D2" s="2720" t="s">
        <v>2802</v>
      </c>
      <c r="E2" s="2721"/>
      <c r="F2" s="2720" t="s">
        <v>2803</v>
      </c>
      <c r="G2" s="2722">
        <f>IF(E2="商业",项目基本情况!B37,IF(E2="办公",项目基本情况!C37,IF(E2="住宅",项目基本情况!D37,项目基本情况!E37)))</f>
        <v>0</v>
      </c>
      <c r="H2" s="2720" t="s">
        <v>2804</v>
      </c>
      <c r="I2" s="2722">
        <f>IF(E2="商业",项目基本情况!B38,IF(E2="办公",项目基本情况!C38,IF(E2="住宅",项目基本情况!D38,项目基本情况!E38)))</f>
        <v>0</v>
      </c>
      <c r="J2" s="2723"/>
      <c r="K2" s="1373"/>
      <c r="L2" s="2724" t="s">
        <v>2805</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2806</v>
      </c>
      <c r="B3" s="248" t="e">
        <f>ROUND(B2*10000/D1,0)</f>
        <v>#DIV/0!</v>
      </c>
      <c r="C3" s="2719" t="s">
        <v>2807</v>
      </c>
      <c r="D3" s="2720" t="s">
        <v>2808</v>
      </c>
      <c r="E3" s="2725"/>
      <c r="F3" s="2726" t="s">
        <v>2809</v>
      </c>
      <c r="G3" s="916" t="e">
        <f>IF(F3="宗地容积率",'数据-汇总表'!I4,IF(F3="估价对象容积率",'数据-汇总表'!I6,'数据-汇总表'!I7))</f>
        <v>#DIV/0!</v>
      </c>
      <c r="H3" s="198" t="s">
        <v>2810</v>
      </c>
      <c r="I3" s="947"/>
      <c r="J3" s="2723" t="s">
        <v>2811</v>
      </c>
      <c r="K3" s="1373"/>
      <c r="L3" s="2724" t="s">
        <v>2812</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4"/>
      <c r="B4" s="3265"/>
      <c r="C4" s="3265"/>
      <c r="D4" s="3266"/>
      <c r="E4" s="3266"/>
      <c r="F4" s="3266"/>
      <c r="G4" s="3266"/>
      <c r="H4" s="3266"/>
      <c r="I4" s="3266"/>
      <c r="J4" s="3267"/>
      <c r="K4" s="1373"/>
      <c r="L4" s="2724" t="s">
        <v>2813</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6" customFormat="1" ht="15.75" thickBot="1">
      <c r="A5" s="2727" t="s">
        <v>807</v>
      </c>
      <c r="B5" s="2728" t="s">
        <v>2814</v>
      </c>
      <c r="C5" s="917" t="e">
        <f>ROUND(IF(E2="商业",IF(F16="增加",C6*C7+C16,C6*C7-C16),IF(E2="住宅",IF(F16="增加",C6*C12+C16,C6*C12-C16),IF(F16="增加",C6+C16,C6-C16))),0)</f>
        <v>#DIV/0!</v>
      </c>
      <c r="D5" s="1789">
        <f>ROUND(IF(E2="商业",IF(F16="增加",C6+C16,C6-C16)),0)</f>
        <v>0</v>
      </c>
      <c r="E5" s="2729"/>
      <c r="F5" s="2729"/>
      <c r="G5" s="2730"/>
      <c r="H5" s="2730"/>
      <c r="I5" s="2730"/>
      <c r="J5" s="2731"/>
      <c r="K5" s="2732"/>
      <c r="L5" s="2724" t="s">
        <v>2815</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3"/>
      <c r="AD5" s="2734"/>
      <c r="AE5" s="2734"/>
      <c r="AF5" s="2734"/>
      <c r="AG5" s="2734"/>
      <c r="AH5" s="2734"/>
      <c r="AI5" s="2734"/>
      <c r="AJ5" s="2735"/>
    </row>
    <row r="6" spans="1:36" ht="15.75" thickBot="1">
      <c r="A6" s="2737" t="s">
        <v>2816</v>
      </c>
      <c r="B6" s="2738" t="s">
        <v>2817</v>
      </c>
      <c r="C6" s="918">
        <f>SUMIF(L1:L12,G2,M1:M12)</f>
        <v>0</v>
      </c>
      <c r="D6" s="2739" t="s">
        <v>2818</v>
      </c>
      <c r="E6" s="2740"/>
      <c r="F6" s="2740"/>
      <c r="G6" s="2741"/>
      <c r="H6" s="2741"/>
      <c r="I6" s="2741"/>
      <c r="J6" s="2742"/>
      <c r="K6" s="1844"/>
      <c r="L6" s="2724" t="s">
        <v>2819</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3"/>
      <c r="AD6" s="2734"/>
      <c r="AE6" s="2734"/>
      <c r="AF6" s="2734"/>
      <c r="AG6" s="2734"/>
      <c r="AH6" s="2734"/>
      <c r="AI6" s="2734"/>
      <c r="AJ6" s="2735"/>
    </row>
    <row r="7" spans="1:36" ht="24">
      <c r="A7" s="3268" t="str">
        <f>IF(E2="商业",IF(C8="不临58条商业街","",2),"")</f>
        <v/>
      </c>
      <c r="B7" s="2743" t="s">
        <v>2820</v>
      </c>
      <c r="C7" s="919" t="e">
        <f>IF(C8="不临58条商业街",1,ROUND(1+(1.6*E8+1.2*E9+0.8*E10+0.4*E11)*C9,4))</f>
        <v>#DIV/0!</v>
      </c>
      <c r="D7" s="2744" t="s">
        <v>2821</v>
      </c>
      <c r="E7" s="948"/>
      <c r="F7" s="2745"/>
      <c r="G7" s="2746"/>
      <c r="H7" s="2746"/>
      <c r="I7" s="2746"/>
      <c r="J7" s="2747"/>
      <c r="K7" s="1844"/>
      <c r="L7" s="2724" t="s">
        <v>2822</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8" t="s">
        <v>2823</v>
      </c>
      <c r="X7" s="1607">
        <f>G2</f>
        <v>0</v>
      </c>
      <c r="Y7" s="1607" t="s">
        <v>2824</v>
      </c>
      <c r="Z7" s="1608" t="e">
        <f>G3</f>
        <v>#DIV/0!</v>
      </c>
      <c r="AA7" s="1609"/>
      <c r="AB7" s="1609"/>
      <c r="AC7" s="1610"/>
      <c r="AD7" s="1611"/>
      <c r="AE7" s="1611"/>
      <c r="AF7" s="1611"/>
      <c r="AG7" s="1611"/>
      <c r="AH7" s="1611"/>
      <c r="AI7" s="1611"/>
      <c r="AJ7" s="1612"/>
    </row>
    <row r="8" spans="1:36" ht="15">
      <c r="A8" s="3269"/>
      <c r="B8" s="198" t="s">
        <v>2825</v>
      </c>
      <c r="C8" s="2748"/>
      <c r="D8" s="920" t="s">
        <v>139</v>
      </c>
      <c r="E8" s="921" t="e">
        <f>ROUND(C11/E7,4)</f>
        <v>#DIV/0!</v>
      </c>
      <c r="F8" s="2749" t="s">
        <v>2826</v>
      </c>
      <c r="G8" s="2750"/>
      <c r="H8" s="2750"/>
      <c r="I8" s="2750"/>
      <c r="J8" s="2751"/>
      <c r="K8" s="1373"/>
      <c r="L8" s="2724" t="s">
        <v>2827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61" t="s">
        <v>2828</v>
      </c>
      <c r="X8" s="3262"/>
      <c r="Y8" s="1613" t="s">
        <v>2829</v>
      </c>
      <c r="Z8" s="1613" t="s">
        <v>2830</v>
      </c>
      <c r="AA8" s="1613" t="s">
        <v>2831</v>
      </c>
      <c r="AB8" s="1613" t="s">
        <v>2832</v>
      </c>
      <c r="AC8" s="1613" t="s">
        <v>2833</v>
      </c>
      <c r="AD8" s="1613" t="s">
        <v>2834</v>
      </c>
      <c r="AE8" s="1613" t="s">
        <v>2835</v>
      </c>
      <c r="AF8" s="1613" t="s">
        <v>2836</v>
      </c>
      <c r="AG8" s="1613" t="s">
        <v>2837</v>
      </c>
      <c r="AH8" s="1613" t="s">
        <v>2838</v>
      </c>
      <c r="AI8" s="1613" t="s">
        <v>2839</v>
      </c>
      <c r="AJ8" s="1613" t="s">
        <v>2840</v>
      </c>
    </row>
    <row r="9" spans="1:36" ht="15">
      <c r="A9" s="3269"/>
      <c r="B9" s="198" t="s">
        <v>2841</v>
      </c>
      <c r="C9" s="922">
        <f>SUMIF(修正!C59:C119,C8,修正!E59:E119)</f>
        <v>0</v>
      </c>
      <c r="D9" s="200" t="s">
        <v>140</v>
      </c>
      <c r="E9" s="200" t="e">
        <f>ROUND(C11/E7,4)</f>
        <v>#DIV/0!</v>
      </c>
      <c r="F9" s="2749" t="s">
        <v>2842</v>
      </c>
      <c r="G9" s="2750"/>
      <c r="H9" s="2750"/>
      <c r="I9" s="2750"/>
      <c r="J9" s="2751"/>
      <c r="K9" s="1373"/>
      <c r="L9" s="2724" t="s">
        <v>2843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3" t="s">
        <v>2844</v>
      </c>
      <c r="X9" s="1614" t="s">
        <v>2845</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9"/>
      <c r="B10" s="198" t="s">
        <v>2846</v>
      </c>
      <c r="C10" s="200">
        <f>SUMIF(修正!C59:C119,C8,修正!F59:F119)</f>
        <v>0</v>
      </c>
      <c r="D10" s="200" t="s">
        <v>141</v>
      </c>
      <c r="E10" s="200" t="e">
        <f>ROUND(C11/E7,4)</f>
        <v>#DIV/0!</v>
      </c>
      <c r="F10" s="2749" t="s">
        <v>2847</v>
      </c>
      <c r="G10" s="2750"/>
      <c r="H10" s="2750"/>
      <c r="I10" s="2750"/>
      <c r="J10" s="2751"/>
      <c r="K10" s="1373"/>
      <c r="L10" s="2724" t="s">
        <v>2848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9"/>
      <c r="B11" s="2752" t="s">
        <v>2849</v>
      </c>
      <c r="C11" s="923">
        <f>C10/4</f>
        <v>0</v>
      </c>
      <c r="D11" s="923" t="s">
        <v>142</v>
      </c>
      <c r="E11" s="923" t="e">
        <f>ROUND(C11/E7,4)</f>
        <v>#DIV/0!</v>
      </c>
      <c r="F11" s="2753" t="s">
        <v>2850</v>
      </c>
      <c r="G11" s="2754"/>
      <c r="H11" s="2754"/>
      <c r="I11" s="2754"/>
      <c r="J11" s="2755"/>
      <c r="K11" s="1373"/>
      <c r="L11" s="2724" t="s">
        <v>2851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3" t="s">
        <v>2852</v>
      </c>
      <c r="X11" s="1617" t="s">
        <v>2853</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68" t="s">
        <v>2854</v>
      </c>
      <c r="B12" s="2756" t="s">
        <v>2855</v>
      </c>
      <c r="C12" s="919">
        <f>ROUND(C15*D15*E15*F15*G15*H15*I15*J15,4)</f>
        <v>1</v>
      </c>
      <c r="D12" s="2757" t="s">
        <v>2856</v>
      </c>
      <c r="E12" s="2758"/>
      <c r="F12" s="2758"/>
      <c r="G12" s="2759"/>
      <c r="H12" s="2759"/>
      <c r="I12" s="2759"/>
      <c r="J12" s="2760"/>
      <c r="K12" s="1373"/>
      <c r="L12" s="2761" t="s">
        <v>2857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3"/>
      <c r="X12" s="1619" t="s">
        <v>2858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0"/>
      <c r="B13" s="2762" t="s">
        <v>2859</v>
      </c>
      <c r="C13" s="2763" t="s">
        <v>2860</v>
      </c>
      <c r="D13" s="1810" t="s">
        <v>2861</v>
      </c>
      <c r="E13" s="1810" t="s">
        <v>2862</v>
      </c>
      <c r="F13" s="30" t="s">
        <v>2863</v>
      </c>
      <c r="G13" s="2764" t="s">
        <v>2864</v>
      </c>
      <c r="H13" s="2764" t="s">
        <v>2864</v>
      </c>
      <c r="I13" s="2764" t="s">
        <v>2864</v>
      </c>
      <c r="J13" s="2765" t="s">
        <v>2864</v>
      </c>
      <c r="K13" s="1373"/>
      <c r="L13" s="1373"/>
      <c r="M13" s="1373"/>
      <c r="N13" s="1373"/>
      <c r="O13" s="1373"/>
      <c r="P13" s="1373"/>
      <c r="Q13" s="1373"/>
      <c r="R13" s="1605">
        <v>12</v>
      </c>
      <c r="S13" s="1606"/>
      <c r="T13" s="1605" t="e">
        <f t="shared" si="0"/>
        <v>#DIV/0!</v>
      </c>
      <c r="U13" s="1606"/>
      <c r="V13" s="1605" t="e">
        <f t="shared" si="1"/>
        <v>#DIV/0!</v>
      </c>
      <c r="W13" s="3263"/>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70"/>
      <c r="B14" s="2766"/>
      <c r="C14" s="2767"/>
      <c r="D14" s="2768"/>
      <c r="E14" s="2768"/>
      <c r="F14" s="2769"/>
      <c r="G14" s="2770" t="s">
        <v>2865</v>
      </c>
      <c r="H14" s="2771"/>
      <c r="I14" s="2772"/>
      <c r="J14" s="2773"/>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1"/>
      <c r="B15" s="2774" t="s">
        <v>2866</v>
      </c>
      <c r="C15" s="229">
        <f>IF(C14="有",1.1,1)</f>
        <v>1</v>
      </c>
      <c r="D15" s="229">
        <f>IF(D14="有",1.1,1)</f>
        <v>1</v>
      </c>
      <c r="E15" s="229">
        <f>IF(E14="有",1.1,1)</f>
        <v>1</v>
      </c>
      <c r="F15" s="229">
        <f>IF(F14="500米范围内",1.2,IF(F14="500-1000米",1.1,1))</f>
        <v>1</v>
      </c>
      <c r="G15" s="949">
        <v>1</v>
      </c>
      <c r="H15" s="949">
        <v>1</v>
      </c>
      <c r="I15" s="949">
        <v>1</v>
      </c>
      <c r="J15" s="950">
        <v>1</v>
      </c>
      <c r="K15" s="1373"/>
      <c r="L15" s="2775" t="s">
        <v>2802</v>
      </c>
      <c r="M15" s="920" t="s">
        <v>2867</v>
      </c>
      <c r="N15" s="920" t="s">
        <v>2868</v>
      </c>
      <c r="O15" s="920" t="s">
        <v>2869</v>
      </c>
      <c r="P15" s="2776" t="s">
        <v>2870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8" t="s">
        <v>2871</v>
      </c>
      <c r="B16" s="2743" t="s">
        <v>2872</v>
      </c>
      <c r="C16" s="1803" t="e">
        <f>ROUND(SUM(G17:J17)/C17,0)</f>
        <v>#DIV/0!</v>
      </c>
      <c r="D16" s="2777" t="s">
        <v>2873</v>
      </c>
      <c r="E16" s="2778"/>
      <c r="F16" s="2779"/>
      <c r="G16" s="2780"/>
      <c r="H16" s="2780"/>
      <c r="I16" s="2780"/>
      <c r="J16" s="2781"/>
      <c r="K16" s="1373"/>
      <c r="L16" s="2782" t="s">
        <v>2874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9"/>
      <c r="B17" s="2783" t="s">
        <v>2875</v>
      </c>
      <c r="C17" s="924">
        <f>SUMPRODUCT((修正!A2:A5=E2)*(修正!B1:M1=G2)*(修正!B2:M5))</f>
        <v>0</v>
      </c>
      <c r="D17" s="2784" t="s">
        <v>2876</v>
      </c>
      <c r="E17" s="923" t="str">
        <f>IF(OR(G2="八级",G2="九级",G2="十级",G2="十一级",G2="十二级"),"五通一平","七通一平")</f>
        <v>七通一平</v>
      </c>
      <c r="F17" s="924" t="s">
        <v>2877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5" t="s">
        <v>2878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2879</v>
      </c>
      <c r="C18" s="926">
        <f>SUMIF(修正!C18:C39,E3,修正!E18:E39)</f>
        <v>0</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7.75" thickBot="1">
      <c r="A19" s="2787" t="s">
        <v>809</v>
      </c>
      <c r="B19" s="2788" t="s">
        <v>2880</v>
      </c>
      <c r="C19" s="927" t="e">
        <f>ROUND(IF(H19="按公示增长率计算",SUMPRODUCT((地价!A3:A22=YEAR(G19)&amp;"-"&amp;ROUNDUP(MONTH(G19)/3,0))*(地价!X2:AB2=E2)*(地价!X3:AB22)),IF(H19="地价指数",M20/M19,(1+I19)^O19)),4)</f>
        <v>#DIV/0!</v>
      </c>
      <c r="D19" s="2795" t="s">
        <v>2881</v>
      </c>
      <c r="E19" s="928">
        <v>41640</v>
      </c>
      <c r="F19" s="2795" t="s">
        <v>2882</v>
      </c>
      <c r="G19" s="929">
        <f>'数据-取费表'!B2</f>
        <v>43249</v>
      </c>
      <c r="H19" s="2796" t="s">
        <v>2883</v>
      </c>
      <c r="I19" s="930" t="str">
        <f>IF(H19="季度增幅（自定义）",SUMIF(N21:N24,E2,O21:O24),"")</f>
        <v/>
      </c>
      <c r="J19" s="2793"/>
      <c r="K19" s="1380"/>
      <c r="L19" s="2797" t="s">
        <v>2884</v>
      </c>
      <c r="M19" s="1737">
        <f>ROUND(SUMIF(地价!B2:F2,E2,地价!B22:F22),0)</f>
        <v>0</v>
      </c>
      <c r="N19" s="2798" t="s">
        <v>2885</v>
      </c>
      <c r="O19" s="931">
        <f>ROUNDDOWN(DATEDIF(E19,G19,"M")/3,0)</f>
        <v>17</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2886</v>
      </c>
      <c r="C20" s="932" t="e">
        <f>ROUND(POWER(1+G20,J20-I20)*(POWER(1+G20,I20)-1)/(POWER(1+G20,J20)-1),4)</f>
        <v>#DIV/0!</v>
      </c>
      <c r="D20" s="2804" t="s">
        <v>2887</v>
      </c>
      <c r="E20" s="1771">
        <f ca="1">存贷款利率!D4/100</f>
        <v>4.3499999999999997E-2</v>
      </c>
      <c r="F20" s="2804" t="s">
        <v>2878</v>
      </c>
      <c r="G20" s="937">
        <f>SUMIF(M15:P15,E2,M17:P17)</f>
        <v>0</v>
      </c>
      <c r="H20" s="2804" t="s">
        <v>2888</v>
      </c>
      <c r="I20" s="938" t="e">
        <f>SUMIF('数据-取费表'!C6:C15,E2,'数据-取费表'!F6:F15)/COUNTIF('数据-取费表'!C6:C15,E2)</f>
        <v>#DIV/0!</v>
      </c>
      <c r="J20" s="939">
        <f>IF(E2="住宅",70,IF(E2="商业",40,50))</f>
        <v>50</v>
      </c>
      <c r="K20" s="1380"/>
      <c r="L20" s="2805" t="s">
        <v>2889</v>
      </c>
      <c r="M20" s="1738">
        <f>ROUND(SUMPRODUCT((地价!A4:A22=YEAR(G19)&amp;"-"&amp;ROUNDUP(MONTH(G19)/3,0))*(地价!B2:F2=E2)*(地价!B4:F22)),0)</f>
        <v>0</v>
      </c>
      <c r="N20" s="2806" t="s">
        <v>2890</v>
      </c>
      <c r="O20" s="2807" t="s">
        <v>2891</v>
      </c>
      <c r="P20" s="2808" t="s">
        <v>2892</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2893</v>
      </c>
      <c r="C21" s="940" t="e">
        <f>IF(B21="容积率修正",IF(G3&lt;=10,D22,J22),C23)</f>
        <v>#DIV/0!</v>
      </c>
      <c r="D21" s="2811"/>
      <c r="E21" s="2811"/>
      <c r="F21" s="2811"/>
      <c r="G21" s="2811"/>
      <c r="H21" s="2811"/>
      <c r="I21" s="2811"/>
      <c r="J21" s="2812"/>
      <c r="K21" s="1380"/>
      <c r="N21" s="2813" t="s">
        <v>2894</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6" customFormat="1" ht="14.25">
      <c r="A22" s="2662" t="s">
        <v>2895</v>
      </c>
      <c r="B22" s="2814" t="s">
        <v>2896</v>
      </c>
      <c r="C22" s="1812" t="s">
        <v>2897</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1" t="e">
        <f>IF(G3&gt;10,D113,"——")</f>
        <v>#DIV/0!</v>
      </c>
      <c r="K22" s="1380"/>
      <c r="N22" s="2813" t="s">
        <v>2898</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2" t="s">
        <v>2899</v>
      </c>
      <c r="B23" s="2815" t="s">
        <v>2900</v>
      </c>
      <c r="C23" s="1016" t="e">
        <f>ROUND(IF(G3&gt;1,IF(I3&lt;7,SUMPRODUCT((B93:B98=I3)*(C92:N92=G2)*(C93:N98)),SUMIF(C92:N92,G2,C100:N100)),IF(I3&lt;7,SUMPRODUCT((B102:B107=I3)*(C92:N92=G2)*(C102:N107)),SUMIF(C92:N92,G2,C109:N109))),4)</f>
        <v>#DIV/0!</v>
      </c>
      <c r="D23" s="2771"/>
      <c r="E23" s="2771"/>
      <c r="F23" s="2816"/>
      <c r="G23" s="2817"/>
      <c r="H23" s="2818"/>
      <c r="I23" s="2819"/>
      <c r="J23" s="2820"/>
      <c r="K23" s="1373"/>
      <c r="N23" s="2813" t="s">
        <v>2901</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2902</v>
      </c>
      <c r="C24" s="927">
        <f>SUMIF(A45:A88,E2,B45:B88)</f>
        <v>0</v>
      </c>
      <c r="D24" s="2791"/>
      <c r="E24" s="2821"/>
      <c r="F24" s="2821"/>
      <c r="G24" s="2821"/>
      <c r="H24" s="2821"/>
      <c r="I24" s="2821"/>
      <c r="J24" s="2822"/>
      <c r="K24" s="1380"/>
      <c r="N24" s="2823" t="s">
        <v>2903</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2904</v>
      </c>
      <c r="C25" s="933"/>
      <c r="D25" s="2746"/>
      <c r="E25" s="2746"/>
      <c r="F25" s="2825"/>
      <c r="G25" s="2746"/>
      <c r="H25" s="2746"/>
      <c r="I25" s="2746"/>
      <c r="J25" s="2747"/>
      <c r="K25" s="1373"/>
      <c r="N25" s="2826" t="s">
        <v>2905</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7"/>
      <c r="B26" s="2814" t="s">
        <v>2906</v>
      </c>
      <c r="C26" s="206" t="e">
        <f>E29+SUM(E33:E39)</f>
        <v>#DIV/0!</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2907</v>
      </c>
      <c r="C27" s="934" t="e">
        <f>E30+SUM(I33:I39)</f>
        <v>#DIV/0!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2908</v>
      </c>
      <c r="C28" s="2838" t="s">
        <v>2909</v>
      </c>
      <c r="D28" s="2838" t="s">
        <v>2910</v>
      </c>
      <c r="E28" s="2839" t="s">
        <v>2911</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2912</v>
      </c>
      <c r="C29" s="206" t="e">
        <f>ROUND(C5*C18*C19*C20*C21*C24,0)</f>
        <v>#DIV/0!</v>
      </c>
      <c r="D29" s="2843"/>
      <c r="E29" s="945" t="e">
        <f>ROUND(C29*D29/10000,0)</f>
        <v>#DIV/0!</v>
      </c>
      <c r="F29" s="2844" t="s">
        <v>2913</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2914</v>
      </c>
      <c r="C30" s="229" t="e">
        <f>ROUND(IF(E2="工业",C29*M39,C29*M38),0)</f>
        <v>#DIV/0!</v>
      </c>
      <c r="D30" s="2849"/>
      <c r="E30" s="945" t="e">
        <f>ROUND(C30*D30/10000,0)</f>
        <v>#DIV/0!</v>
      </c>
      <c r="F30" s="2850" t="s">
        <v>2915</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2916</v>
      </c>
      <c r="C31" s="2855" t="s">
        <v>2917</v>
      </c>
      <c r="D31" s="2759"/>
      <c r="E31" s="2855"/>
      <c r="F31" s="2855"/>
      <c r="G31" s="2757" t="s">
        <v>2918</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2909</v>
      </c>
      <c r="D32" s="498" t="s">
        <v>2910</v>
      </c>
      <c r="E32" s="498" t="s">
        <v>2911</v>
      </c>
      <c r="F32" s="388" t="s">
        <v>2919</v>
      </c>
      <c r="G32" s="2858" t="s">
        <v>2909</v>
      </c>
      <c r="H32" s="2858" t="s">
        <v>2910</v>
      </c>
      <c r="I32" s="2858" t="s">
        <v>2911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278" t="s">
        <v>2920</v>
      </c>
      <c r="B33" s="2859" t="s">
        <v>2921</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9"/>
      <c r="B34" s="2763" t="s">
        <v>2922</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9"/>
      <c r="B35" s="2763" t="s">
        <v>2923</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3"/>
      <c r="L35" s="1373"/>
      <c r="M35" s="1373"/>
      <c r="N35" s="1373"/>
      <c r="O35" s="1373"/>
      <c r="P35" s="1373"/>
      <c r="Q35" s="1373"/>
      <c r="R35" s="1373"/>
      <c r="S35" s="1373"/>
      <c r="T35" s="1373"/>
      <c r="U35" s="1373"/>
      <c r="V35" s="1373"/>
      <c r="W35" s="1373"/>
      <c r="X35" s="1373"/>
      <c r="Y35" s="1373"/>
      <c r="Z35" s="1374"/>
    </row>
    <row r="36" spans="1:37" ht="13.5" thickBot="1">
      <c r="A36" s="3280"/>
      <c r="B36" s="2763" t="s">
        <v>2924</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2925</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3"/>
      <c r="L37" s="2862" t="s">
        <v>2926</v>
      </c>
      <c r="M37" s="2863"/>
      <c r="N37" s="1373"/>
      <c r="O37" s="1373"/>
      <c r="P37" s="1373"/>
      <c r="Q37" s="1373"/>
      <c r="R37" s="1373"/>
      <c r="S37" s="1373"/>
      <c r="T37" s="1373"/>
      <c r="U37" s="1373"/>
      <c r="V37" s="1373"/>
      <c r="W37" s="1373"/>
      <c r="X37" s="1373"/>
      <c r="Y37" s="1373"/>
      <c r="Z37" s="1374"/>
    </row>
    <row r="38" spans="1:37">
      <c r="A38" s="2861"/>
      <c r="B38" s="2763" t="s">
        <v>2927</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3"/>
      <c r="L38" s="1889" t="s">
        <v>2928</v>
      </c>
      <c r="M38" s="2864">
        <v>0.25</v>
      </c>
      <c r="N38" s="1373"/>
      <c r="O38" s="1373"/>
      <c r="P38" s="1373"/>
      <c r="Q38" s="1373"/>
      <c r="R38" s="1373"/>
      <c r="S38" s="1373"/>
      <c r="T38" s="1373"/>
      <c r="U38" s="1373"/>
      <c r="V38" s="1373"/>
      <c r="W38" s="1373"/>
      <c r="X38" s="1373"/>
      <c r="Y38" s="1373"/>
      <c r="Z38" s="1374"/>
    </row>
    <row r="39" spans="1:37" ht="13.5" thickBot="1">
      <c r="A39" s="2847"/>
      <c r="B39" s="2865" t="s">
        <v>2929</v>
      </c>
      <c r="C39" s="229" t="e">
        <f>ROUND(C5*C19*C20*C24*F39,0)</f>
        <v>#DIV/0!</v>
      </c>
      <c r="D39" s="2849"/>
      <c r="E39" s="229" t="e">
        <f t="shared" si="7"/>
        <v>#DIV/0!</v>
      </c>
      <c r="F39" s="935">
        <f>SUMIF(修正!A45:A56,G2,修正!H45:H56)</f>
        <v>0</v>
      </c>
      <c r="G39" s="229" t="e">
        <f t="shared" si="6"/>
        <v>#DIV/0!</v>
      </c>
      <c r="H39" s="229">
        <f t="shared" si="8"/>
        <v>0</v>
      </c>
      <c r="I39" s="229" t="e">
        <f t="shared" si="9"/>
        <v>#DIV/0!</v>
      </c>
      <c r="J39" s="2866"/>
      <c r="K39" s="1373"/>
      <c r="L39" s="2867" t="s">
        <v>2870</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2930</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2931</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2932</v>
      </c>
      <c r="B47" s="1811" t="s">
        <v>2933</v>
      </c>
      <c r="C47" s="1811" t="s">
        <v>2934</v>
      </c>
      <c r="D47" s="1811" t="s">
        <v>2935</v>
      </c>
      <c r="E47" s="819" t="s">
        <v>2936</v>
      </c>
      <c r="F47" s="2877" t="s">
        <v>2937</v>
      </c>
      <c r="G47" s="1811" t="s">
        <v>754</v>
      </c>
      <c r="H47" s="2878" t="s">
        <v>2938</v>
      </c>
      <c r="I47" s="1811" t="s">
        <v>2939</v>
      </c>
      <c r="J47" s="603" t="s">
        <v>2585</v>
      </c>
      <c r="K47" s="603" t="s">
        <v>2586</v>
      </c>
      <c r="L47" s="603" t="s">
        <v>2587</v>
      </c>
      <c r="M47" s="603" t="s">
        <v>2588</v>
      </c>
      <c r="N47" s="603" t="s">
        <v>2589</v>
      </c>
      <c r="AA47" s="1374"/>
      <c r="AB47" s="1374"/>
      <c r="AC47" s="1374"/>
      <c r="AD47" s="1374"/>
      <c r="AE47" s="1374"/>
      <c r="AF47" s="1374"/>
      <c r="AG47" s="1374"/>
      <c r="AH47" s="1374"/>
      <c r="AI47" s="1374"/>
      <c r="AJ47" s="1374"/>
      <c r="AK47" s="1374"/>
    </row>
    <row r="48" spans="1:37" s="1373" customFormat="1" ht="24.75">
      <c r="A48" s="2876" t="s">
        <v>2940</v>
      </c>
      <c r="B48" s="2879">
        <f>估价对象房地状况!C4</f>
        <v>0</v>
      </c>
      <c r="C48" s="2768"/>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76" t="s">
        <v>2941</v>
      </c>
      <c r="B49" s="2880" t="str">
        <f>估价对象房地状况!C18</f>
        <v>较好</v>
      </c>
      <c r="C49" s="2768"/>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6" t="s">
        <v>2942</v>
      </c>
      <c r="B50" s="2880">
        <f>估价对象房地状况!C19</f>
        <v>0</v>
      </c>
      <c r="C50" s="2768"/>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2943</v>
      </c>
      <c r="B51" s="2881" t="s">
        <v>2944</v>
      </c>
      <c r="C51" s="2768"/>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2945</v>
      </c>
      <c r="B52" s="2880" t="str">
        <f>估价对象房地状况!C24</f>
        <v>高速公路-京通快速路</v>
      </c>
      <c r="C52" s="2768"/>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2946</v>
      </c>
      <c r="B53" s="2882" t="s">
        <v>2947</v>
      </c>
      <c r="C53" s="2768"/>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3" t="s">
        <v>2948</v>
      </c>
      <c r="B54" s="1728" t="str">
        <f>估价对象房地状况!C21</f>
        <v>较好</v>
      </c>
      <c r="C54" s="2768"/>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3" t="s">
        <v>2949</v>
      </c>
      <c r="B55" s="2880" t="str">
        <f>估价对象房地状况!C22</f>
        <v>七通</v>
      </c>
      <c r="C55" s="2768"/>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4" t="s">
        <v>2950</v>
      </c>
      <c r="B56" s="2885" t="str">
        <f>估价对象房地状况!C20</f>
        <v>较好</v>
      </c>
      <c r="C56" s="2768"/>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2951</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2932</v>
      </c>
      <c r="B58" s="1811"/>
      <c r="C58" s="1811" t="s">
        <v>2934</v>
      </c>
      <c r="D58" s="1811" t="s">
        <v>2935</v>
      </c>
      <c r="E58" s="819" t="s">
        <v>2936</v>
      </c>
      <c r="F58" s="2877" t="s">
        <v>2952</v>
      </c>
      <c r="G58" s="1811" t="s">
        <v>754</v>
      </c>
      <c r="H58" s="2878" t="s">
        <v>2938</v>
      </c>
      <c r="I58" s="1811" t="s">
        <v>2939</v>
      </c>
      <c r="J58" s="603" t="s">
        <v>2585</v>
      </c>
      <c r="K58" s="603" t="s">
        <v>2586</v>
      </c>
      <c r="L58" s="603" t="s">
        <v>2587</v>
      </c>
      <c r="M58" s="603" t="s">
        <v>2588</v>
      </c>
      <c r="N58" s="603" t="s">
        <v>2589</v>
      </c>
      <c r="AA58" s="1374"/>
      <c r="AB58" s="1374"/>
      <c r="AC58" s="1374"/>
      <c r="AD58" s="1374"/>
      <c r="AE58" s="1374"/>
      <c r="AF58" s="1374"/>
      <c r="AG58" s="1374"/>
      <c r="AH58" s="1374"/>
      <c r="AI58" s="1374"/>
      <c r="AJ58" s="1374"/>
      <c r="AK58" s="1374"/>
    </row>
    <row r="59" spans="1:37" s="1373" customFormat="1" ht="24">
      <c r="A59" s="2876" t="s">
        <v>2953</v>
      </c>
      <c r="B59" s="2879">
        <f>估价对象房地状况!C17</f>
        <v>0</v>
      </c>
      <c r="C59" s="2768"/>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6" t="s">
        <v>2941</v>
      </c>
      <c r="B60" s="2880" t="str">
        <f>估价对象房地状况!C18</f>
        <v>较好</v>
      </c>
      <c r="C60" s="2768"/>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6" t="s">
        <v>2942</v>
      </c>
      <c r="B61" s="2880">
        <f>估价对象房地状况!C19</f>
        <v>0</v>
      </c>
      <c r="C61" s="2768"/>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2943</v>
      </c>
      <c r="B62" s="2881" t="s">
        <v>2944</v>
      </c>
      <c r="C62" s="2768"/>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2945</v>
      </c>
      <c r="B63" s="2880" t="str">
        <f>估价对象房地状况!C24</f>
        <v>高速公路-京通快速路</v>
      </c>
      <c r="C63" s="2768"/>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2946</v>
      </c>
      <c r="B64" s="2882" t="s">
        <v>2947</v>
      </c>
      <c r="C64" s="2768"/>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6" t="s">
        <v>2948</v>
      </c>
      <c r="B65" s="1728" t="str">
        <f>估价对象房地状况!C21</f>
        <v>较好</v>
      </c>
      <c r="C65" s="2768"/>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6" t="s">
        <v>2949</v>
      </c>
      <c r="B66" s="1728" t="str">
        <f>估价对象房地状况!C22</f>
        <v>七通</v>
      </c>
      <c r="C66" s="2768"/>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4" t="s">
        <v>2950</v>
      </c>
      <c r="B67" s="2886" t="str">
        <f>估价对象房地状况!C20</f>
        <v>较好</v>
      </c>
      <c r="C67" s="2768"/>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2954</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2932</v>
      </c>
      <c r="B69" s="1811"/>
      <c r="C69" s="1811" t="s">
        <v>2934</v>
      </c>
      <c r="D69" s="1811" t="s">
        <v>2935</v>
      </c>
      <c r="E69" s="819" t="s">
        <v>2936</v>
      </c>
      <c r="F69" s="2877" t="s">
        <v>2952</v>
      </c>
      <c r="G69" s="1811" t="s">
        <v>754</v>
      </c>
      <c r="H69" s="2878" t="s">
        <v>2938</v>
      </c>
      <c r="I69" s="1811" t="s">
        <v>2939</v>
      </c>
      <c r="J69" s="603" t="s">
        <v>2585</v>
      </c>
      <c r="K69" s="603" t="s">
        <v>2586</v>
      </c>
      <c r="L69" s="603" t="s">
        <v>2587</v>
      </c>
      <c r="M69" s="603" t="s">
        <v>2588</v>
      </c>
      <c r="N69" s="603" t="s">
        <v>2589</v>
      </c>
      <c r="AA69" s="1374"/>
      <c r="AB69" s="1374"/>
      <c r="AC69" s="1374"/>
      <c r="AD69" s="1374"/>
      <c r="AE69" s="1374"/>
      <c r="AF69" s="1374"/>
      <c r="AG69" s="1374"/>
      <c r="AH69" s="1374"/>
      <c r="AI69" s="1374"/>
      <c r="AJ69" s="1374"/>
      <c r="AK69" s="1374"/>
    </row>
    <row r="70" spans="1:37" s="1373" customFormat="1" ht="24">
      <c r="A70" s="2876" t="s">
        <v>2955</v>
      </c>
      <c r="B70" s="2879" t="str">
        <f>估价对象房地状况!C15</f>
        <v>较好</v>
      </c>
      <c r="C70" s="2768"/>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76" t="s">
        <v>2941</v>
      </c>
      <c r="B71" s="2880" t="str">
        <f>估价对象房地状况!C18</f>
        <v>较好</v>
      </c>
      <c r="C71" s="2768"/>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6" t="s">
        <v>2942</v>
      </c>
      <c r="B72" s="2880">
        <f>估价对象房地状况!C19</f>
        <v>0</v>
      </c>
      <c r="C72" s="2768"/>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2956</v>
      </c>
      <c r="B73" s="2880" t="str">
        <f>估价对象房地状况!C24</f>
        <v>高速公路-京通快速路</v>
      </c>
      <c r="C73" s="2768"/>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6" t="s">
        <v>2948</v>
      </c>
      <c r="B74" s="1728" t="str">
        <f>估价对象房地状况!C21</f>
        <v>较好</v>
      </c>
      <c r="C74" s="2768"/>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6" t="s">
        <v>2949</v>
      </c>
      <c r="B75" s="1728" t="str">
        <f>估价对象房地状况!C22</f>
        <v>七通</v>
      </c>
      <c r="C75" s="2768"/>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2946</v>
      </c>
      <c r="B76" s="2882" t="s">
        <v>2947</v>
      </c>
      <c r="C76" s="2768"/>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24">
      <c r="A77" s="2876" t="s">
        <v>2950</v>
      </c>
      <c r="B77" s="2879" t="str">
        <f>估价对象房地状况!C20</f>
        <v>较好</v>
      </c>
      <c r="C77" s="2768"/>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2957</v>
      </c>
      <c r="B78" s="2888"/>
      <c r="C78" s="2768"/>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2958</v>
      </c>
      <c r="B79" s="2873">
        <f>1+E81</f>
        <v>1</v>
      </c>
      <c r="C79" s="814"/>
      <c r="D79" s="814"/>
      <c r="E79" s="815"/>
      <c r="F79" s="2875"/>
      <c r="G79" s="6"/>
      <c r="H79" s="6"/>
      <c r="I79" s="6"/>
      <c r="J79" s="7"/>
      <c r="K79" s="7"/>
      <c r="L79" s="7"/>
      <c r="M79" s="7"/>
      <c r="N79" s="7"/>
      <c r="Z79" s="2718"/>
      <c r="AA79" s="2794"/>
      <c r="AG79" s="1375"/>
      <c r="AK79" s="2794"/>
    </row>
    <row r="80" spans="1:37" ht="24.75">
      <c r="A80" s="2876" t="s">
        <v>2932</v>
      </c>
      <c r="B80" s="1811"/>
      <c r="C80" s="1811" t="s">
        <v>2934</v>
      </c>
      <c r="D80" s="1811" t="s">
        <v>2935</v>
      </c>
      <c r="E80" s="819" t="s">
        <v>2936</v>
      </c>
      <c r="F80" s="2877" t="s">
        <v>2952</v>
      </c>
      <c r="G80" s="1811" t="s">
        <v>754</v>
      </c>
      <c r="H80" s="2878" t="s">
        <v>2938</v>
      </c>
      <c r="I80" s="1811" t="s">
        <v>2939</v>
      </c>
      <c r="J80" s="603" t="s">
        <v>2585</v>
      </c>
      <c r="K80" s="603" t="s">
        <v>2586</v>
      </c>
      <c r="L80" s="603" t="s">
        <v>2587</v>
      </c>
      <c r="M80" s="603" t="s">
        <v>2588</v>
      </c>
      <c r="N80" s="603" t="s">
        <v>2589</v>
      </c>
      <c r="Z80" s="2718"/>
      <c r="AA80" s="2794"/>
      <c r="AG80" s="1375"/>
      <c r="AK80" s="2794"/>
    </row>
    <row r="81" spans="1:37" ht="24">
      <c r="A81" s="2876" t="s">
        <v>2959</v>
      </c>
      <c r="B81" s="2880">
        <f>估价对象房地状况!G15</f>
        <v>0</v>
      </c>
      <c r="C81" s="2768"/>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8"/>
      <c r="AA81" s="2794"/>
      <c r="AG81" s="1375"/>
      <c r="AK81" s="2794"/>
    </row>
    <row r="82" spans="1:37" ht="14.25">
      <c r="A82" s="2876" t="s">
        <v>2941</v>
      </c>
      <c r="B82" s="2880">
        <f>估价对象房地状况!G16</f>
        <v>0</v>
      </c>
      <c r="C82" s="2768"/>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18"/>
      <c r="AA82" s="2794"/>
      <c r="AG82" s="1375"/>
      <c r="AK82" s="2794"/>
    </row>
    <row r="83" spans="1:37" ht="24">
      <c r="A83" s="2876" t="s">
        <v>2942</v>
      </c>
      <c r="B83" s="2880">
        <f>估价对象房地状况!G17</f>
        <v>0</v>
      </c>
      <c r="C83" s="2768"/>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18"/>
      <c r="AA83" s="2794"/>
      <c r="AG83" s="1375"/>
      <c r="AK83" s="2794"/>
    </row>
    <row r="84" spans="1:37" ht="14.25">
      <c r="A84" s="2876" t="s">
        <v>2956</v>
      </c>
      <c r="B84" s="2880">
        <f>估价对象房地状况!G22</f>
        <v>0</v>
      </c>
      <c r="C84" s="2768"/>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18"/>
      <c r="AA84" s="2794"/>
      <c r="AG84" s="1375"/>
      <c r="AK84" s="2794"/>
    </row>
    <row r="85" spans="1:37" ht="24">
      <c r="A85" s="2876" t="s">
        <v>2948</v>
      </c>
      <c r="B85" s="1728">
        <f>估价对象房地状况!G19</f>
        <v>0</v>
      </c>
      <c r="C85" s="2768"/>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18"/>
      <c r="AA85" s="2794"/>
      <c r="AG85" s="1375"/>
      <c r="AK85" s="2794"/>
    </row>
    <row r="86" spans="1:37" ht="24">
      <c r="A86" s="2876" t="s">
        <v>2949</v>
      </c>
      <c r="B86" s="1728">
        <f>估价对象房地状况!G20</f>
        <v>0</v>
      </c>
      <c r="C86" s="2768"/>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18"/>
      <c r="AA86" s="2794"/>
      <c r="AG86" s="1375"/>
      <c r="AK86" s="2794"/>
    </row>
    <row r="87" spans="1:37" ht="24">
      <c r="A87" s="2876" t="s">
        <v>2946</v>
      </c>
      <c r="B87" s="2882" t="s">
        <v>2960</v>
      </c>
      <c r="C87" s="2768"/>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18"/>
      <c r="AA87" s="2794"/>
      <c r="AG87" s="1375"/>
      <c r="AK87" s="2794"/>
    </row>
    <row r="88" spans="1:37" ht="15" thickBot="1">
      <c r="A88" s="2884" t="s">
        <v>2961</v>
      </c>
      <c r="B88" s="2889">
        <f>估价对象房地状况!G18</f>
        <v>0</v>
      </c>
      <c r="C88" s="2768"/>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18"/>
      <c r="AA88" s="2794"/>
      <c r="AG88" s="1375"/>
      <c r="AK88" s="2794"/>
    </row>
    <row r="90" spans="1:37">
      <c r="A90" s="3272" t="s">
        <v>2962</v>
      </c>
      <c r="B90" s="3272"/>
      <c r="C90" s="3272"/>
      <c r="D90" s="3272"/>
      <c r="E90" s="3272"/>
      <c r="F90" s="3272"/>
      <c r="G90" s="3272"/>
      <c r="H90" s="3272"/>
      <c r="I90" s="3272"/>
      <c r="J90" s="3272"/>
      <c r="K90" s="2890"/>
      <c r="L90" s="2890"/>
      <c r="M90" s="2890"/>
      <c r="N90" s="2890"/>
    </row>
    <row r="91" spans="1:37">
      <c r="A91" s="3274" t="s">
        <v>2963</v>
      </c>
      <c r="B91" s="3274" t="s">
        <v>2964</v>
      </c>
      <c r="C91" s="2844" t="s">
        <v>2965</v>
      </c>
      <c r="D91" s="2845"/>
      <c r="E91" s="2845"/>
      <c r="F91" s="2845"/>
      <c r="G91" s="2845"/>
      <c r="H91" s="2845"/>
      <c r="I91" s="2845"/>
      <c r="J91" s="2891"/>
      <c r="K91" s="2892"/>
      <c r="L91" s="2892"/>
      <c r="M91" s="2892"/>
      <c r="N91" s="2892"/>
    </row>
    <row r="92" spans="1:37">
      <c r="A92" s="3274"/>
      <c r="B92" s="3274"/>
      <c r="C92" s="945" t="s">
        <v>2829</v>
      </c>
      <c r="D92" s="945" t="s">
        <v>2830</v>
      </c>
      <c r="E92" s="945" t="s">
        <v>2831</v>
      </c>
      <c r="F92" s="945" t="s">
        <v>2832</v>
      </c>
      <c r="G92" s="945" t="s">
        <v>2833</v>
      </c>
      <c r="H92" s="945" t="s">
        <v>2834</v>
      </c>
      <c r="I92" s="945" t="s">
        <v>2835</v>
      </c>
      <c r="J92" s="945" t="s">
        <v>2836</v>
      </c>
      <c r="K92" s="945" t="s">
        <v>2837</v>
      </c>
      <c r="L92" s="945" t="s">
        <v>2838</v>
      </c>
      <c r="M92" s="945" t="s">
        <v>2839</v>
      </c>
      <c r="N92" s="945" t="s">
        <v>2840</v>
      </c>
    </row>
    <row r="93" spans="1:37">
      <c r="A93" s="3275" t="s">
        <v>2966</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76"/>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76"/>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76"/>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76"/>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76"/>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76"/>
      <c r="B99" s="2893" t="s">
        <v>2845</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77"/>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75" t="s">
        <v>2967</v>
      </c>
      <c r="B101" s="2897" t="s">
        <v>2968</v>
      </c>
      <c r="C101" s="2898" t="e">
        <f>$G$3</f>
        <v>#DIV/0!</v>
      </c>
      <c r="D101" s="2898" t="e">
        <f t="shared" ref="D101:N101" si="31">$G$3</f>
        <v>#DIV/0!</v>
      </c>
      <c r="E101" s="2898" t="e">
        <f t="shared" si="31"/>
        <v>#DIV/0!</v>
      </c>
      <c r="F101" s="2898" t="e">
        <f t="shared" si="31"/>
        <v>#DIV/0!</v>
      </c>
      <c r="G101" s="2898" t="e">
        <f t="shared" si="31"/>
        <v>#DIV/0!</v>
      </c>
      <c r="H101" s="2898" t="e">
        <f t="shared" si="31"/>
        <v>#DIV/0!</v>
      </c>
      <c r="I101" s="2898" t="e">
        <f t="shared" si="31"/>
        <v>#DIV/0!</v>
      </c>
      <c r="J101" s="2898" t="e">
        <f t="shared" si="31"/>
        <v>#DIV/0!</v>
      </c>
      <c r="K101" s="2898" t="e">
        <f t="shared" si="31"/>
        <v>#DIV/0!</v>
      </c>
      <c r="L101" s="2898" t="e">
        <f t="shared" si="31"/>
        <v>#DIV/0!</v>
      </c>
      <c r="M101" s="2898" t="e">
        <f t="shared" si="31"/>
        <v>#DIV/0!</v>
      </c>
      <c r="N101" s="2898" t="e">
        <f t="shared" si="31"/>
        <v>#DIV/0!</v>
      </c>
    </row>
    <row r="102" spans="1:14">
      <c r="A102" s="3276"/>
      <c r="B102" s="2893">
        <v>1</v>
      </c>
      <c r="C102" s="2894" t="e">
        <f>1.9362/C101</f>
        <v>#DIV/0!</v>
      </c>
      <c r="D102" s="2894" t="e">
        <f>1.9362/D101</f>
        <v>#DIV/0!</v>
      </c>
      <c r="E102" s="2894" t="e">
        <f>1.8629/E101</f>
        <v>#DIV/0!</v>
      </c>
      <c r="F102" s="2894" t="e">
        <f>1.8629/F101</f>
        <v>#DIV/0!</v>
      </c>
      <c r="G102" s="2894" t="e">
        <f>1.8629/G101</f>
        <v>#DIV/0!</v>
      </c>
      <c r="H102" s="2894" t="e">
        <f>1.8629/H101</f>
        <v>#DIV/0!</v>
      </c>
      <c r="I102" s="2894" t="e">
        <f>1.8629/I101</f>
        <v>#DIV/0!</v>
      </c>
      <c r="J102" s="2894" t="e">
        <f>1.942/J101</f>
        <v>#DIV/0!</v>
      </c>
      <c r="K102" s="2894" t="e">
        <f>1.942/K101</f>
        <v>#DIV/0!</v>
      </c>
      <c r="L102" s="2894" t="e">
        <f>1.942/L101</f>
        <v>#DIV/0!</v>
      </c>
      <c r="M102" s="2894" t="e">
        <f>1.942/M101</f>
        <v>#DIV/0!</v>
      </c>
      <c r="N102" s="2894" t="e">
        <f>1.942/N101</f>
        <v>#DIV/0!</v>
      </c>
    </row>
    <row r="103" spans="1:14">
      <c r="A103" s="3276"/>
      <c r="B103" s="2893">
        <v>2</v>
      </c>
      <c r="C103" s="2894" t="e">
        <f>1.4198/C101</f>
        <v>#DIV/0!</v>
      </c>
      <c r="D103" s="2894" t="e">
        <f>1.4198/D101</f>
        <v>#DIV/0!</v>
      </c>
      <c r="E103" s="2894" t="e">
        <f>1.3372/E101</f>
        <v>#DIV/0!</v>
      </c>
      <c r="F103" s="2894" t="e">
        <f>1.3372/F101</f>
        <v>#DIV/0!</v>
      </c>
      <c r="G103" s="2894" t="e">
        <f>1.3372/G101</f>
        <v>#DIV/0!</v>
      </c>
      <c r="H103" s="2894" t="e">
        <f>1.3372/H101</f>
        <v>#DIV/0!</v>
      </c>
      <c r="I103" s="2894" t="e">
        <f>1.3372/I101</f>
        <v>#DIV/0!</v>
      </c>
      <c r="J103" s="2894" t="e">
        <f>1.2799/J101</f>
        <v>#DIV/0!</v>
      </c>
      <c r="K103" s="2894" t="e">
        <f>1.2799/K101</f>
        <v>#DIV/0!</v>
      </c>
      <c r="L103" s="2894" t="e">
        <f>1.2799/L101</f>
        <v>#DIV/0!</v>
      </c>
      <c r="M103" s="2894" t="e">
        <f>1.2799/M101</f>
        <v>#DIV/0!</v>
      </c>
      <c r="N103" s="2894" t="e">
        <f>1.2799/N101</f>
        <v>#DIV/0!</v>
      </c>
    </row>
    <row r="104" spans="1:14">
      <c r="A104" s="3276"/>
      <c r="B104" s="2893">
        <v>3</v>
      </c>
      <c r="C104" s="2894" t="e">
        <f>1.1594/C101</f>
        <v>#DIV/0!</v>
      </c>
      <c r="D104" s="2894" t="e">
        <f>1.1594/D101</f>
        <v>#DIV/0!</v>
      </c>
      <c r="E104" s="2894" t="e">
        <f>1.0788/E101</f>
        <v>#DIV/0!</v>
      </c>
      <c r="F104" s="2894" t="e">
        <f>1.0788/F101</f>
        <v>#DIV/0!</v>
      </c>
      <c r="G104" s="2894" t="e">
        <f>1.0788/G101</f>
        <v>#DIV/0!</v>
      </c>
      <c r="H104" s="2894" t="e">
        <f>1.0788/H101</f>
        <v>#DIV/0!</v>
      </c>
      <c r="I104" s="2894" t="e">
        <f>1.0788/I101</f>
        <v>#DIV/0!</v>
      </c>
      <c r="J104" s="2894" t="e">
        <f>1.0072/J101</f>
        <v>#DIV/0!</v>
      </c>
      <c r="K104" s="2894" t="e">
        <f>1.0072/K101</f>
        <v>#DIV/0!</v>
      </c>
      <c r="L104" s="2894" t="e">
        <f>1.0072/L101</f>
        <v>#DIV/0!</v>
      </c>
      <c r="M104" s="2894" t="e">
        <f>1.0072/M101</f>
        <v>#DIV/0!</v>
      </c>
      <c r="N104" s="2894" t="e">
        <f>1.0072/N101</f>
        <v>#DIV/0!</v>
      </c>
    </row>
    <row r="105" spans="1:14">
      <c r="A105" s="3276"/>
      <c r="B105" s="2893">
        <v>4</v>
      </c>
      <c r="C105" s="2894" t="e">
        <f>0.9622/C101</f>
        <v>#DIV/0!</v>
      </c>
      <c r="D105" s="2894" t="e">
        <f>0.9622/D101</f>
        <v>#DIV/0!</v>
      </c>
      <c r="E105" s="2894" t="e">
        <f>0.8656/E101</f>
        <v>#DIV/0!</v>
      </c>
      <c r="F105" s="2894" t="e">
        <f>0.8656/F101</f>
        <v>#DIV/0!</v>
      </c>
      <c r="G105" s="2894" t="e">
        <f>0.8656/G101</f>
        <v>#DIV/0!</v>
      </c>
      <c r="H105" s="2894" t="e">
        <f>0.8656/H101</f>
        <v>#DIV/0!</v>
      </c>
      <c r="I105" s="2894" t="e">
        <f>0.8656/I101</f>
        <v>#DIV/0!</v>
      </c>
      <c r="J105" s="2894" t="e">
        <f>0.7525/J101</f>
        <v>#DIV/0!</v>
      </c>
      <c r="K105" s="2894" t="e">
        <f>0.7525/K101</f>
        <v>#DIV/0!</v>
      </c>
      <c r="L105" s="2894" t="e">
        <f>0.7525/L101</f>
        <v>#DIV/0!</v>
      </c>
      <c r="M105" s="2894" t="e">
        <f>0.7525/M101</f>
        <v>#DIV/0!</v>
      </c>
      <c r="N105" s="2894" t="e">
        <f>0.7525/N101</f>
        <v>#DIV/0!</v>
      </c>
    </row>
    <row r="106" spans="1:14">
      <c r="A106" s="3276"/>
      <c r="B106" s="2893">
        <v>5</v>
      </c>
      <c r="C106" s="2894" t="e">
        <f>0.8417/C101</f>
        <v>#DIV/0!</v>
      </c>
      <c r="D106" s="2894" t="e">
        <f>0.8417/D101</f>
        <v>#DIV/0!</v>
      </c>
      <c r="E106" s="2894" t="e">
        <f>0.7371/E101</f>
        <v>#DIV/0!</v>
      </c>
      <c r="F106" s="2894" t="e">
        <f>0.7371/F101</f>
        <v>#DIV/0!</v>
      </c>
      <c r="G106" s="2894" t="e">
        <f>0.7371/G101</f>
        <v>#DIV/0!</v>
      </c>
      <c r="H106" s="2894" t="e">
        <f>0.7371/H101</f>
        <v>#DIV/0!</v>
      </c>
      <c r="I106" s="2894" t="e">
        <f>0.7371/I101</f>
        <v>#DIV/0!</v>
      </c>
      <c r="J106" s="2894" t="e">
        <f>0.5659/J101</f>
        <v>#DIV/0!</v>
      </c>
      <c r="K106" s="2894" t="e">
        <f>0.5659/K101</f>
        <v>#DIV/0!</v>
      </c>
      <c r="L106" s="2894" t="e">
        <f>0.5659/L101</f>
        <v>#DIV/0!</v>
      </c>
      <c r="M106" s="2894" t="e">
        <f>0.5659/M101</f>
        <v>#DIV/0!</v>
      </c>
      <c r="N106" s="2894" t="e">
        <f>0.5659/N101</f>
        <v>#DIV/0!</v>
      </c>
    </row>
    <row r="107" spans="1:14">
      <c r="A107" s="3276"/>
      <c r="B107" s="2893">
        <v>6</v>
      </c>
      <c r="C107" s="2894" t="e">
        <f>0.7608/C101</f>
        <v>#DIV/0!</v>
      </c>
      <c r="D107" s="2894" t="e">
        <f>0.7608/D101</f>
        <v>#DIV/0!</v>
      </c>
      <c r="E107" s="2894" t="e">
        <f>0.6482/E101</f>
        <v>#DIV/0!</v>
      </c>
      <c r="F107" s="2894" t="e">
        <f>0.6482/F101</f>
        <v>#DIV/0!</v>
      </c>
      <c r="G107" s="2894" t="e">
        <f>0.6482/G101</f>
        <v>#DIV/0!</v>
      </c>
      <c r="H107" s="2894" t="e">
        <f>0.6482/H101</f>
        <v>#DIV/0!</v>
      </c>
      <c r="I107" s="2894" t="e">
        <f>0.6482/I101</f>
        <v>#DIV/0!</v>
      </c>
      <c r="J107" s="2894" t="e">
        <f>0.4525/J101</f>
        <v>#DIV/0!</v>
      </c>
      <c r="K107" s="2894" t="e">
        <f>0.4525/K101</f>
        <v>#DIV/0!</v>
      </c>
      <c r="L107" s="2894" t="e">
        <f>0.4525/L101</f>
        <v>#DIV/0!</v>
      </c>
      <c r="M107" s="2894" t="e">
        <f>0.4525/M101</f>
        <v>#DIV/0!</v>
      </c>
      <c r="N107" s="2894" t="e">
        <f>0.4525/N101</f>
        <v>#DIV/0!</v>
      </c>
    </row>
    <row r="108" spans="1:14">
      <c r="A108" s="3276"/>
      <c r="B108" s="3133" t="s">
        <v>2969</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77"/>
      <c r="B109" s="3134"/>
      <c r="C109" s="2896" t="e">
        <f>(-0.163*(C108^2)-0.59*C108+7617)*(10^(-4))/C101</f>
        <v>#DIV/0!</v>
      </c>
      <c r="D109" s="2896" t="e">
        <f>(-0.163*(D108^2)-0.59*D108+7617)*(10^(-4))/D101</f>
        <v>#DIV/0!</v>
      </c>
      <c r="E109" s="2896" t="e">
        <f>(-0.161*(E108^2)-7.509*E108+6533)*(10^(-4))/E101</f>
        <v>#DIV/0!</v>
      </c>
      <c r="F109" s="2896" t="e">
        <f>(-0.161*(F108^2)-7.509*F108+6533)*(10^(-4))/F101</f>
        <v>#DIV/0!</v>
      </c>
      <c r="G109" s="2896" t="e">
        <f>(-0.161*(G108^2)-7.509*G108+6533)*(10^(-4))/G101</f>
        <v>#DIV/0!</v>
      </c>
      <c r="H109" s="2896" t="e">
        <f>(-0.161*(H108^2)-7.509*H108+6533)*(10^(-4))/H101</f>
        <v>#DIV/0!</v>
      </c>
      <c r="I109" s="2896" t="e">
        <f>(-0.161*(I108^2)-7.509*I108+6533)*(10^(-4))/I101</f>
        <v>#DIV/0!</v>
      </c>
      <c r="J109" s="2896" t="e">
        <f>(-0.214*(J108^2)-21.991*J108+4665)*(10^(-4))/J101</f>
        <v>#DIV/0!</v>
      </c>
      <c r="K109" s="2896" t="e">
        <f>(-0.214*(K108^2)-21.991*K108+4665)*(10^(-4))/K101</f>
        <v>#DIV/0!</v>
      </c>
      <c r="L109" s="2896" t="e">
        <f>(-0.214*(L108^2)-21.991*L108+4665)*(10^(-4))/L101</f>
        <v>#DIV/0!</v>
      </c>
      <c r="M109" s="2896" t="e">
        <f>(-0.214*(M108^2)-21.991*M108+4665)*(10^(-4))/M101</f>
        <v>#DIV/0!</v>
      </c>
      <c r="N109" s="2896" t="e">
        <f>(-0.214*(N108^2)-21.991*N108+4665)*(10^(-4))/N101</f>
        <v>#DIV/0!</v>
      </c>
    </row>
    <row r="110" spans="1:14">
      <c r="A110" s="3273" t="s">
        <v>2970</v>
      </c>
      <c r="B110" s="3273"/>
      <c r="C110" s="3273"/>
      <c r="D110" s="3273"/>
      <c r="E110" s="3273"/>
      <c r="F110" s="3273"/>
      <c r="G110" s="3273"/>
      <c r="H110" s="3273"/>
      <c r="I110" s="3273"/>
      <c r="J110" s="3273"/>
      <c r="K110" s="2899"/>
      <c r="L110" s="2899"/>
      <c r="M110" s="2899"/>
      <c r="N110" s="2899"/>
    </row>
    <row r="112" spans="1:14" ht="13.5" thickBot="1"/>
    <row r="113" spans="1:13" ht="25.5" thickBot="1">
      <c r="A113" s="903" t="s">
        <v>2971</v>
      </c>
      <c r="B113" s="1290" t="e">
        <f>G3</f>
        <v>#DIV/0!</v>
      </c>
      <c r="C113" s="904" t="s">
        <v>2972</v>
      </c>
      <c r="D113" s="905" t="e">
        <f>SUMPRODUCT((A115:A118=F113)*(B114:M114=H113)*B115:M118)</f>
        <v>#DIV/0!</v>
      </c>
      <c r="E113" s="2722" t="s">
        <v>2802</v>
      </c>
      <c r="F113" s="2901">
        <f>E2</f>
        <v>0</v>
      </c>
      <c r="G113" s="2722" t="s">
        <v>2803</v>
      </c>
      <c r="H113" s="2901">
        <f>G2</f>
        <v>0</v>
      </c>
      <c r="I113" s="2722"/>
      <c r="J113" s="2902"/>
      <c r="K113" s="2902"/>
      <c r="L113" s="2902"/>
      <c r="M113" s="2902"/>
    </row>
    <row r="114" spans="1:13">
      <c r="A114" s="908"/>
      <c r="B114" s="2903" t="s">
        <v>2973</v>
      </c>
      <c r="C114" s="2903" t="s">
        <v>2974</v>
      </c>
      <c r="D114" s="2903" t="s">
        <v>2975</v>
      </c>
      <c r="E114" s="2904" t="s">
        <v>2976</v>
      </c>
      <c r="F114" s="2904" t="s">
        <v>2977</v>
      </c>
      <c r="G114" s="2904" t="s">
        <v>2978</v>
      </c>
      <c r="H114" s="2905" t="s">
        <v>2979</v>
      </c>
      <c r="I114" s="2905" t="s">
        <v>2980</v>
      </c>
      <c r="J114" s="2906" t="s">
        <v>2981</v>
      </c>
      <c r="K114" s="2906" t="s">
        <v>2982</v>
      </c>
      <c r="L114" s="2906" t="s">
        <v>2983</v>
      </c>
      <c r="M114" s="2907" t="s">
        <v>2984</v>
      </c>
    </row>
    <row r="115" spans="1:13">
      <c r="A115" s="909" t="s">
        <v>2867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2868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2869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1" t="s">
        <v>183</v>
      </c>
      <c r="B18" s="882" t="s">
        <v>560</v>
      </c>
      <c r="C18" s="883" t="s">
        <v>561</v>
      </c>
      <c r="D18" s="884"/>
      <c r="E18" s="882">
        <v>1</v>
      </c>
      <c r="F18" s="885" t="s">
        <v>562</v>
      </c>
      <c r="G18" s="886"/>
      <c r="H18" s="878"/>
      <c r="I18" s="878"/>
    </row>
    <row r="19" spans="1:9" s="887" customFormat="1" ht="19.5" customHeight="1">
      <c r="A19" s="3281"/>
      <c r="B19" s="3281" t="s">
        <v>563</v>
      </c>
      <c r="C19" s="883" t="s">
        <v>564</v>
      </c>
      <c r="D19" s="884"/>
      <c r="E19" s="882">
        <v>0.9</v>
      </c>
      <c r="F19" s="885" t="s">
        <v>565</v>
      </c>
      <c r="G19" s="886"/>
      <c r="H19" s="878"/>
      <c r="I19" s="878"/>
    </row>
    <row r="20" spans="1:9" s="887" customFormat="1" ht="19.5" customHeight="1">
      <c r="A20" s="3281"/>
      <c r="B20" s="3281"/>
      <c r="C20" s="883" t="s">
        <v>566</v>
      </c>
      <c r="D20" s="884"/>
      <c r="E20" s="882">
        <v>1.1000000000000001</v>
      </c>
      <c r="F20" s="885" t="s">
        <v>567</v>
      </c>
      <c r="G20" s="886"/>
      <c r="H20" s="878"/>
      <c r="I20" s="878"/>
    </row>
    <row r="21" spans="1:9" s="887" customFormat="1" ht="19.5" customHeight="1">
      <c r="A21" s="3281"/>
      <c r="B21" s="3281"/>
      <c r="C21" s="883" t="s">
        <v>568</v>
      </c>
      <c r="D21" s="884"/>
      <c r="E21" s="882">
        <v>0.8</v>
      </c>
      <c r="F21" s="885" t="s">
        <v>569</v>
      </c>
      <c r="G21" s="886"/>
      <c r="H21" s="878"/>
      <c r="I21" s="878"/>
    </row>
    <row r="22" spans="1:9" s="887" customFormat="1" ht="19.5" customHeight="1">
      <c r="A22" s="3281"/>
      <c r="B22" s="3281"/>
      <c r="C22" s="883" t="s">
        <v>570</v>
      </c>
      <c r="D22" s="884"/>
      <c r="E22" s="882">
        <v>0.5</v>
      </c>
      <c r="F22" s="885"/>
      <c r="G22" s="886"/>
      <c r="H22" s="878"/>
      <c r="I22" s="878"/>
    </row>
    <row r="23" spans="1:9" s="887" customFormat="1" ht="19.5" customHeight="1">
      <c r="A23" s="3281" t="s">
        <v>184</v>
      </c>
      <c r="B23" s="882" t="s">
        <v>560</v>
      </c>
      <c r="C23" s="883" t="s">
        <v>571</v>
      </c>
      <c r="D23" s="884"/>
      <c r="E23" s="882">
        <v>1</v>
      </c>
      <c r="F23" s="885" t="s">
        <v>572</v>
      </c>
      <c r="G23" s="886"/>
      <c r="H23" s="878"/>
      <c r="I23" s="878"/>
    </row>
    <row r="24" spans="1:9" s="887" customFormat="1" ht="19.5" customHeight="1">
      <c r="A24" s="3281"/>
      <c r="B24" s="3281" t="s">
        <v>563</v>
      </c>
      <c r="C24" s="883" t="s">
        <v>573</v>
      </c>
      <c r="D24" s="884"/>
      <c r="E24" s="882">
        <v>0.5</v>
      </c>
      <c r="F24" s="885"/>
      <c r="G24" s="886"/>
      <c r="H24" s="878"/>
      <c r="I24" s="878"/>
    </row>
    <row r="25" spans="1:9" s="887" customFormat="1" ht="19.5" customHeight="1">
      <c r="A25" s="3281"/>
      <c r="B25" s="3281"/>
      <c r="C25" s="883" t="s">
        <v>574</v>
      </c>
      <c r="D25" s="884"/>
      <c r="E25" s="882">
        <v>1.1000000000000001</v>
      </c>
      <c r="F25" s="885"/>
      <c r="G25" s="886"/>
      <c r="H25" s="878"/>
      <c r="I25" s="878"/>
    </row>
    <row r="26" spans="1:9" s="887" customFormat="1" ht="19.5" customHeight="1">
      <c r="A26" s="3281"/>
      <c r="B26" s="3281"/>
      <c r="C26" s="883" t="s">
        <v>575</v>
      </c>
      <c r="D26" s="884"/>
      <c r="E26" s="882">
        <v>1.1000000000000001</v>
      </c>
      <c r="F26" s="885"/>
      <c r="G26" s="886"/>
      <c r="H26" s="878"/>
      <c r="I26" s="878"/>
    </row>
    <row r="27" spans="1:9" s="887" customFormat="1" ht="19.5" customHeight="1">
      <c r="A27" s="3281"/>
      <c r="B27" s="3281"/>
      <c r="C27" s="883" t="s">
        <v>576</v>
      </c>
      <c r="D27" s="884"/>
      <c r="E27" s="882">
        <v>0.9</v>
      </c>
      <c r="F27" s="885" t="s">
        <v>577</v>
      </c>
      <c r="G27" s="886"/>
      <c r="H27" s="878"/>
      <c r="I27" s="878"/>
    </row>
    <row r="28" spans="1:9" s="887" customFormat="1" ht="19.5" customHeight="1">
      <c r="A28" s="3281"/>
      <c r="B28" s="3281"/>
      <c r="C28" s="883" t="s">
        <v>578</v>
      </c>
      <c r="D28" s="884"/>
      <c r="E28" s="882">
        <v>0.9</v>
      </c>
      <c r="F28" s="885" t="s">
        <v>579</v>
      </c>
      <c r="G28" s="886"/>
      <c r="H28" s="878"/>
      <c r="I28" s="878"/>
    </row>
    <row r="29" spans="1:9" s="887" customFormat="1" ht="19.5" customHeight="1">
      <c r="A29" s="3281"/>
      <c r="B29" s="3281"/>
      <c r="C29" s="883" t="s">
        <v>580</v>
      </c>
      <c r="D29" s="884"/>
      <c r="E29" s="882">
        <v>0.9</v>
      </c>
      <c r="F29" s="885" t="s">
        <v>581</v>
      </c>
      <c r="G29" s="886"/>
      <c r="H29" s="878"/>
      <c r="I29" s="878"/>
    </row>
    <row r="30" spans="1:9" s="887" customFormat="1" ht="19.5" customHeight="1">
      <c r="A30" s="3281"/>
      <c r="B30" s="3281"/>
      <c r="C30" s="883" t="s">
        <v>582</v>
      </c>
      <c r="D30" s="884"/>
      <c r="E30" s="882">
        <v>0.9</v>
      </c>
      <c r="F30" s="885" t="s">
        <v>583</v>
      </c>
      <c r="G30" s="886"/>
      <c r="H30" s="878"/>
      <c r="I30" s="878"/>
    </row>
    <row r="31" spans="1:9" s="887" customFormat="1" ht="19.5" customHeight="1">
      <c r="A31" s="3281"/>
      <c r="B31" s="3281"/>
      <c r="C31" s="883" t="s">
        <v>584</v>
      </c>
      <c r="D31" s="884"/>
      <c r="E31" s="882">
        <v>0.8</v>
      </c>
      <c r="F31" s="885" t="s">
        <v>585</v>
      </c>
      <c r="G31" s="886"/>
      <c r="H31" s="878"/>
      <c r="I31" s="878"/>
    </row>
    <row r="32" spans="1:9" s="887" customFormat="1" ht="19.5" customHeight="1">
      <c r="A32" s="3281"/>
      <c r="B32" s="3281"/>
      <c r="C32" s="883" t="s">
        <v>586</v>
      </c>
      <c r="D32" s="884"/>
      <c r="E32" s="882">
        <v>0.8</v>
      </c>
      <c r="F32" s="885" t="s">
        <v>587</v>
      </c>
      <c r="G32" s="886"/>
      <c r="H32" s="878"/>
      <c r="I32" s="878"/>
    </row>
    <row r="33" spans="1:9" s="887" customFormat="1" ht="19.5" customHeight="1">
      <c r="A33" s="3281" t="s">
        <v>185</v>
      </c>
      <c r="B33" s="882" t="s">
        <v>560</v>
      </c>
      <c r="C33" s="883" t="s">
        <v>588</v>
      </c>
      <c r="D33" s="884"/>
      <c r="E33" s="882">
        <v>1</v>
      </c>
      <c r="F33" s="885" t="s">
        <v>589</v>
      </c>
      <c r="G33" s="886"/>
      <c r="H33" s="878"/>
      <c r="I33" s="878"/>
    </row>
    <row r="34" spans="1:9" s="887" customFormat="1" ht="19.5" customHeight="1">
      <c r="A34" s="3281"/>
      <c r="B34" s="882" t="s">
        <v>563</v>
      </c>
      <c r="C34" s="883" t="s">
        <v>590</v>
      </c>
      <c r="D34" s="884"/>
      <c r="E34" s="882">
        <v>1.5</v>
      </c>
      <c r="F34" s="885" t="s">
        <v>591</v>
      </c>
      <c r="G34" s="886"/>
      <c r="H34" s="878"/>
      <c r="I34" s="878"/>
    </row>
    <row r="35" spans="1:9" s="887" customFormat="1" ht="19.5" customHeight="1">
      <c r="A35" s="3281" t="s">
        <v>186</v>
      </c>
      <c r="B35" s="882" t="s">
        <v>560</v>
      </c>
      <c r="C35" s="883" t="s">
        <v>592</v>
      </c>
      <c r="D35" s="884"/>
      <c r="E35" s="882">
        <v>1</v>
      </c>
      <c r="F35" s="885" t="s">
        <v>593</v>
      </c>
      <c r="G35" s="886"/>
      <c r="H35" s="878"/>
      <c r="I35" s="878"/>
    </row>
    <row r="36" spans="1:9" s="887" customFormat="1" ht="19.5" customHeight="1">
      <c r="A36" s="3281"/>
      <c r="B36" s="3281" t="s">
        <v>563</v>
      </c>
      <c r="C36" s="883" t="s">
        <v>594</v>
      </c>
      <c r="D36" s="884"/>
      <c r="E36" s="882">
        <v>1</v>
      </c>
      <c r="F36" s="885" t="s">
        <v>595</v>
      </c>
      <c r="G36" s="886"/>
      <c r="H36" s="878"/>
      <c r="I36" s="878"/>
    </row>
    <row r="37" spans="1:9" s="887" customFormat="1" ht="19.5" customHeight="1">
      <c r="A37" s="3281"/>
      <c r="B37" s="3281"/>
      <c r="C37" s="883" t="s">
        <v>596</v>
      </c>
      <c r="D37" s="884"/>
      <c r="E37" s="882">
        <v>1.5</v>
      </c>
      <c r="F37" s="885" t="s">
        <v>597</v>
      </c>
      <c r="G37" s="886"/>
      <c r="H37" s="878"/>
      <c r="I37" s="878"/>
    </row>
    <row r="38" spans="1:9" s="887" customFormat="1" ht="19.5" customHeight="1">
      <c r="A38" s="3281"/>
      <c r="B38" s="3281"/>
      <c r="C38" s="883" t="s">
        <v>598</v>
      </c>
      <c r="D38" s="884"/>
      <c r="E38" s="882">
        <v>1</v>
      </c>
      <c r="F38" s="885" t="s">
        <v>599</v>
      </c>
      <c r="G38" s="886"/>
      <c r="H38" s="878"/>
      <c r="I38" s="878"/>
    </row>
    <row r="39" spans="1:9" s="887" customFormat="1" ht="19.5" customHeight="1">
      <c r="A39" s="3281"/>
      <c r="B39" s="328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1" t="s">
        <v>614</v>
      </c>
      <c r="C61" s="818" t="s">
        <v>615</v>
      </c>
      <c r="D61" s="818" t="s">
        <v>616</v>
      </c>
      <c r="E61" s="895">
        <v>0.5</v>
      </c>
      <c r="F61" s="882">
        <v>80</v>
      </c>
    </row>
    <row r="62" spans="1:8" s="878" customFormat="1" ht="24">
      <c r="A62" s="882">
        <v>2</v>
      </c>
      <c r="B62" s="3281"/>
      <c r="C62" s="818" t="s">
        <v>617</v>
      </c>
      <c r="D62" s="818" t="s">
        <v>618</v>
      </c>
      <c r="E62" s="895">
        <v>0.5</v>
      </c>
      <c r="F62" s="882">
        <v>80</v>
      </c>
    </row>
    <row r="63" spans="1:8" s="878" customFormat="1" ht="36">
      <c r="A63" s="882">
        <v>3</v>
      </c>
      <c r="B63" s="3281"/>
      <c r="C63" s="818" t="s">
        <v>619</v>
      </c>
      <c r="D63" s="818" t="s">
        <v>620</v>
      </c>
      <c r="E63" s="895">
        <v>0.5</v>
      </c>
      <c r="F63" s="882">
        <v>80</v>
      </c>
    </row>
    <row r="64" spans="1:8" s="878" customFormat="1" ht="36">
      <c r="A64" s="882">
        <v>4</v>
      </c>
      <c r="B64" s="3281"/>
      <c r="C64" s="818" t="s">
        <v>621</v>
      </c>
      <c r="D64" s="818" t="s">
        <v>622</v>
      </c>
      <c r="E64" s="895">
        <v>0.4</v>
      </c>
      <c r="F64" s="882">
        <v>60</v>
      </c>
    </row>
    <row r="65" spans="1:6" s="878" customFormat="1" ht="36">
      <c r="A65" s="882">
        <v>5</v>
      </c>
      <c r="B65" s="3281"/>
      <c r="C65" s="818" t="s">
        <v>623</v>
      </c>
      <c r="D65" s="818" t="s">
        <v>624</v>
      </c>
      <c r="E65" s="895">
        <v>0.2</v>
      </c>
      <c r="F65" s="882">
        <v>30</v>
      </c>
    </row>
    <row r="66" spans="1:6" s="878" customFormat="1" ht="36">
      <c r="A66" s="882">
        <v>6</v>
      </c>
      <c r="B66" s="3281"/>
      <c r="C66" s="818" t="s">
        <v>625</v>
      </c>
      <c r="D66" s="818" t="s">
        <v>626</v>
      </c>
      <c r="E66" s="895">
        <v>0.3</v>
      </c>
      <c r="F66" s="882">
        <v>50</v>
      </c>
    </row>
    <row r="67" spans="1:6" s="878" customFormat="1" ht="36">
      <c r="A67" s="882">
        <v>7</v>
      </c>
      <c r="B67" s="3281"/>
      <c r="C67" s="818" t="s">
        <v>627</v>
      </c>
      <c r="D67" s="818" t="s">
        <v>628</v>
      </c>
      <c r="E67" s="895">
        <v>0.2</v>
      </c>
      <c r="F67" s="882">
        <v>30</v>
      </c>
    </row>
    <row r="68" spans="1:6" s="878" customFormat="1" ht="36">
      <c r="A68" s="882">
        <v>8</v>
      </c>
      <c r="B68" s="3281"/>
      <c r="C68" s="818" t="s">
        <v>629</v>
      </c>
      <c r="D68" s="818" t="s">
        <v>630</v>
      </c>
      <c r="E68" s="895">
        <v>0.2</v>
      </c>
      <c r="F68" s="882">
        <v>30</v>
      </c>
    </row>
    <row r="69" spans="1:6" s="878" customFormat="1" ht="36">
      <c r="A69" s="882">
        <v>9</v>
      </c>
      <c r="B69" s="3281"/>
      <c r="C69" s="818" t="s">
        <v>631</v>
      </c>
      <c r="D69" s="818" t="s">
        <v>632</v>
      </c>
      <c r="E69" s="895">
        <v>0.2</v>
      </c>
      <c r="F69" s="882">
        <v>30</v>
      </c>
    </row>
    <row r="70" spans="1:6" s="878" customFormat="1" ht="48">
      <c r="A70" s="882">
        <v>10</v>
      </c>
      <c r="B70" s="3281"/>
      <c r="C70" s="818" t="s">
        <v>633</v>
      </c>
      <c r="D70" s="818" t="s">
        <v>634</v>
      </c>
      <c r="E70" s="895">
        <v>0.2</v>
      </c>
      <c r="F70" s="882">
        <v>30</v>
      </c>
    </row>
    <row r="71" spans="1:6" s="878" customFormat="1" ht="48">
      <c r="A71" s="882">
        <v>11</v>
      </c>
      <c r="B71" s="3281"/>
      <c r="C71" s="818" t="s">
        <v>635</v>
      </c>
      <c r="D71" s="818" t="s">
        <v>636</v>
      </c>
      <c r="E71" s="895">
        <v>0.2</v>
      </c>
      <c r="F71" s="882">
        <v>30</v>
      </c>
    </row>
    <row r="72" spans="1:6" s="878" customFormat="1" ht="36">
      <c r="A72" s="882">
        <v>12</v>
      </c>
      <c r="B72" s="3281"/>
      <c r="C72" s="818" t="s">
        <v>637</v>
      </c>
      <c r="D72" s="818" t="s">
        <v>638</v>
      </c>
      <c r="E72" s="895">
        <v>0.5</v>
      </c>
      <c r="F72" s="882">
        <v>80</v>
      </c>
    </row>
    <row r="73" spans="1:6" s="878" customFormat="1" ht="24">
      <c r="A73" s="882">
        <v>13</v>
      </c>
      <c r="B73" s="3281"/>
      <c r="C73" s="818" t="s">
        <v>639</v>
      </c>
      <c r="D73" s="818" t="s">
        <v>640</v>
      </c>
      <c r="E73" s="895">
        <v>0.4</v>
      </c>
      <c r="F73" s="882">
        <v>60</v>
      </c>
    </row>
    <row r="74" spans="1:6" s="878" customFormat="1" ht="24">
      <c r="A74" s="882">
        <v>14</v>
      </c>
      <c r="B74" s="3281"/>
      <c r="C74" s="818" t="s">
        <v>641</v>
      </c>
      <c r="D74" s="818" t="s">
        <v>642</v>
      </c>
      <c r="E74" s="895">
        <v>0.2</v>
      </c>
      <c r="F74" s="882">
        <v>30</v>
      </c>
    </row>
    <row r="75" spans="1:6" s="878" customFormat="1" ht="24">
      <c r="A75" s="882">
        <v>15</v>
      </c>
      <c r="B75" s="3281"/>
      <c r="C75" s="818" t="s">
        <v>643</v>
      </c>
      <c r="D75" s="818" t="s">
        <v>644</v>
      </c>
      <c r="E75" s="895">
        <v>0.2</v>
      </c>
      <c r="F75" s="882">
        <v>30</v>
      </c>
    </row>
    <row r="76" spans="1:6" s="878" customFormat="1" ht="24">
      <c r="A76" s="882">
        <v>16</v>
      </c>
      <c r="B76" s="3281" t="s">
        <v>645</v>
      </c>
      <c r="C76" s="818" t="s">
        <v>646</v>
      </c>
      <c r="D76" s="818" t="s">
        <v>647</v>
      </c>
      <c r="E76" s="895">
        <v>0.5</v>
      </c>
      <c r="F76" s="882">
        <v>80</v>
      </c>
    </row>
    <row r="77" spans="1:6" s="878" customFormat="1" ht="24">
      <c r="A77" s="882">
        <v>17</v>
      </c>
      <c r="B77" s="3281"/>
      <c r="C77" s="818" t="s">
        <v>648</v>
      </c>
      <c r="D77" s="818" t="s">
        <v>649</v>
      </c>
      <c r="E77" s="895">
        <v>0.5</v>
      </c>
      <c r="F77" s="882">
        <v>80</v>
      </c>
    </row>
    <row r="78" spans="1:6" s="878" customFormat="1" ht="24">
      <c r="A78" s="882">
        <v>18</v>
      </c>
      <c r="B78" s="3281"/>
      <c r="C78" s="818" t="s">
        <v>650</v>
      </c>
      <c r="D78" s="818" t="s">
        <v>651</v>
      </c>
      <c r="E78" s="895">
        <v>0.2</v>
      </c>
      <c r="F78" s="882">
        <v>30</v>
      </c>
    </row>
    <row r="79" spans="1:6" s="878" customFormat="1" ht="24">
      <c r="A79" s="882">
        <v>19</v>
      </c>
      <c r="B79" s="3281"/>
      <c r="C79" s="818" t="s">
        <v>652</v>
      </c>
      <c r="D79" s="818" t="s">
        <v>653</v>
      </c>
      <c r="E79" s="895">
        <v>0.5</v>
      </c>
      <c r="F79" s="882">
        <v>80</v>
      </c>
    </row>
    <row r="80" spans="1:6" s="878" customFormat="1" ht="36">
      <c r="A80" s="882">
        <v>20</v>
      </c>
      <c r="B80" s="3281"/>
      <c r="C80" s="818" t="s">
        <v>654</v>
      </c>
      <c r="D80" s="818" t="s">
        <v>655</v>
      </c>
      <c r="E80" s="895">
        <v>0.2</v>
      </c>
      <c r="F80" s="882">
        <v>30</v>
      </c>
    </row>
    <row r="81" spans="1:6" s="878" customFormat="1" ht="36">
      <c r="A81" s="882">
        <v>21</v>
      </c>
      <c r="B81" s="3281"/>
      <c r="C81" s="818" t="s">
        <v>656</v>
      </c>
      <c r="D81" s="818" t="s">
        <v>657</v>
      </c>
      <c r="E81" s="895">
        <v>0.2</v>
      </c>
      <c r="F81" s="882">
        <v>30</v>
      </c>
    </row>
    <row r="82" spans="1:6" s="878" customFormat="1" ht="48">
      <c r="A82" s="882">
        <v>22</v>
      </c>
      <c r="B82" s="3281"/>
      <c r="C82" s="818" t="s">
        <v>658</v>
      </c>
      <c r="D82" s="818" t="s">
        <v>659</v>
      </c>
      <c r="E82" s="895">
        <v>0.2</v>
      </c>
      <c r="F82" s="882">
        <v>30</v>
      </c>
    </row>
    <row r="83" spans="1:6" s="878" customFormat="1" ht="48">
      <c r="A83" s="882">
        <v>23</v>
      </c>
      <c r="B83" s="3281"/>
      <c r="C83" s="818" t="s">
        <v>660</v>
      </c>
      <c r="D83" s="818" t="s">
        <v>661</v>
      </c>
      <c r="E83" s="895">
        <v>0.2</v>
      </c>
      <c r="F83" s="882">
        <v>30</v>
      </c>
    </row>
    <row r="84" spans="1:6" s="878" customFormat="1" ht="36">
      <c r="A84" s="882">
        <v>24</v>
      </c>
      <c r="B84" s="3281"/>
      <c r="C84" s="818" t="s">
        <v>662</v>
      </c>
      <c r="D84" s="818" t="s">
        <v>663</v>
      </c>
      <c r="E84" s="895">
        <v>0.2</v>
      </c>
      <c r="F84" s="882">
        <v>30</v>
      </c>
    </row>
    <row r="85" spans="1:6" s="878" customFormat="1" ht="36">
      <c r="A85" s="882">
        <v>25</v>
      </c>
      <c r="B85" s="3281"/>
      <c r="C85" s="818" t="s">
        <v>664</v>
      </c>
      <c r="D85" s="818" t="s">
        <v>665</v>
      </c>
      <c r="E85" s="895">
        <v>0.5</v>
      </c>
      <c r="F85" s="882">
        <v>80</v>
      </c>
    </row>
    <row r="86" spans="1:6" s="878" customFormat="1" ht="36">
      <c r="A86" s="882">
        <v>26</v>
      </c>
      <c r="B86" s="3281"/>
      <c r="C86" s="818" t="s">
        <v>666</v>
      </c>
      <c r="D86" s="818" t="s">
        <v>667</v>
      </c>
      <c r="E86" s="895">
        <v>0.2</v>
      </c>
      <c r="F86" s="882">
        <v>30</v>
      </c>
    </row>
    <row r="87" spans="1:6" s="878" customFormat="1" ht="36">
      <c r="A87" s="882">
        <v>27</v>
      </c>
      <c r="B87" s="3281"/>
      <c r="C87" s="818" t="s">
        <v>668</v>
      </c>
      <c r="D87" s="818" t="s">
        <v>669</v>
      </c>
      <c r="E87" s="895">
        <v>0.2</v>
      </c>
      <c r="F87" s="882">
        <v>30</v>
      </c>
    </row>
    <row r="88" spans="1:6" s="878" customFormat="1" ht="36">
      <c r="A88" s="882">
        <v>28</v>
      </c>
      <c r="B88" s="3281"/>
      <c r="C88" s="818" t="s">
        <v>670</v>
      </c>
      <c r="D88" s="818" t="s">
        <v>671</v>
      </c>
      <c r="E88" s="895">
        <v>0.2</v>
      </c>
      <c r="F88" s="882">
        <v>30</v>
      </c>
    </row>
    <row r="89" spans="1:6" s="878" customFormat="1" ht="24">
      <c r="A89" s="882">
        <v>29</v>
      </c>
      <c r="B89" s="3281"/>
      <c r="C89" s="818" t="s">
        <v>672</v>
      </c>
      <c r="D89" s="818" t="s">
        <v>673</v>
      </c>
      <c r="E89" s="895">
        <v>0.2</v>
      </c>
      <c r="F89" s="882">
        <v>30</v>
      </c>
    </row>
    <row r="90" spans="1:6" s="878" customFormat="1" ht="24">
      <c r="A90" s="882">
        <v>30</v>
      </c>
      <c r="B90" s="3281"/>
      <c r="C90" s="818" t="s">
        <v>674</v>
      </c>
      <c r="D90" s="818" t="s">
        <v>675</v>
      </c>
      <c r="E90" s="895">
        <v>0.2</v>
      </c>
      <c r="F90" s="882">
        <v>30</v>
      </c>
    </row>
    <row r="91" spans="1:6" s="878" customFormat="1" ht="36">
      <c r="A91" s="882">
        <v>31</v>
      </c>
      <c r="B91" s="3281"/>
      <c r="C91" s="818" t="s">
        <v>676</v>
      </c>
      <c r="D91" s="818" t="s">
        <v>677</v>
      </c>
      <c r="E91" s="895">
        <v>0.2</v>
      </c>
      <c r="F91" s="882">
        <v>30</v>
      </c>
    </row>
    <row r="92" spans="1:6" s="878" customFormat="1" ht="24">
      <c r="A92" s="882">
        <v>32</v>
      </c>
      <c r="B92" s="3281" t="s">
        <v>678</v>
      </c>
      <c r="C92" s="882" t="s">
        <v>679</v>
      </c>
      <c r="D92" s="818" t="s">
        <v>680</v>
      </c>
      <c r="E92" s="895">
        <v>0.2</v>
      </c>
      <c r="F92" s="882">
        <v>30</v>
      </c>
    </row>
    <row r="93" spans="1:6" s="878" customFormat="1" ht="36">
      <c r="A93" s="882">
        <v>33</v>
      </c>
      <c r="B93" s="3281"/>
      <c r="C93" s="882" t="s">
        <v>681</v>
      </c>
      <c r="D93" s="818" t="s">
        <v>682</v>
      </c>
      <c r="E93" s="895">
        <v>0.2</v>
      </c>
      <c r="F93" s="882">
        <v>30</v>
      </c>
    </row>
    <row r="94" spans="1:6" s="878" customFormat="1" ht="48">
      <c r="A94" s="882">
        <v>34</v>
      </c>
      <c r="B94" s="3281"/>
      <c r="C94" s="882" t="s">
        <v>683</v>
      </c>
      <c r="D94" s="818" t="s">
        <v>684</v>
      </c>
      <c r="E94" s="895">
        <v>0.2</v>
      </c>
      <c r="F94" s="882">
        <v>30</v>
      </c>
    </row>
    <row r="95" spans="1:6" s="878" customFormat="1" ht="36">
      <c r="A95" s="882">
        <v>35</v>
      </c>
      <c r="B95" s="3281"/>
      <c r="C95" s="882" t="s">
        <v>685</v>
      </c>
      <c r="D95" s="818" t="s">
        <v>686</v>
      </c>
      <c r="E95" s="895">
        <v>0.2</v>
      </c>
      <c r="F95" s="882">
        <v>30</v>
      </c>
    </row>
    <row r="96" spans="1:6" s="878" customFormat="1" ht="48">
      <c r="A96" s="882">
        <v>36</v>
      </c>
      <c r="B96" s="3281"/>
      <c r="C96" s="818" t="s">
        <v>687</v>
      </c>
      <c r="D96" s="818" t="s">
        <v>688</v>
      </c>
      <c r="E96" s="895">
        <v>0.2</v>
      </c>
      <c r="F96" s="882">
        <v>30</v>
      </c>
    </row>
    <row r="97" spans="1:6" s="878" customFormat="1" ht="36">
      <c r="A97" s="882">
        <v>37</v>
      </c>
      <c r="B97" s="3281"/>
      <c r="C97" s="882" t="s">
        <v>689</v>
      </c>
      <c r="D97" s="818" t="s">
        <v>690</v>
      </c>
      <c r="E97" s="895">
        <v>0.2</v>
      </c>
      <c r="F97" s="882">
        <v>30</v>
      </c>
    </row>
    <row r="98" spans="1:6" s="878" customFormat="1" ht="36">
      <c r="A98" s="882">
        <v>38</v>
      </c>
      <c r="B98" s="3281"/>
      <c r="C98" s="882" t="s">
        <v>691</v>
      </c>
      <c r="D98" s="818" t="s">
        <v>692</v>
      </c>
      <c r="E98" s="895">
        <v>0.2</v>
      </c>
      <c r="F98" s="882">
        <v>30</v>
      </c>
    </row>
    <row r="99" spans="1:6" s="878" customFormat="1" ht="36">
      <c r="A99" s="882">
        <v>39</v>
      </c>
      <c r="B99" s="3281" t="s">
        <v>693</v>
      </c>
      <c r="C99" s="882" t="s">
        <v>694</v>
      </c>
      <c r="D99" s="818" t="s">
        <v>695</v>
      </c>
      <c r="E99" s="895">
        <v>0.3</v>
      </c>
      <c r="F99" s="882">
        <v>50</v>
      </c>
    </row>
    <row r="100" spans="1:6" s="878" customFormat="1" ht="24">
      <c r="A100" s="882">
        <v>40</v>
      </c>
      <c r="B100" s="3281"/>
      <c r="C100" s="882" t="s">
        <v>696</v>
      </c>
      <c r="D100" s="818" t="s">
        <v>697</v>
      </c>
      <c r="E100" s="895">
        <v>0.2</v>
      </c>
      <c r="F100" s="882">
        <v>30</v>
      </c>
    </row>
    <row r="101" spans="1:6" s="878" customFormat="1" ht="36">
      <c r="A101" s="882">
        <v>41</v>
      </c>
      <c r="B101" s="328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1" t="s">
        <v>708</v>
      </c>
      <c r="C105" s="882" t="s">
        <v>709</v>
      </c>
      <c r="D105" s="818" t="s">
        <v>710</v>
      </c>
      <c r="E105" s="895">
        <v>0.2</v>
      </c>
      <c r="F105" s="882">
        <v>30</v>
      </c>
    </row>
    <row r="106" spans="1:6" s="878" customFormat="1" ht="36">
      <c r="A106" s="882">
        <v>46</v>
      </c>
      <c r="B106" s="3281"/>
      <c r="C106" s="882" t="s">
        <v>711</v>
      </c>
      <c r="D106" s="818" t="s">
        <v>712</v>
      </c>
      <c r="E106" s="895">
        <v>0.2</v>
      </c>
      <c r="F106" s="882">
        <v>30</v>
      </c>
    </row>
    <row r="107" spans="1:6" s="878" customFormat="1" ht="36">
      <c r="A107" s="882">
        <v>47</v>
      </c>
      <c r="B107" s="3281" t="s">
        <v>713</v>
      </c>
      <c r="C107" s="882" t="s">
        <v>714</v>
      </c>
      <c r="D107" s="818" t="s">
        <v>715</v>
      </c>
      <c r="E107" s="895">
        <v>0.3</v>
      </c>
      <c r="F107" s="882">
        <v>50</v>
      </c>
    </row>
    <row r="108" spans="1:6" s="878" customFormat="1" ht="36">
      <c r="A108" s="882">
        <v>48</v>
      </c>
      <c r="B108" s="328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1" t="s">
        <v>724</v>
      </c>
      <c r="C111" s="882" t="s">
        <v>725</v>
      </c>
      <c r="D111" s="818" t="s">
        <v>726</v>
      </c>
      <c r="E111" s="895">
        <v>0.2</v>
      </c>
      <c r="F111" s="882">
        <v>30</v>
      </c>
    </row>
    <row r="112" spans="1:6" s="878" customFormat="1" ht="24">
      <c r="A112" s="882">
        <v>52</v>
      </c>
      <c r="B112" s="3281"/>
      <c r="C112" s="882" t="s">
        <v>727</v>
      </c>
      <c r="D112" s="818" t="s">
        <v>728</v>
      </c>
      <c r="E112" s="895">
        <v>0.2</v>
      </c>
      <c r="F112" s="882">
        <v>30</v>
      </c>
    </row>
    <row r="113" spans="1:6" s="878" customFormat="1" ht="24">
      <c r="A113" s="882">
        <v>53</v>
      </c>
      <c r="B113" s="328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1" t="s">
        <v>737</v>
      </c>
      <c r="C116" s="882" t="s">
        <v>738</v>
      </c>
      <c r="D116" s="818" t="s">
        <v>739</v>
      </c>
      <c r="E116" s="895">
        <v>0.2</v>
      </c>
      <c r="F116" s="882">
        <v>30</v>
      </c>
    </row>
    <row r="117" spans="1:6" ht="36">
      <c r="A117" s="882">
        <v>57</v>
      </c>
      <c r="B117" s="328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2993</v>
      </c>
    </row>
    <row r="2" spans="1:5" ht="15.75">
      <c r="A2" s="2908" t="s">
        <v>2985</v>
      </c>
      <c r="B2" s="2909" t="e">
        <f ca="1">SUMIF(B6:B13,"&lt;&gt;#ref!",B6:B13)</f>
        <v>#DIV/0!</v>
      </c>
      <c r="C2" s="2908" t="s">
        <v>2986</v>
      </c>
      <c r="D2" s="2908" t="s">
        <v>2987</v>
      </c>
      <c r="E2" s="2909" t="e">
        <f ca="1">SUM(E6:E13)</f>
        <v>#REF!</v>
      </c>
    </row>
    <row r="3" spans="1:5" ht="15.75">
      <c r="A3" s="2908" t="s">
        <v>2988</v>
      </c>
      <c r="B3" s="2909" t="e">
        <f ca="1">ROUND(B2*10000/E2,0)</f>
        <v>#DIV/0!</v>
      </c>
      <c r="C3" s="2908" t="s">
        <v>2994</v>
      </c>
      <c r="D3" s="2910"/>
      <c r="E3" s="2910"/>
    </row>
    <row r="4" spans="1:5" ht="15.75">
      <c r="A4" s="2911"/>
      <c r="B4" s="2910"/>
      <c r="C4" s="2910"/>
      <c r="D4" s="2910"/>
      <c r="E4" s="2910"/>
    </row>
    <row r="5" spans="1:5" ht="28.5">
      <c r="A5" s="2912" t="s">
        <v>2989</v>
      </c>
      <c r="B5" s="2908" t="s">
        <v>2990</v>
      </c>
      <c r="C5" s="2909"/>
      <c r="D5" s="2910"/>
      <c r="E5" s="2908" t="s">
        <v>2991</v>
      </c>
    </row>
    <row r="6" spans="1:5" ht="15.75">
      <c r="A6" s="2913" t="s">
        <v>2992</v>
      </c>
      <c r="B6" s="2909" t="e">
        <f ca="1">SUMIF(INDIRECT("'"&amp;A6&amp;"'"&amp;"!A:A"),"总价",INDIRECT("'"&amp;A6&amp;"'"&amp;"!B:B"))</f>
        <v>#DIV/0!</v>
      </c>
      <c r="C6" s="2908" t="s">
        <v>2986</v>
      </c>
      <c r="D6" s="2910"/>
      <c r="E6" s="2576">
        <f ca="1">SUMIF(INDIRECT("'"&amp;A6&amp;"'"&amp;"!C:C"),"建筑面积",INDIRECT("'"&amp;A6&amp;"'"&amp;"!D:D"))</f>
        <v>0</v>
      </c>
    </row>
    <row r="7" spans="1:5" ht="15.75">
      <c r="A7" s="2913"/>
      <c r="B7" s="2909" t="e">
        <f ca="1">SUMIF(INDIRECT("'"&amp;A7&amp;"'"&amp;"!A:A"),"总价",INDIRECT("'"&amp;A7&amp;"'"&amp;"!B:B"))</f>
        <v>#REF!</v>
      </c>
      <c r="C7" s="2908" t="s">
        <v>2986</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2986</v>
      </c>
      <c r="D8" s="2910"/>
      <c r="E8" s="2576" t="e">
        <f t="shared" ca="1" si="0"/>
        <v>#REF!</v>
      </c>
    </row>
    <row r="9" spans="1:5" ht="15.75">
      <c r="A9" s="2913"/>
      <c r="B9" s="2909" t="e">
        <f t="shared" ca="1" si="1"/>
        <v>#REF!</v>
      </c>
      <c r="C9" s="2908" t="s">
        <v>2986</v>
      </c>
      <c r="D9" s="2910"/>
      <c r="E9" s="2576" t="e">
        <f t="shared" ca="1" si="0"/>
        <v>#REF!</v>
      </c>
    </row>
    <row r="10" spans="1:5" ht="15.75">
      <c r="A10" s="2913"/>
      <c r="B10" s="2909" t="e">
        <f t="shared" ca="1" si="1"/>
        <v>#REF!</v>
      </c>
      <c r="C10" s="2908" t="s">
        <v>2986</v>
      </c>
      <c r="D10" s="2910"/>
      <c r="E10" s="2576" t="e">
        <f t="shared" ca="1" si="0"/>
        <v>#REF!</v>
      </c>
    </row>
    <row r="11" spans="1:5" ht="15.75">
      <c r="A11" s="2913"/>
      <c r="B11" s="2909" t="e">
        <f t="shared" ca="1" si="1"/>
        <v>#REF!</v>
      </c>
      <c r="C11" s="2908" t="s">
        <v>2986</v>
      </c>
      <c r="D11" s="2910"/>
      <c r="E11" s="2576" t="e">
        <f t="shared" ca="1" si="0"/>
        <v>#REF!</v>
      </c>
    </row>
    <row r="12" spans="1:5" ht="15.75">
      <c r="A12" s="2913"/>
      <c r="B12" s="2909" t="e">
        <f t="shared" ca="1" si="1"/>
        <v>#REF!</v>
      </c>
      <c r="C12" s="2908" t="s">
        <v>2986</v>
      </c>
      <c r="D12" s="2910"/>
      <c r="E12" s="2576" t="e">
        <f t="shared" ca="1" si="0"/>
        <v>#REF!</v>
      </c>
    </row>
    <row r="13" spans="1:5" ht="15.75">
      <c r="A13" s="2913"/>
      <c r="B13" s="2909" t="e">
        <f t="shared" ca="1" si="1"/>
        <v>#REF!</v>
      </c>
      <c r="C13" s="2908" t="s">
        <v>2986</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7" t="s">
        <v>1150</v>
      </c>
      <c r="C1" s="3287"/>
      <c r="D1" s="3287"/>
      <c r="E1" s="3287"/>
      <c r="F1" s="3287"/>
      <c r="G1" s="3286" t="s">
        <v>1151</v>
      </c>
      <c r="H1" s="3286"/>
      <c r="I1" s="3286"/>
      <c r="J1" s="3286"/>
      <c r="K1" s="3286"/>
      <c r="L1" s="3286"/>
      <c r="N1" s="3286" t="s">
        <v>1152</v>
      </c>
      <c r="O1" s="3286"/>
      <c r="P1" s="3286"/>
      <c r="Q1" s="3286"/>
      <c r="R1" s="1449"/>
      <c r="S1" s="3286" t="s">
        <v>1153</v>
      </c>
      <c r="T1" s="3286"/>
      <c r="U1" s="3286"/>
      <c r="V1" s="3286"/>
      <c r="X1" s="3285" t="s">
        <v>1154</v>
      </c>
      <c r="Y1" s="3286"/>
      <c r="Z1" s="3286"/>
      <c r="AA1" s="3286"/>
      <c r="AB1" s="3286"/>
      <c r="AD1" s="3285" t="s">
        <v>1155</v>
      </c>
      <c r="AE1" s="3286"/>
      <c r="AF1" s="3286"/>
      <c r="AG1" s="3286"/>
      <c r="AH1" s="3286"/>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7" customFormat="1" ht="14.25">
      <c r="A3" s="2936" t="s">
        <v>3022</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1.4517</v>
      </c>
      <c r="Y3" s="2934">
        <f>ROUND(SUMPRODUCT(PRODUCT(1+O3:O$21)),4)</f>
        <v>1.2928999999999999</v>
      </c>
      <c r="Z3" s="2934">
        <f t="shared" ref="Z3:Z19" si="0">Y3</f>
        <v>1.2928999999999999</v>
      </c>
      <c r="AA3" s="2934">
        <f>ROUND(SUMPRODUCT(PRODUCT(1+P3:P$21)),4)</f>
        <v>1.5068999999999999</v>
      </c>
      <c r="AB3" s="2934">
        <f>ROUND(SUMPRODUCT(PRODUCT(1+Q3:Q$21)),4)</f>
        <v>1.2557</v>
      </c>
      <c r="AD3" s="2935">
        <f>ROUND(AVERAGE(I3:I$22)/100,4)</f>
        <v>2.2800000000000001E-2</v>
      </c>
      <c r="AE3" s="2935">
        <f>ROUND(AVERAGE(J3:J$22)/100,4)</f>
        <v>1.5699999999999999E-2</v>
      </c>
      <c r="AF3" s="2935">
        <f t="shared" ref="AF3:AF20" si="1">AE3</f>
        <v>1.5699999999999999E-2</v>
      </c>
      <c r="AG3" s="2935">
        <f>ROUND(AVERAGE(K3:K$22)/100,4)</f>
        <v>2.5100000000000001E-2</v>
      </c>
      <c r="AH3" s="2935">
        <f>ROUND(AVERAGE(L3:L$22)/100,4)</f>
        <v>1.35E-2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3028</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7">
        <v>2018</v>
      </c>
      <c r="H5" s="1733">
        <v>2</v>
      </c>
      <c r="I5" s="2922">
        <v>0</v>
      </c>
      <c r="J5" s="2922">
        <v>0</v>
      </c>
      <c r="K5" s="2922">
        <v>0</v>
      </c>
      <c r="L5" s="2922">
        <v>0</v>
      </c>
      <c r="N5" s="1470">
        <f t="shared" ref="N5" si="7">I5/100</f>
        <v>0</v>
      </c>
      <c r="O5" s="1470">
        <f t="shared" ref="O5" si="8">J5/100</f>
        <v>0</v>
      </c>
      <c r="P5" s="1470">
        <f t="shared" ref="P5" si="9">K5/100</f>
        <v>0</v>
      </c>
      <c r="Q5" s="1470">
        <f t="shared" ref="Q5" si="10">L5/100</f>
        <v>0</v>
      </c>
      <c r="R5" s="1735"/>
      <c r="S5" s="1736"/>
      <c r="T5" s="1735"/>
      <c r="U5" s="1735"/>
      <c r="V5" s="1735"/>
      <c r="W5" s="2926" t="s">
        <v>3023</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3021</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38">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4" t="s">
        <v>3018</v>
      </c>
      <c r="B7" s="1472">
        <v>439</v>
      </c>
      <c r="C7" s="1472">
        <v>327</v>
      </c>
      <c r="D7" s="1472">
        <f>C7</f>
        <v>327</v>
      </c>
      <c r="E7" s="1472">
        <v>627</v>
      </c>
      <c r="F7" s="1473">
        <v>283</v>
      </c>
      <c r="G7" s="2924">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3019</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0"/>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19"/>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6"/>
      <c r="AD9" s="1791">
        <f>ROUND(AVERAGE(I9:I$22)/100,4)</f>
        <v>2.46E-2</v>
      </c>
      <c r="AE9" s="1791">
        <f>ROUND(AVERAGE(J9:J$22)/100,4)</f>
        <v>1.6E-2</v>
      </c>
      <c r="AF9" s="1791">
        <f t="shared" si="1"/>
        <v>1.6E-2</v>
      </c>
      <c r="AG9" s="1791">
        <f>ROUND(AVERAGE(K9:K$22)/100,4)</f>
        <v>2.75E-2</v>
      </c>
      <c r="AH9" s="1791">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0"/>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4" t="s">
        <v>154</v>
      </c>
      <c r="B11" s="1472">
        <v>392</v>
      </c>
      <c r="C11" s="1472">
        <v>302</v>
      </c>
      <c r="D11" s="1472">
        <f>C11</f>
        <v>302</v>
      </c>
      <c r="E11" s="1472">
        <v>553</v>
      </c>
      <c r="F11" s="1473">
        <v>266</v>
      </c>
      <c r="G11" s="3288">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83"/>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83"/>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84"/>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82">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83"/>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83"/>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84"/>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82">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83"/>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83"/>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84"/>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89">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90"/>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90"/>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91"/>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82">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83"/>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83"/>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84"/>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82">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83">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83">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84">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82">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83">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83">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84">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82">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83">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83">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84">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82">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83">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83">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84">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82">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83">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83">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84">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82">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83">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83">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84">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82">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83">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83">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84">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82">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83">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83">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84">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82">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83">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83">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84">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82">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83">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83">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84">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2" sqref="T3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2995</v>
      </c>
      <c r="C1" s="3293" t="s">
        <v>2996</v>
      </c>
      <c r="D1" s="3294"/>
      <c r="E1" s="3294"/>
      <c r="F1" s="3294"/>
      <c r="G1" s="3294"/>
      <c r="H1" s="3294"/>
      <c r="I1" s="3294"/>
      <c r="J1" s="3294"/>
      <c r="K1" s="3294"/>
      <c r="L1" s="3294"/>
      <c r="M1" s="3294"/>
      <c r="N1" s="3294"/>
      <c r="O1" s="3294"/>
      <c r="P1" s="3294"/>
      <c r="Q1" s="3294"/>
      <c r="R1" s="3294"/>
      <c r="S1" s="3295"/>
      <c r="T1" s="1207" t="s">
        <v>2997</v>
      </c>
    </row>
    <row r="2" spans="1:45" s="707" customFormat="1" ht="38.25">
      <c r="A2" s="1208"/>
      <c r="B2" s="703" t="s">
        <v>2998</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300(含)-350</v>
      </c>
      <c r="J2" s="705" t="str">
        <f t="shared" si="0"/>
        <v>350(含)-400</v>
      </c>
      <c r="K2" s="705" t="str">
        <f t="shared" si="0"/>
        <v>400(含)-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v>
      </c>
      <c r="E3" s="710">
        <v>100</v>
      </c>
      <c r="F3" s="1707">
        <v>150</v>
      </c>
      <c r="G3" s="1707">
        <v>200</v>
      </c>
      <c r="H3" s="1707">
        <v>250</v>
      </c>
      <c r="I3" s="1707">
        <v>300</v>
      </c>
      <c r="J3" s="1707">
        <v>350</v>
      </c>
      <c r="K3" s="1707">
        <v>400</v>
      </c>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f>'比较法-住宅'!C121</f>
        <v>100</v>
      </c>
      <c r="D4" s="1213">
        <f>'比较法-住宅'!D121</f>
        <v>99</v>
      </c>
      <c r="E4" s="1213">
        <f>'比较法-住宅'!E121</f>
        <v>98</v>
      </c>
      <c r="F4" s="1213">
        <f>'比较法-住宅'!F121</f>
        <v>97</v>
      </c>
      <c r="G4" s="1213">
        <f>'比较法-住宅'!G121</f>
        <v>96</v>
      </c>
      <c r="H4" s="1213">
        <f>'比较法-住宅'!H121</f>
        <v>95</v>
      </c>
      <c r="I4" s="1213">
        <f>'比较法-住宅'!I121</f>
        <v>94</v>
      </c>
      <c r="J4" s="1213"/>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51" t="s">
        <v>3093</v>
      </c>
      <c r="C5" s="2952" t="s">
        <v>3094</v>
      </c>
      <c r="D5" s="1220"/>
      <c r="E5" s="1220"/>
      <c r="F5" s="1714"/>
      <c r="G5" s="1714"/>
      <c r="H5" s="1714"/>
      <c r="I5" s="1714"/>
      <c r="J5" s="1714"/>
      <c r="K5" s="1714"/>
      <c r="L5" s="1715"/>
      <c r="M5" s="1716"/>
      <c r="N5" s="1716"/>
      <c r="O5" s="1714"/>
      <c r="P5" s="1714"/>
      <c r="Q5" s="1714"/>
      <c r="R5" s="1714"/>
      <c r="S5" s="1717"/>
      <c r="T5" s="1222">
        <f>'比较法-住宅'!K26</f>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7">D6-$T5</f>
        <v>96</v>
      </c>
      <c r="F6" s="1718">
        <f t="shared" si="7"/>
        <v>94</v>
      </c>
      <c r="G6" s="1718">
        <f t="shared" si="7"/>
        <v>92</v>
      </c>
      <c r="H6" s="1718">
        <f t="shared" si="7"/>
        <v>90</v>
      </c>
      <c r="I6" s="1718">
        <f t="shared" si="7"/>
        <v>88</v>
      </c>
      <c r="J6" s="1718">
        <f t="shared" si="7"/>
        <v>86</v>
      </c>
      <c r="K6" s="1718">
        <f t="shared" si="7"/>
        <v>84</v>
      </c>
      <c r="L6" s="1718">
        <f t="shared" si="7"/>
        <v>82</v>
      </c>
      <c r="M6" s="1718">
        <f t="shared" si="7"/>
        <v>80</v>
      </c>
      <c r="N6" s="1718">
        <f t="shared" si="7"/>
        <v>78</v>
      </c>
      <c r="O6" s="1718">
        <f t="shared" si="7"/>
        <v>76</v>
      </c>
      <c r="P6" s="1718">
        <f t="shared" si="7"/>
        <v>74</v>
      </c>
      <c r="Q6" s="1718">
        <f t="shared" si="7"/>
        <v>72</v>
      </c>
      <c r="R6" s="1718">
        <f t="shared" si="7"/>
        <v>70</v>
      </c>
      <c r="S6" s="1718">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2953" t="s">
        <v>3095</v>
      </c>
      <c r="C7" s="1124" t="str">
        <f>'比较法-住宅'!C90</f>
        <v>高区</v>
      </c>
      <c r="D7" s="1124" t="str">
        <f>'比较法-住宅'!D90</f>
        <v>中区</v>
      </c>
      <c r="E7" s="1124" t="str">
        <f>'比较法-住宅'!E90</f>
        <v>低区</v>
      </c>
      <c r="F7" s="1719"/>
      <c r="G7" s="1719"/>
      <c r="H7" s="1719"/>
      <c r="I7" s="1719"/>
      <c r="J7" s="1719"/>
      <c r="K7" s="1719"/>
      <c r="L7" s="1719"/>
      <c r="M7" s="1720"/>
      <c r="N7" s="1721"/>
      <c r="O7" s="1722"/>
      <c r="P7" s="1723"/>
      <c r="Q7" s="1724"/>
      <c r="R7" s="1725"/>
      <c r="S7" s="1726"/>
      <c r="T7" s="713">
        <f>'比较法-住宅'!C91-'比较法-住宅'!D91</f>
        <v>1</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99</v>
      </c>
      <c r="E8" s="1122">
        <f t="shared" ref="E8:S8" si="8">D8-$T7</f>
        <v>98</v>
      </c>
      <c r="F8" s="1718">
        <f t="shared" si="8"/>
        <v>97</v>
      </c>
      <c r="G8" s="1718">
        <f t="shared" si="8"/>
        <v>96</v>
      </c>
      <c r="H8" s="1718">
        <f t="shared" si="8"/>
        <v>95</v>
      </c>
      <c r="I8" s="1718">
        <f t="shared" si="8"/>
        <v>94</v>
      </c>
      <c r="J8" s="1718">
        <f t="shared" si="8"/>
        <v>93</v>
      </c>
      <c r="K8" s="1718">
        <f t="shared" si="8"/>
        <v>92</v>
      </c>
      <c r="L8" s="1718">
        <f t="shared" si="8"/>
        <v>91</v>
      </c>
      <c r="M8" s="1718">
        <f t="shared" si="8"/>
        <v>90</v>
      </c>
      <c r="N8" s="1718">
        <f t="shared" si="8"/>
        <v>89</v>
      </c>
      <c r="O8" s="1718">
        <f t="shared" si="8"/>
        <v>88</v>
      </c>
      <c r="P8" s="1718">
        <f t="shared" si="8"/>
        <v>87</v>
      </c>
      <c r="Q8" s="1718">
        <f t="shared" si="8"/>
        <v>86</v>
      </c>
      <c r="R8" s="1718">
        <f t="shared" si="8"/>
        <v>85</v>
      </c>
      <c r="S8" s="1718">
        <f t="shared" si="8"/>
        <v>84</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24">
      <c r="A9" s="1218"/>
      <c r="B9" s="2953" t="s">
        <v>3096</v>
      </c>
      <c r="C9" s="2954" t="s">
        <v>3097</v>
      </c>
      <c r="D9" s="1118"/>
      <c r="E9" s="1118"/>
      <c r="F9" s="1719"/>
      <c r="G9" s="1719"/>
      <c r="H9" s="1719"/>
      <c r="I9" s="1719"/>
      <c r="J9" s="1719"/>
      <c r="K9" s="1719"/>
      <c r="L9" s="1727"/>
      <c r="M9" s="1720"/>
      <c r="N9" s="1721"/>
      <c r="O9" s="1722"/>
      <c r="P9" s="1723"/>
      <c r="Q9" s="1724"/>
      <c r="R9" s="1725"/>
      <c r="S9" s="1726"/>
      <c r="T9" s="713">
        <f>'比较法-住宅'!K42</f>
        <v>2</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98</v>
      </c>
      <c r="E10" s="1224">
        <f t="shared" ref="E10:S10" si="9">D10-$T9</f>
        <v>96</v>
      </c>
      <c r="F10" s="1728">
        <f t="shared" si="9"/>
        <v>94</v>
      </c>
      <c r="G10" s="1728">
        <f t="shared" si="9"/>
        <v>92</v>
      </c>
      <c r="H10" s="1728">
        <f t="shared" si="9"/>
        <v>90</v>
      </c>
      <c r="I10" s="1728">
        <f t="shared" si="9"/>
        <v>88</v>
      </c>
      <c r="J10" s="1728">
        <f t="shared" si="9"/>
        <v>86</v>
      </c>
      <c r="K10" s="1728">
        <f t="shared" si="9"/>
        <v>84</v>
      </c>
      <c r="L10" s="1728">
        <f t="shared" si="9"/>
        <v>82</v>
      </c>
      <c r="M10" s="1728">
        <f t="shared" si="9"/>
        <v>80</v>
      </c>
      <c r="N10" s="1728">
        <f t="shared" si="9"/>
        <v>78</v>
      </c>
      <c r="O10" s="1728">
        <f t="shared" si="9"/>
        <v>76</v>
      </c>
      <c r="P10" s="1728">
        <f t="shared" si="9"/>
        <v>74</v>
      </c>
      <c r="Q10" s="1728">
        <f t="shared" si="9"/>
        <v>72</v>
      </c>
      <c r="R10" s="1728">
        <f t="shared" si="9"/>
        <v>70</v>
      </c>
      <c r="S10" s="1728">
        <f t="shared" si="9"/>
        <v>68</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2951" t="s">
        <v>3098</v>
      </c>
      <c r="C11" s="2952" t="s">
        <v>3099</v>
      </c>
      <c r="D11" s="1220"/>
      <c r="E11" s="1220"/>
      <c r="F11" s="1220"/>
      <c r="G11" s="1220"/>
      <c r="H11" s="1220"/>
      <c r="I11" s="1220"/>
      <c r="J11" s="1220"/>
      <c r="K11" s="1220"/>
      <c r="L11" s="1220"/>
      <c r="M11" s="1221"/>
      <c r="N11" s="1225"/>
      <c r="O11" s="1226"/>
      <c r="P11" s="1227"/>
      <c r="Q11" s="1228"/>
      <c r="R11" s="1229"/>
      <c r="S11" s="1230"/>
      <c r="T11" s="1222">
        <f>'比较法-住宅'!K40</f>
        <v>2</v>
      </c>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98</v>
      </c>
      <c r="E12" s="1122">
        <f t="shared" ref="E12:S12" si="10">D12-$T11</f>
        <v>96</v>
      </c>
      <c r="F12" s="1122">
        <f t="shared" si="10"/>
        <v>94</v>
      </c>
      <c r="G12" s="1122">
        <f t="shared" si="10"/>
        <v>92</v>
      </c>
      <c r="H12" s="1122">
        <f t="shared" si="10"/>
        <v>90</v>
      </c>
      <c r="I12" s="1122">
        <f t="shared" si="10"/>
        <v>88</v>
      </c>
      <c r="J12" s="1122">
        <f t="shared" si="10"/>
        <v>86</v>
      </c>
      <c r="K12" s="1122">
        <f t="shared" si="10"/>
        <v>84</v>
      </c>
      <c r="L12" s="1122">
        <f t="shared" si="10"/>
        <v>82</v>
      </c>
      <c r="M12" s="1122">
        <f t="shared" si="10"/>
        <v>80</v>
      </c>
      <c r="N12" s="1122">
        <f t="shared" si="10"/>
        <v>78</v>
      </c>
      <c r="O12" s="1122">
        <f t="shared" si="10"/>
        <v>76</v>
      </c>
      <c r="P12" s="1122">
        <f t="shared" si="10"/>
        <v>74</v>
      </c>
      <c r="Q12" s="1122">
        <f t="shared" si="10"/>
        <v>72</v>
      </c>
      <c r="R12" s="1122">
        <f>Q12-$T11</f>
        <v>70</v>
      </c>
      <c r="S12" s="1122">
        <f t="shared" si="10"/>
        <v>68</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8"/>
      <c r="B13" s="1772" t="s">
        <v>2999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8"/>
      <c r="B15" s="1772" t="s">
        <v>3000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hidden="1"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idden="1">
      <c r="A17" s="2914" t="s">
        <v>3001</v>
      </c>
      <c r="B17" s="2915" t="s">
        <v>3002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hidden="1"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6" t="s">
        <v>3003</v>
      </c>
      <c r="E19" s="1794"/>
      <c r="F19" s="1794"/>
      <c r="G19" s="1794"/>
      <c r="H19" s="1283"/>
      <c r="I19" s="168"/>
      <c r="J19" s="168"/>
      <c r="K19" s="168"/>
      <c r="L19" s="168"/>
      <c r="M19" s="168"/>
      <c r="N19" s="168"/>
      <c r="O19" s="168"/>
      <c r="P19" s="168"/>
      <c r="Q19" s="168"/>
      <c r="R19" s="788"/>
      <c r="S19" s="138"/>
    </row>
    <row r="20" spans="1:45" ht="16.5" thickBot="1">
      <c r="A20" s="715" t="s">
        <v>3004</v>
      </c>
      <c r="B20" s="338">
        <f ca="1">IF(D20="——",S22,S22-F20)</f>
        <v>457</v>
      </c>
      <c r="C20" s="168"/>
      <c r="D20" s="2917" t="s">
        <v>70</v>
      </c>
      <c r="E20" s="1795"/>
      <c r="F20" s="1207" t="e">
        <f ca="1">SUMIF(INDIRECT("'"&amp;H20&amp;"'"&amp;"!A:A"),"承租人权益价值",INDIRECT("'"&amp;H20&amp;"'"&amp;"!c:c"))</f>
        <v>#REF!</v>
      </c>
      <c r="G20" s="1207" t="s">
        <v>3005</v>
      </c>
      <c r="H20" s="2918"/>
      <c r="I20" s="168"/>
      <c r="J20" s="168"/>
      <c r="K20" s="168"/>
      <c r="L20" s="168"/>
      <c r="M20" s="168"/>
      <c r="N20" s="168"/>
      <c r="O20" s="168"/>
      <c r="P20" s="168"/>
      <c r="Q20" s="168"/>
      <c r="R20" s="788"/>
      <c r="S20" s="138"/>
    </row>
    <row r="21" spans="1:45" ht="15.75">
      <c r="A21" s="715" t="s">
        <v>3006</v>
      </c>
      <c r="B21" s="338">
        <f ca="1">R22</f>
        <v>49934</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91.52</v>
      </c>
      <c r="C22" s="3155" t="s">
        <v>33</v>
      </c>
      <c r="D22" s="3156"/>
      <c r="E22" s="3156"/>
      <c r="F22" s="3156"/>
      <c r="G22" s="3156"/>
      <c r="H22" s="3156"/>
      <c r="I22" s="3156"/>
      <c r="J22" s="3156"/>
      <c r="K22" s="3156"/>
      <c r="L22" s="3156"/>
      <c r="M22" s="3156"/>
      <c r="N22" s="3156"/>
      <c r="O22" s="3156"/>
      <c r="P22" s="3156"/>
      <c r="Q22" s="3292"/>
      <c r="R22" s="716">
        <f ca="1">ROUND(S22*10000/B22,0)</f>
        <v>49934</v>
      </c>
      <c r="S22" s="24">
        <f ca="1">SUM(S24:S10000)</f>
        <v>457</v>
      </c>
    </row>
    <row r="23" spans="1:45" s="12" customFormat="1" ht="24">
      <c r="A23" s="11" t="s">
        <v>3008</v>
      </c>
      <c r="B23" s="11" t="s">
        <v>3009</v>
      </c>
      <c r="C23" s="11" t="s">
        <v>3010</v>
      </c>
      <c r="D23" s="11" t="str">
        <f>B5</f>
        <v>朝向</v>
      </c>
      <c r="E23" s="11" t="s">
        <v>3010</v>
      </c>
      <c r="F23" s="11" t="str">
        <f>B7</f>
        <v>楼层</v>
      </c>
      <c r="G23" s="11" t="s">
        <v>3010</v>
      </c>
      <c r="H23" s="11" t="str">
        <f>B9</f>
        <v>装修</v>
      </c>
      <c r="I23" s="11" t="s">
        <v>3010</v>
      </c>
      <c r="J23" s="11" t="str">
        <f>B11</f>
        <v>房型</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21.75" customHeight="1">
      <c r="A24" s="2950" t="s">
        <v>3092</v>
      </c>
      <c r="B24" s="718">
        <f>'数据-基础表'!I13</f>
        <v>91.52</v>
      </c>
      <c r="C24" s="719">
        <v>1</v>
      </c>
      <c r="D24" s="720" t="s">
        <v>3086</v>
      </c>
      <c r="E24" s="719">
        <v>1</v>
      </c>
      <c r="F24" s="720" t="s">
        <v>3065</v>
      </c>
      <c r="G24" s="719">
        <v>1</v>
      </c>
      <c r="H24" s="720" t="s">
        <v>3071</v>
      </c>
      <c r="I24" s="719">
        <v>1</v>
      </c>
      <c r="J24" s="720" t="s">
        <v>3074</v>
      </c>
      <c r="K24" s="719">
        <v>1</v>
      </c>
      <c r="L24" s="720"/>
      <c r="M24" s="719">
        <v>1</v>
      </c>
      <c r="N24" s="720"/>
      <c r="O24" s="719">
        <v>1</v>
      </c>
      <c r="P24" s="720"/>
      <c r="Q24" s="719">
        <v>1</v>
      </c>
      <c r="R24" s="721">
        <f ca="1">结果表!G20</f>
        <v>49895</v>
      </c>
      <c r="S24" s="719">
        <f t="shared" ref="S24:S54" ca="1" si="11">ROUND(R24*B24/10000,0)</f>
        <v>457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21.75" customHeight="1">
      <c r="A25" s="2152">
        <f>'数据-基础表'!C14</f>
        <v>0</v>
      </c>
      <c r="B25" s="718">
        <f>'数据-基础表'!I14</f>
        <v>0</v>
      </c>
      <c r="C25" s="24">
        <f>IF(B25="",1,(LOOKUP(B25,$3:$3,$4:$4)-LOOKUP($B$24,$3:$3,$4:$4)+100)/100)</f>
        <v>1.01</v>
      </c>
      <c r="D25" s="720" t="s">
        <v>3086</v>
      </c>
      <c r="E25" s="24">
        <f>(SUMIF($5:$5,D25,$6:$6)-SUMIF($5:$5,$D$24,$6:$6)+100)/100</f>
        <v>1</v>
      </c>
      <c r="F25" s="720" t="s">
        <v>3065</v>
      </c>
      <c r="G25" s="24">
        <f>(SUMIF($7:$7,F25,$8:$8)-SUMIF($7:$7,$F$24,$8:$8)+100)/100</f>
        <v>1</v>
      </c>
      <c r="H25" s="720" t="s">
        <v>3071</v>
      </c>
      <c r="I25" s="24">
        <f>(SUMIF($9:$9,H25,$10:$10)-SUMIF($9:$9,$H$24,$10:$10)+100)/100</f>
        <v>1</v>
      </c>
      <c r="J25" s="720" t="s">
        <v>3074</v>
      </c>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50394</v>
      </c>
      <c r="S25" s="361">
        <f t="shared" ca="1" si="11"/>
        <v>0</v>
      </c>
    </row>
    <row r="26" spans="1:45" ht="21.75" customHeight="1">
      <c r="A26" s="2152">
        <f>'数据-基础表'!C15</f>
        <v>0</v>
      </c>
      <c r="B26" s="718">
        <f>'数据-基础表'!I15</f>
        <v>0</v>
      </c>
      <c r="C26" s="24">
        <f t="shared" ref="C26:C89" si="12">IF(B26="",1,(LOOKUP(B26,$3:$3,$4:$4)-LOOKUP($B$24,$3:$3,$4:$4)+100)/100)</f>
        <v>1.01</v>
      </c>
      <c r="D26" s="720" t="s">
        <v>3086</v>
      </c>
      <c r="E26" s="24">
        <f t="shared" ref="E26:E89" si="13">(SUMIF($5:$5,D26,$6:$6)-SUMIF($5:$5,$D$24,$6:$6)+100)/100</f>
        <v>1</v>
      </c>
      <c r="F26" s="720" t="s">
        <v>3063</v>
      </c>
      <c r="G26" s="24">
        <f t="shared" ref="G26:G89" si="14">(SUMIF($7:$7,F26,$8:$8)-SUMIF($7:$7,$F$24,$8:$8)+100)/100</f>
        <v>1.01</v>
      </c>
      <c r="H26" s="720" t="s">
        <v>3071</v>
      </c>
      <c r="I26" s="24">
        <f t="shared" ref="I26:I89" si="15">(SUMIF($9:$9,H26,$10:$10)-SUMIF($9:$9,$H$24,$10:$10)+100)/100</f>
        <v>1</v>
      </c>
      <c r="J26" s="720" t="s">
        <v>3074</v>
      </c>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50898</v>
      </c>
      <c r="S26" s="361">
        <f t="shared" ca="1" si="11"/>
        <v>0</v>
      </c>
    </row>
    <row r="27" spans="1:45" ht="21.75" customHeight="1">
      <c r="A27" s="2152">
        <f>'数据-基础表'!C16</f>
        <v>0</v>
      </c>
      <c r="B27" s="718">
        <f>'数据-基础表'!I16</f>
        <v>0</v>
      </c>
      <c r="C27" s="24">
        <f t="shared" si="12"/>
        <v>1.01</v>
      </c>
      <c r="D27" s="720" t="s">
        <v>3086</v>
      </c>
      <c r="E27" s="24">
        <f t="shared" si="13"/>
        <v>1</v>
      </c>
      <c r="F27" s="720" t="s">
        <v>3063</v>
      </c>
      <c r="G27" s="24">
        <f t="shared" si="14"/>
        <v>1.01</v>
      </c>
      <c r="H27" s="720" t="s">
        <v>3071</v>
      </c>
      <c r="I27" s="24">
        <f t="shared" si="15"/>
        <v>1</v>
      </c>
      <c r="J27" s="720" t="s">
        <v>3074</v>
      </c>
      <c r="K27" s="24">
        <f t="shared" si="16"/>
        <v>1</v>
      </c>
      <c r="L27" s="720"/>
      <c r="M27" s="24">
        <f t="shared" si="17"/>
        <v>1</v>
      </c>
      <c r="N27" s="720"/>
      <c r="O27" s="24">
        <f t="shared" si="18"/>
        <v>1</v>
      </c>
      <c r="P27" s="720"/>
      <c r="Q27" s="24">
        <f t="shared" si="19"/>
        <v>1</v>
      </c>
      <c r="R27" s="716">
        <f t="shared" ca="1" si="20"/>
        <v>50898</v>
      </c>
      <c r="S27" s="361">
        <f t="shared" ca="1" si="11"/>
        <v>0</v>
      </c>
    </row>
    <row r="28" spans="1:45" ht="21.75" customHeight="1">
      <c r="A28" s="2152">
        <f>'数据-基础表'!C17</f>
        <v>0</v>
      </c>
      <c r="B28" s="718">
        <f>'数据-基础表'!I17</f>
        <v>0</v>
      </c>
      <c r="C28" s="24">
        <f t="shared" si="12"/>
        <v>1.01</v>
      </c>
      <c r="D28" s="720" t="s">
        <v>3086</v>
      </c>
      <c r="E28" s="24">
        <f t="shared" si="13"/>
        <v>1</v>
      </c>
      <c r="F28" s="720" t="s">
        <v>3065</v>
      </c>
      <c r="G28" s="24">
        <f t="shared" si="14"/>
        <v>1</v>
      </c>
      <c r="H28" s="720" t="s">
        <v>3071</v>
      </c>
      <c r="I28" s="24">
        <f t="shared" si="15"/>
        <v>1</v>
      </c>
      <c r="J28" s="720" t="s">
        <v>3074</v>
      </c>
      <c r="K28" s="24">
        <f t="shared" si="16"/>
        <v>1</v>
      </c>
      <c r="L28" s="720"/>
      <c r="M28" s="24">
        <f t="shared" si="17"/>
        <v>1</v>
      </c>
      <c r="N28" s="720"/>
      <c r="O28" s="24">
        <f t="shared" si="18"/>
        <v>1</v>
      </c>
      <c r="P28" s="720"/>
      <c r="Q28" s="24">
        <f t="shared" si="19"/>
        <v>1</v>
      </c>
      <c r="R28" s="716">
        <f t="shared" ca="1" si="20"/>
        <v>50394</v>
      </c>
      <c r="S28" s="361">
        <f t="shared" ca="1" si="11"/>
        <v>0</v>
      </c>
    </row>
    <row r="29" spans="1:45" ht="21.75" customHeight="1">
      <c r="A29" s="2152">
        <f>'数据-基础表'!C18</f>
        <v>0</v>
      </c>
      <c r="B29" s="718">
        <f>'数据-基础表'!I18</f>
        <v>0</v>
      </c>
      <c r="C29" s="24">
        <f t="shared" si="12"/>
        <v>1.01</v>
      </c>
      <c r="D29" s="720" t="s">
        <v>3086</v>
      </c>
      <c r="E29" s="24">
        <f t="shared" si="13"/>
        <v>1</v>
      </c>
      <c r="F29" s="720" t="s">
        <v>3063</v>
      </c>
      <c r="G29" s="24">
        <f t="shared" si="14"/>
        <v>1.01</v>
      </c>
      <c r="H29" s="720" t="s">
        <v>3071</v>
      </c>
      <c r="I29" s="24">
        <f t="shared" si="15"/>
        <v>1</v>
      </c>
      <c r="J29" s="720" t="s">
        <v>3074</v>
      </c>
      <c r="K29" s="24">
        <f t="shared" si="16"/>
        <v>1</v>
      </c>
      <c r="L29" s="720"/>
      <c r="M29" s="24">
        <f t="shared" si="17"/>
        <v>1</v>
      </c>
      <c r="N29" s="720"/>
      <c r="O29" s="24">
        <f t="shared" si="18"/>
        <v>1</v>
      </c>
      <c r="P29" s="720"/>
      <c r="Q29" s="24">
        <f t="shared" si="19"/>
        <v>1</v>
      </c>
      <c r="R29" s="716">
        <f t="shared" ca="1" si="20"/>
        <v>50898</v>
      </c>
      <c r="S29" s="361">
        <f t="shared" ca="1" si="11"/>
        <v>0</v>
      </c>
    </row>
    <row r="30" spans="1:45" ht="21.75" customHeight="1">
      <c r="A30" s="2152">
        <f>'数据-基础表'!C19</f>
        <v>0</v>
      </c>
      <c r="B30" s="718">
        <f>'数据-基础表'!I19</f>
        <v>0</v>
      </c>
      <c r="C30" s="24">
        <f t="shared" si="12"/>
        <v>1.01</v>
      </c>
      <c r="D30" s="720" t="s">
        <v>3086</v>
      </c>
      <c r="E30" s="24">
        <f t="shared" si="13"/>
        <v>1</v>
      </c>
      <c r="F30" s="720" t="s">
        <v>3061</v>
      </c>
      <c r="G30" s="24">
        <f t="shared" si="14"/>
        <v>1.02</v>
      </c>
      <c r="H30" s="720" t="s">
        <v>3071</v>
      </c>
      <c r="I30" s="24">
        <f t="shared" si="15"/>
        <v>1</v>
      </c>
      <c r="J30" s="720" t="s">
        <v>3074</v>
      </c>
      <c r="K30" s="24">
        <f t="shared" si="16"/>
        <v>1</v>
      </c>
      <c r="L30" s="720"/>
      <c r="M30" s="24">
        <f t="shared" si="17"/>
        <v>1</v>
      </c>
      <c r="N30" s="720"/>
      <c r="O30" s="24">
        <f t="shared" si="18"/>
        <v>1</v>
      </c>
      <c r="P30" s="720"/>
      <c r="Q30" s="24">
        <f t="shared" si="19"/>
        <v>1</v>
      </c>
      <c r="R30" s="716">
        <f t="shared" ca="1" si="20"/>
        <v>51402</v>
      </c>
      <c r="S30" s="361">
        <f t="shared" ca="1" si="11"/>
        <v>0</v>
      </c>
    </row>
    <row r="31" spans="1:45" ht="21.75" customHeight="1">
      <c r="A31" s="2152">
        <f>'数据-基础表'!C20</f>
        <v>0</v>
      </c>
      <c r="B31" s="718">
        <f>'数据-基础表'!I20</f>
        <v>0</v>
      </c>
      <c r="C31" s="24">
        <f t="shared" si="12"/>
        <v>1.01</v>
      </c>
      <c r="D31" s="720" t="s">
        <v>3086</v>
      </c>
      <c r="E31" s="24">
        <f t="shared" si="13"/>
        <v>1</v>
      </c>
      <c r="F31" s="720" t="s">
        <v>3061</v>
      </c>
      <c r="G31" s="24">
        <f t="shared" si="14"/>
        <v>1.02</v>
      </c>
      <c r="H31" s="720" t="s">
        <v>3071</v>
      </c>
      <c r="I31" s="24">
        <f t="shared" si="15"/>
        <v>1</v>
      </c>
      <c r="J31" s="720" t="s">
        <v>3074</v>
      </c>
      <c r="K31" s="24">
        <f t="shared" si="16"/>
        <v>1</v>
      </c>
      <c r="L31" s="720"/>
      <c r="M31" s="24">
        <f t="shared" si="17"/>
        <v>1</v>
      </c>
      <c r="N31" s="720"/>
      <c r="O31" s="24">
        <f t="shared" si="18"/>
        <v>1</v>
      </c>
      <c r="P31" s="720"/>
      <c r="Q31" s="24">
        <f t="shared" si="19"/>
        <v>1</v>
      </c>
      <c r="R31" s="716">
        <f t="shared" ca="1" si="20"/>
        <v>51402</v>
      </c>
      <c r="S31" s="361">
        <f t="shared" ca="1" si="11"/>
        <v>0</v>
      </c>
    </row>
    <row r="32" spans="1:45" ht="21.75" customHeight="1">
      <c r="A32" s="2152">
        <f>'数据-基础表'!C21</f>
        <v>0</v>
      </c>
      <c r="B32" s="718">
        <f>'数据-基础表'!I21</f>
        <v>0</v>
      </c>
      <c r="C32" s="24">
        <f t="shared" si="12"/>
        <v>1.01</v>
      </c>
      <c r="D32" s="720" t="s">
        <v>3086</v>
      </c>
      <c r="E32" s="24">
        <f t="shared" si="13"/>
        <v>1</v>
      </c>
      <c r="F32" s="720" t="s">
        <v>3061</v>
      </c>
      <c r="G32" s="24">
        <f t="shared" si="14"/>
        <v>1.02</v>
      </c>
      <c r="H32" s="720" t="s">
        <v>3071</v>
      </c>
      <c r="I32" s="24">
        <f t="shared" si="15"/>
        <v>1</v>
      </c>
      <c r="J32" s="720" t="s">
        <v>3074</v>
      </c>
      <c r="K32" s="24">
        <f t="shared" si="16"/>
        <v>1</v>
      </c>
      <c r="L32" s="720"/>
      <c r="M32" s="24">
        <f t="shared" si="17"/>
        <v>1</v>
      </c>
      <c r="N32" s="720"/>
      <c r="O32" s="24">
        <f t="shared" si="18"/>
        <v>1</v>
      </c>
      <c r="P32" s="720"/>
      <c r="Q32" s="24">
        <f t="shared" si="19"/>
        <v>1</v>
      </c>
      <c r="R32" s="716">
        <f t="shared" ca="1" si="20"/>
        <v>51402</v>
      </c>
      <c r="S32" s="361">
        <f t="shared" ca="1" si="11"/>
        <v>0</v>
      </c>
    </row>
    <row r="33" spans="1:19" ht="21.75" customHeight="1">
      <c r="A33" s="2152">
        <f>'数据-基础表'!C22</f>
        <v>0</v>
      </c>
      <c r="B33" s="718">
        <f>'数据-基础表'!I22</f>
        <v>0</v>
      </c>
      <c r="C33" s="24">
        <f t="shared" si="12"/>
        <v>1.01</v>
      </c>
      <c r="D33" s="720" t="s">
        <v>3086</v>
      </c>
      <c r="E33" s="24">
        <f t="shared" si="13"/>
        <v>1</v>
      </c>
      <c r="F33" s="720" t="s">
        <v>3061</v>
      </c>
      <c r="G33" s="24">
        <f t="shared" si="14"/>
        <v>1.02</v>
      </c>
      <c r="H33" s="720" t="s">
        <v>3071</v>
      </c>
      <c r="I33" s="24">
        <f t="shared" si="15"/>
        <v>1</v>
      </c>
      <c r="J33" s="720" t="s">
        <v>3074</v>
      </c>
      <c r="K33" s="24">
        <f t="shared" si="16"/>
        <v>1</v>
      </c>
      <c r="L33" s="720"/>
      <c r="M33" s="24">
        <f t="shared" si="17"/>
        <v>1</v>
      </c>
      <c r="N33" s="720"/>
      <c r="O33" s="24">
        <f t="shared" si="18"/>
        <v>1</v>
      </c>
      <c r="P33" s="720"/>
      <c r="Q33" s="24">
        <f t="shared" si="19"/>
        <v>1</v>
      </c>
      <c r="R33" s="716">
        <f t="shared" ca="1" si="20"/>
        <v>51402</v>
      </c>
      <c r="S33" s="361">
        <f t="shared" ca="1" si="11"/>
        <v>0</v>
      </c>
    </row>
    <row r="34" spans="1:19" ht="21.75" customHeight="1">
      <c r="A34" s="2152">
        <f>'数据-基础表'!C23</f>
        <v>0</v>
      </c>
      <c r="B34" s="718">
        <f>'数据-基础表'!I23</f>
        <v>0</v>
      </c>
      <c r="C34" s="24">
        <f t="shared" si="12"/>
        <v>1.01</v>
      </c>
      <c r="D34" s="720" t="s">
        <v>3086</v>
      </c>
      <c r="E34" s="24">
        <f t="shared" si="13"/>
        <v>1</v>
      </c>
      <c r="F34" s="720" t="s">
        <v>3061</v>
      </c>
      <c r="G34" s="24">
        <f t="shared" si="14"/>
        <v>1.02</v>
      </c>
      <c r="H34" s="720" t="s">
        <v>3071</v>
      </c>
      <c r="I34" s="24">
        <f t="shared" si="15"/>
        <v>1</v>
      </c>
      <c r="J34" s="720" t="s">
        <v>3074</v>
      </c>
      <c r="K34" s="24">
        <f t="shared" si="16"/>
        <v>1</v>
      </c>
      <c r="L34" s="720"/>
      <c r="M34" s="24">
        <f t="shared" si="17"/>
        <v>1</v>
      </c>
      <c r="N34" s="720"/>
      <c r="O34" s="24">
        <f t="shared" si="18"/>
        <v>1</v>
      </c>
      <c r="P34" s="720"/>
      <c r="Q34" s="24">
        <f t="shared" si="19"/>
        <v>1</v>
      </c>
      <c r="R34" s="716">
        <f t="shared" ca="1" si="20"/>
        <v>51402</v>
      </c>
      <c r="S34" s="361">
        <f t="shared" ca="1" si="11"/>
        <v>0</v>
      </c>
    </row>
    <row r="35" spans="1:19" ht="21.75" customHeight="1">
      <c r="A35" s="2152">
        <f>'数据-基础表'!C24</f>
        <v>0</v>
      </c>
      <c r="B35" s="718">
        <f>'数据-基础表'!I24</f>
        <v>0</v>
      </c>
      <c r="C35" s="24">
        <f t="shared" si="12"/>
        <v>1.01</v>
      </c>
      <c r="D35" s="720" t="s">
        <v>3086</v>
      </c>
      <c r="E35" s="24">
        <f t="shared" si="13"/>
        <v>1</v>
      </c>
      <c r="F35" s="720" t="s">
        <v>3063</v>
      </c>
      <c r="G35" s="24">
        <f t="shared" si="14"/>
        <v>1.01</v>
      </c>
      <c r="H35" s="720" t="s">
        <v>3071</v>
      </c>
      <c r="I35" s="24">
        <f t="shared" si="15"/>
        <v>1</v>
      </c>
      <c r="J35" s="720" t="s">
        <v>3074</v>
      </c>
      <c r="K35" s="24">
        <f t="shared" si="16"/>
        <v>1</v>
      </c>
      <c r="L35" s="720"/>
      <c r="M35" s="24">
        <f t="shared" si="17"/>
        <v>1</v>
      </c>
      <c r="N35" s="720"/>
      <c r="O35" s="24">
        <f t="shared" si="18"/>
        <v>1</v>
      </c>
      <c r="P35" s="720"/>
      <c r="Q35" s="24">
        <f t="shared" si="19"/>
        <v>1</v>
      </c>
      <c r="R35" s="716">
        <f t="shared" ca="1" si="20"/>
        <v>50898</v>
      </c>
      <c r="S35" s="361">
        <f t="shared" ca="1" si="11"/>
        <v>0</v>
      </c>
    </row>
    <row r="36" spans="1:19" ht="21.75" customHeight="1">
      <c r="A36" s="2152">
        <f>'数据-基础表'!C25</f>
        <v>0</v>
      </c>
      <c r="B36" s="718">
        <f>'数据-基础表'!I25</f>
        <v>0</v>
      </c>
      <c r="C36" s="24">
        <f t="shared" si="12"/>
        <v>1.01</v>
      </c>
      <c r="D36" s="720" t="s">
        <v>3086</v>
      </c>
      <c r="E36" s="24">
        <f t="shared" si="13"/>
        <v>1</v>
      </c>
      <c r="F36" s="720" t="s">
        <v>3063</v>
      </c>
      <c r="G36" s="24">
        <f t="shared" si="14"/>
        <v>1.01</v>
      </c>
      <c r="H36" s="720" t="s">
        <v>3071</v>
      </c>
      <c r="I36" s="24">
        <f t="shared" si="15"/>
        <v>1</v>
      </c>
      <c r="J36" s="720" t="s">
        <v>3074</v>
      </c>
      <c r="K36" s="24">
        <f t="shared" si="16"/>
        <v>1</v>
      </c>
      <c r="L36" s="720"/>
      <c r="M36" s="24">
        <f t="shared" si="17"/>
        <v>1</v>
      </c>
      <c r="N36" s="720"/>
      <c r="O36" s="24">
        <f t="shared" si="18"/>
        <v>1</v>
      </c>
      <c r="P36" s="720"/>
      <c r="Q36" s="24">
        <f t="shared" si="19"/>
        <v>1</v>
      </c>
      <c r="R36" s="716">
        <f t="shared" ca="1" si="20"/>
        <v>50898</v>
      </c>
      <c r="S36" s="361">
        <f t="shared" ca="1" si="11"/>
        <v>0</v>
      </c>
    </row>
    <row r="37" spans="1:19">
      <c r="A37" s="159"/>
      <c r="B37" s="718"/>
      <c r="C37" s="24">
        <f t="shared" si="12"/>
        <v>1</v>
      </c>
      <c r="D37" s="720"/>
      <c r="E37" s="24">
        <f t="shared" si="13"/>
        <v>0</v>
      </c>
      <c r="F37" s="720"/>
      <c r="G37" s="24">
        <f t="shared" si="14"/>
        <v>0.02</v>
      </c>
      <c r="H37" s="720"/>
      <c r="I37" s="24">
        <f t="shared" si="15"/>
        <v>0</v>
      </c>
      <c r="J37" s="720"/>
      <c r="K37" s="24">
        <f t="shared" si="16"/>
        <v>0</v>
      </c>
      <c r="L37" s="720"/>
      <c r="M37" s="24">
        <f t="shared" si="17"/>
        <v>1</v>
      </c>
      <c r="N37" s="720"/>
      <c r="O37" s="24">
        <f t="shared" si="18"/>
        <v>1</v>
      </c>
      <c r="P37" s="720"/>
      <c r="Q37" s="24">
        <f t="shared" si="19"/>
        <v>1</v>
      </c>
      <c r="R37" s="716">
        <f t="shared" si="20"/>
        <v>0</v>
      </c>
      <c r="S37" s="361">
        <f t="shared" si="11"/>
        <v>0</v>
      </c>
    </row>
    <row r="38" spans="1:19">
      <c r="A38" s="159"/>
      <c r="B38" s="718"/>
      <c r="C38" s="24">
        <f t="shared" si="12"/>
        <v>1</v>
      </c>
      <c r="D38" s="720"/>
      <c r="E38" s="24">
        <f t="shared" si="13"/>
        <v>0</v>
      </c>
      <c r="F38" s="720"/>
      <c r="G38" s="24">
        <f t="shared" si="14"/>
        <v>0.02</v>
      </c>
      <c r="H38" s="720"/>
      <c r="I38" s="24">
        <f t="shared" si="15"/>
        <v>0</v>
      </c>
      <c r="J38" s="720"/>
      <c r="K38" s="24">
        <f t="shared" si="16"/>
        <v>0</v>
      </c>
      <c r="L38" s="720"/>
      <c r="M38" s="24">
        <f t="shared" si="17"/>
        <v>1</v>
      </c>
      <c r="N38" s="720"/>
      <c r="O38" s="24">
        <f t="shared" si="18"/>
        <v>1</v>
      </c>
      <c r="P38" s="720"/>
      <c r="Q38" s="24">
        <f t="shared" si="19"/>
        <v>1</v>
      </c>
      <c r="R38" s="716">
        <f t="shared" si="20"/>
        <v>0</v>
      </c>
      <c r="S38" s="361">
        <f t="shared" si="11"/>
        <v>0</v>
      </c>
    </row>
    <row r="39" spans="1:19">
      <c r="A39" s="159"/>
      <c r="B39" s="718"/>
      <c r="C39" s="24">
        <f t="shared" si="12"/>
        <v>1</v>
      </c>
      <c r="D39" s="720"/>
      <c r="E39" s="24">
        <f t="shared" si="13"/>
        <v>0</v>
      </c>
      <c r="F39" s="720"/>
      <c r="G39" s="24">
        <f t="shared" si="14"/>
        <v>0.02</v>
      </c>
      <c r="H39" s="720"/>
      <c r="I39" s="24">
        <f t="shared" si="15"/>
        <v>0</v>
      </c>
      <c r="J39" s="720"/>
      <c r="K39" s="24">
        <f t="shared" si="16"/>
        <v>0</v>
      </c>
      <c r="L39" s="720"/>
      <c r="M39" s="24">
        <f t="shared" si="17"/>
        <v>1</v>
      </c>
      <c r="N39" s="720"/>
      <c r="O39" s="24">
        <f t="shared" si="18"/>
        <v>1</v>
      </c>
      <c r="P39" s="720"/>
      <c r="Q39" s="24">
        <f t="shared" si="19"/>
        <v>1</v>
      </c>
      <c r="R39" s="716">
        <f t="shared" si="20"/>
        <v>0</v>
      </c>
      <c r="S39" s="361">
        <f t="shared" si="11"/>
        <v>0</v>
      </c>
    </row>
    <row r="40" spans="1:19">
      <c r="A40" s="159"/>
      <c r="B40" s="718"/>
      <c r="C40" s="24">
        <f t="shared" si="12"/>
        <v>1</v>
      </c>
      <c r="D40" s="720"/>
      <c r="E40" s="24">
        <f t="shared" si="13"/>
        <v>0</v>
      </c>
      <c r="F40" s="720"/>
      <c r="G40" s="24">
        <f t="shared" si="14"/>
        <v>0.02</v>
      </c>
      <c r="H40" s="720"/>
      <c r="I40" s="24">
        <f t="shared" si="15"/>
        <v>0</v>
      </c>
      <c r="J40" s="720"/>
      <c r="K40" s="24">
        <f t="shared" si="16"/>
        <v>0</v>
      </c>
      <c r="L40" s="720"/>
      <c r="M40" s="24">
        <f t="shared" si="17"/>
        <v>1</v>
      </c>
      <c r="N40" s="720"/>
      <c r="O40" s="24">
        <f t="shared" si="18"/>
        <v>1</v>
      </c>
      <c r="P40" s="720"/>
      <c r="Q40" s="24">
        <f t="shared" si="19"/>
        <v>1</v>
      </c>
      <c r="R40" s="716">
        <f t="shared" si="20"/>
        <v>0</v>
      </c>
      <c r="S40" s="361">
        <f t="shared" si="11"/>
        <v>0</v>
      </c>
    </row>
    <row r="41" spans="1:19">
      <c r="A41" s="159"/>
      <c r="B41" s="718"/>
      <c r="C41" s="24">
        <f t="shared" si="12"/>
        <v>1</v>
      </c>
      <c r="D41" s="720"/>
      <c r="E41" s="24">
        <f t="shared" si="13"/>
        <v>0</v>
      </c>
      <c r="F41" s="720"/>
      <c r="G41" s="24">
        <f t="shared" si="14"/>
        <v>0.02</v>
      </c>
      <c r="H41" s="720"/>
      <c r="I41" s="24">
        <f t="shared" si="15"/>
        <v>0</v>
      </c>
      <c r="J41" s="720"/>
      <c r="K41" s="24">
        <f t="shared" si="16"/>
        <v>0</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v>
      </c>
      <c r="F42" s="720"/>
      <c r="G42" s="24">
        <f t="shared" si="14"/>
        <v>0.02</v>
      </c>
      <c r="H42" s="720"/>
      <c r="I42" s="24">
        <f t="shared" si="15"/>
        <v>0</v>
      </c>
      <c r="J42" s="720"/>
      <c r="K42" s="24">
        <f t="shared" si="16"/>
        <v>0</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v>
      </c>
      <c r="F43" s="720"/>
      <c r="G43" s="24">
        <f t="shared" si="14"/>
        <v>0.02</v>
      </c>
      <c r="H43" s="720"/>
      <c r="I43" s="24">
        <f t="shared" si="15"/>
        <v>0</v>
      </c>
      <c r="J43" s="720"/>
      <c r="K43" s="24">
        <f t="shared" si="16"/>
        <v>0</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v>
      </c>
      <c r="F44" s="720"/>
      <c r="G44" s="24">
        <f t="shared" si="14"/>
        <v>0.02</v>
      </c>
      <c r="H44" s="720"/>
      <c r="I44" s="24">
        <f t="shared" si="15"/>
        <v>0</v>
      </c>
      <c r="J44" s="720"/>
      <c r="K44" s="24">
        <f t="shared" si="16"/>
        <v>0</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v>
      </c>
      <c r="F45" s="720"/>
      <c r="G45" s="24">
        <f t="shared" si="14"/>
        <v>0.02</v>
      </c>
      <c r="H45" s="720"/>
      <c r="I45" s="24">
        <f t="shared" si="15"/>
        <v>0</v>
      </c>
      <c r="J45" s="720"/>
      <c r="K45" s="24">
        <f t="shared" si="16"/>
        <v>0</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v>
      </c>
      <c r="F46" s="720"/>
      <c r="G46" s="24">
        <f t="shared" si="14"/>
        <v>0.02</v>
      </c>
      <c r="H46" s="720"/>
      <c r="I46" s="24">
        <f t="shared" si="15"/>
        <v>0</v>
      </c>
      <c r="J46" s="720"/>
      <c r="K46" s="24">
        <f t="shared" si="16"/>
        <v>0</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v>
      </c>
      <c r="F47" s="720"/>
      <c r="G47" s="24">
        <f t="shared" si="14"/>
        <v>0.02</v>
      </c>
      <c r="H47" s="720"/>
      <c r="I47" s="24">
        <f t="shared" si="15"/>
        <v>0</v>
      </c>
      <c r="J47" s="720"/>
      <c r="K47" s="24">
        <f t="shared" si="16"/>
        <v>0</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v>
      </c>
      <c r="F48" s="720"/>
      <c r="G48" s="24">
        <f t="shared" si="14"/>
        <v>0.02</v>
      </c>
      <c r="H48" s="720"/>
      <c r="I48" s="24">
        <f t="shared" si="15"/>
        <v>0</v>
      </c>
      <c r="J48" s="720"/>
      <c r="K48" s="24">
        <f t="shared" si="16"/>
        <v>0</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v>
      </c>
      <c r="F49" s="720"/>
      <c r="G49" s="24">
        <f t="shared" si="14"/>
        <v>0.02</v>
      </c>
      <c r="H49" s="720"/>
      <c r="I49" s="24">
        <f t="shared" si="15"/>
        <v>0</v>
      </c>
      <c r="J49" s="720"/>
      <c r="K49" s="24">
        <f t="shared" si="16"/>
        <v>0</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v>
      </c>
      <c r="F50" s="720"/>
      <c r="G50" s="24">
        <f t="shared" si="14"/>
        <v>0.02</v>
      </c>
      <c r="H50" s="720"/>
      <c r="I50" s="24">
        <f t="shared" si="15"/>
        <v>0</v>
      </c>
      <c r="J50" s="720"/>
      <c r="K50" s="24">
        <f t="shared" si="16"/>
        <v>0</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v>
      </c>
      <c r="F51" s="720"/>
      <c r="G51" s="24">
        <f t="shared" si="14"/>
        <v>0.02</v>
      </c>
      <c r="H51" s="720"/>
      <c r="I51" s="24">
        <f t="shared" si="15"/>
        <v>0</v>
      </c>
      <c r="J51" s="720"/>
      <c r="K51" s="24">
        <f t="shared" si="16"/>
        <v>0</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v>
      </c>
      <c r="F52" s="720"/>
      <c r="G52" s="24">
        <f t="shared" si="14"/>
        <v>0.02</v>
      </c>
      <c r="H52" s="720"/>
      <c r="I52" s="24">
        <f t="shared" si="15"/>
        <v>0</v>
      </c>
      <c r="J52" s="720"/>
      <c r="K52" s="24">
        <f t="shared" si="16"/>
        <v>0</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v>
      </c>
      <c r="F53" s="720"/>
      <c r="G53" s="24">
        <f t="shared" si="14"/>
        <v>0.02</v>
      </c>
      <c r="H53" s="720"/>
      <c r="I53" s="24">
        <f t="shared" si="15"/>
        <v>0</v>
      </c>
      <c r="J53" s="720"/>
      <c r="K53" s="24">
        <f t="shared" si="16"/>
        <v>0</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v>
      </c>
      <c r="F54" s="720"/>
      <c r="G54" s="24">
        <f t="shared" si="14"/>
        <v>0.02</v>
      </c>
      <c r="H54" s="720"/>
      <c r="I54" s="24">
        <f t="shared" si="15"/>
        <v>0</v>
      </c>
      <c r="J54" s="720"/>
      <c r="K54" s="24">
        <f t="shared" si="16"/>
        <v>0</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v>
      </c>
      <c r="F55" s="720"/>
      <c r="G55" s="24">
        <f t="shared" si="14"/>
        <v>0.02</v>
      </c>
      <c r="H55" s="720"/>
      <c r="I55" s="24">
        <f t="shared" si="15"/>
        <v>0</v>
      </c>
      <c r="J55" s="720"/>
      <c r="K55" s="24">
        <f t="shared" si="16"/>
        <v>0</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v>
      </c>
      <c r="F56" s="720"/>
      <c r="G56" s="24">
        <f t="shared" si="14"/>
        <v>0.02</v>
      </c>
      <c r="H56" s="720"/>
      <c r="I56" s="24">
        <f t="shared" si="15"/>
        <v>0</v>
      </c>
      <c r="J56" s="720"/>
      <c r="K56" s="24">
        <f t="shared" si="16"/>
        <v>0</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v>
      </c>
      <c r="F57" s="720"/>
      <c r="G57" s="24">
        <f t="shared" si="14"/>
        <v>0.02</v>
      </c>
      <c r="H57" s="720"/>
      <c r="I57" s="24">
        <f t="shared" si="15"/>
        <v>0</v>
      </c>
      <c r="J57" s="720"/>
      <c r="K57" s="24">
        <f t="shared" si="16"/>
        <v>0</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v>
      </c>
      <c r="F58" s="720"/>
      <c r="G58" s="24">
        <f t="shared" si="14"/>
        <v>0.02</v>
      </c>
      <c r="H58" s="720"/>
      <c r="I58" s="24">
        <f t="shared" si="15"/>
        <v>0</v>
      </c>
      <c r="J58" s="720"/>
      <c r="K58" s="24">
        <f t="shared" si="16"/>
        <v>0</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v>
      </c>
      <c r="F59" s="720"/>
      <c r="G59" s="24">
        <f t="shared" si="14"/>
        <v>0.02</v>
      </c>
      <c r="H59" s="720"/>
      <c r="I59" s="24">
        <f t="shared" si="15"/>
        <v>0</v>
      </c>
      <c r="J59" s="720"/>
      <c r="K59" s="24">
        <f t="shared" si="16"/>
        <v>0</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v>
      </c>
      <c r="F60" s="720"/>
      <c r="G60" s="24">
        <f t="shared" si="14"/>
        <v>0.02</v>
      </c>
      <c r="H60" s="720"/>
      <c r="I60" s="24">
        <f t="shared" si="15"/>
        <v>0</v>
      </c>
      <c r="J60" s="720"/>
      <c r="K60" s="24">
        <f t="shared" si="16"/>
        <v>0</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v>
      </c>
      <c r="F61" s="720"/>
      <c r="G61" s="24">
        <f t="shared" si="14"/>
        <v>0.02</v>
      </c>
      <c r="H61" s="720"/>
      <c r="I61" s="24">
        <f t="shared" si="15"/>
        <v>0</v>
      </c>
      <c r="J61" s="720"/>
      <c r="K61" s="24">
        <f t="shared" si="16"/>
        <v>0</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v>
      </c>
      <c r="F62" s="720"/>
      <c r="G62" s="24">
        <f t="shared" si="14"/>
        <v>0.02</v>
      </c>
      <c r="H62" s="720"/>
      <c r="I62" s="24">
        <f t="shared" si="15"/>
        <v>0</v>
      </c>
      <c r="J62" s="720"/>
      <c r="K62" s="24">
        <f t="shared" si="16"/>
        <v>0</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v>
      </c>
      <c r="F63" s="720"/>
      <c r="G63" s="24">
        <f t="shared" si="14"/>
        <v>0.02</v>
      </c>
      <c r="H63" s="720"/>
      <c r="I63" s="24">
        <f t="shared" si="15"/>
        <v>0</v>
      </c>
      <c r="J63" s="720"/>
      <c r="K63" s="24">
        <f t="shared" si="16"/>
        <v>0</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v>
      </c>
      <c r="F64" s="720"/>
      <c r="G64" s="24">
        <f t="shared" si="14"/>
        <v>0.02</v>
      </c>
      <c r="H64" s="720"/>
      <c r="I64" s="24">
        <f t="shared" si="15"/>
        <v>0</v>
      </c>
      <c r="J64" s="720"/>
      <c r="K64" s="24">
        <f t="shared" si="16"/>
        <v>0</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v>
      </c>
      <c r="F65" s="720"/>
      <c r="G65" s="24">
        <f t="shared" si="14"/>
        <v>0.02</v>
      </c>
      <c r="H65" s="720"/>
      <c r="I65" s="24">
        <f t="shared" si="15"/>
        <v>0</v>
      </c>
      <c r="J65" s="720"/>
      <c r="K65" s="24">
        <f t="shared" si="16"/>
        <v>0</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v>
      </c>
      <c r="F66" s="720"/>
      <c r="G66" s="24">
        <f t="shared" si="14"/>
        <v>0.02</v>
      </c>
      <c r="H66" s="720"/>
      <c r="I66" s="24">
        <f t="shared" si="15"/>
        <v>0</v>
      </c>
      <c r="J66" s="720"/>
      <c r="K66" s="24">
        <f t="shared" si="16"/>
        <v>0</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v>
      </c>
      <c r="F67" s="720"/>
      <c r="G67" s="24">
        <f t="shared" si="14"/>
        <v>0.02</v>
      </c>
      <c r="H67" s="720"/>
      <c r="I67" s="24">
        <f t="shared" si="15"/>
        <v>0</v>
      </c>
      <c r="J67" s="720"/>
      <c r="K67" s="24">
        <f t="shared" si="16"/>
        <v>0</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v>
      </c>
      <c r="F68" s="720"/>
      <c r="G68" s="24">
        <f t="shared" si="14"/>
        <v>0.02</v>
      </c>
      <c r="H68" s="720"/>
      <c r="I68" s="24">
        <f t="shared" si="15"/>
        <v>0</v>
      </c>
      <c r="J68" s="720"/>
      <c r="K68" s="24">
        <f t="shared" si="16"/>
        <v>0</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v>
      </c>
      <c r="F69" s="720"/>
      <c r="G69" s="24">
        <f t="shared" si="14"/>
        <v>0.02</v>
      </c>
      <c r="H69" s="720"/>
      <c r="I69" s="24">
        <f t="shared" si="15"/>
        <v>0</v>
      </c>
      <c r="J69" s="720"/>
      <c r="K69" s="24">
        <f t="shared" si="16"/>
        <v>0</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v>
      </c>
      <c r="F70" s="720"/>
      <c r="G70" s="24">
        <f t="shared" si="14"/>
        <v>0.02</v>
      </c>
      <c r="H70" s="720"/>
      <c r="I70" s="24">
        <f t="shared" si="15"/>
        <v>0</v>
      </c>
      <c r="J70" s="720"/>
      <c r="K70" s="24">
        <f t="shared" si="16"/>
        <v>0</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v>
      </c>
      <c r="F71" s="720"/>
      <c r="G71" s="24">
        <f t="shared" si="14"/>
        <v>0.02</v>
      </c>
      <c r="H71" s="720"/>
      <c r="I71" s="24">
        <f t="shared" si="15"/>
        <v>0</v>
      </c>
      <c r="J71" s="720"/>
      <c r="K71" s="24">
        <f t="shared" si="16"/>
        <v>0</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v>
      </c>
      <c r="F72" s="720"/>
      <c r="G72" s="24">
        <f t="shared" si="14"/>
        <v>0.02</v>
      </c>
      <c r="H72" s="720"/>
      <c r="I72" s="24">
        <f t="shared" si="15"/>
        <v>0</v>
      </c>
      <c r="J72" s="720"/>
      <c r="K72" s="24">
        <f t="shared" si="16"/>
        <v>0</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v>
      </c>
      <c r="F73" s="720"/>
      <c r="G73" s="24">
        <f t="shared" si="14"/>
        <v>0.02</v>
      </c>
      <c r="H73" s="720"/>
      <c r="I73" s="24">
        <f t="shared" si="15"/>
        <v>0</v>
      </c>
      <c r="J73" s="720"/>
      <c r="K73" s="24">
        <f t="shared" si="16"/>
        <v>0</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v>
      </c>
      <c r="F74" s="720"/>
      <c r="G74" s="24">
        <f t="shared" si="14"/>
        <v>0.02</v>
      </c>
      <c r="H74" s="720"/>
      <c r="I74" s="24">
        <f t="shared" si="15"/>
        <v>0</v>
      </c>
      <c r="J74" s="720"/>
      <c r="K74" s="24">
        <f t="shared" si="16"/>
        <v>0</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v>
      </c>
      <c r="F75" s="720"/>
      <c r="G75" s="24">
        <f t="shared" si="14"/>
        <v>0.02</v>
      </c>
      <c r="H75" s="720"/>
      <c r="I75" s="24">
        <f t="shared" si="15"/>
        <v>0</v>
      </c>
      <c r="J75" s="720"/>
      <c r="K75" s="24">
        <f t="shared" si="16"/>
        <v>0</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v>
      </c>
      <c r="F76" s="720"/>
      <c r="G76" s="24">
        <f t="shared" si="14"/>
        <v>0.02</v>
      </c>
      <c r="H76" s="720"/>
      <c r="I76" s="24">
        <f t="shared" si="15"/>
        <v>0</v>
      </c>
      <c r="J76" s="720"/>
      <c r="K76" s="24">
        <f t="shared" si="16"/>
        <v>0</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v>
      </c>
      <c r="F77" s="720"/>
      <c r="G77" s="24">
        <f t="shared" si="14"/>
        <v>0.02</v>
      </c>
      <c r="H77" s="720"/>
      <c r="I77" s="24">
        <f t="shared" si="15"/>
        <v>0</v>
      </c>
      <c r="J77" s="720"/>
      <c r="K77" s="24">
        <f t="shared" si="16"/>
        <v>0</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v>
      </c>
      <c r="F78" s="720"/>
      <c r="G78" s="24">
        <f t="shared" si="14"/>
        <v>0.02</v>
      </c>
      <c r="H78" s="720"/>
      <c r="I78" s="24">
        <f t="shared" si="15"/>
        <v>0</v>
      </c>
      <c r="J78" s="720"/>
      <c r="K78" s="24">
        <f t="shared" si="16"/>
        <v>0</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v>
      </c>
      <c r="F79" s="720"/>
      <c r="G79" s="24">
        <f t="shared" si="14"/>
        <v>0.02</v>
      </c>
      <c r="H79" s="720"/>
      <c r="I79" s="24">
        <f t="shared" si="15"/>
        <v>0</v>
      </c>
      <c r="J79" s="720"/>
      <c r="K79" s="24">
        <f t="shared" si="16"/>
        <v>0</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v>
      </c>
      <c r="F80" s="720"/>
      <c r="G80" s="24">
        <f t="shared" si="14"/>
        <v>0.02</v>
      </c>
      <c r="H80" s="720"/>
      <c r="I80" s="24">
        <f t="shared" si="15"/>
        <v>0</v>
      </c>
      <c r="J80" s="720"/>
      <c r="K80" s="24">
        <f t="shared" si="16"/>
        <v>0</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v>
      </c>
      <c r="F81" s="720"/>
      <c r="G81" s="24">
        <f t="shared" si="14"/>
        <v>0.02</v>
      </c>
      <c r="H81" s="720"/>
      <c r="I81" s="24">
        <f t="shared" si="15"/>
        <v>0</v>
      </c>
      <c r="J81" s="720"/>
      <c r="K81" s="24">
        <f t="shared" si="16"/>
        <v>0</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v>
      </c>
      <c r="F82" s="720"/>
      <c r="G82" s="24">
        <f t="shared" si="14"/>
        <v>0.02</v>
      </c>
      <c r="H82" s="720"/>
      <c r="I82" s="24">
        <f t="shared" si="15"/>
        <v>0</v>
      </c>
      <c r="J82" s="720"/>
      <c r="K82" s="24">
        <f t="shared" si="16"/>
        <v>0</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v>
      </c>
      <c r="F83" s="720"/>
      <c r="G83" s="24">
        <f t="shared" si="14"/>
        <v>0.02</v>
      </c>
      <c r="H83" s="720"/>
      <c r="I83" s="24">
        <f t="shared" si="15"/>
        <v>0</v>
      </c>
      <c r="J83" s="720"/>
      <c r="K83" s="24">
        <f t="shared" si="16"/>
        <v>0</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v>
      </c>
      <c r="F84" s="720"/>
      <c r="G84" s="24">
        <f t="shared" si="14"/>
        <v>0.02</v>
      </c>
      <c r="H84" s="720"/>
      <c r="I84" s="24">
        <f t="shared" si="15"/>
        <v>0</v>
      </c>
      <c r="J84" s="720"/>
      <c r="K84" s="24">
        <f t="shared" si="16"/>
        <v>0</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v>
      </c>
      <c r="F85" s="720"/>
      <c r="G85" s="24">
        <f t="shared" si="14"/>
        <v>0.02</v>
      </c>
      <c r="H85" s="720"/>
      <c r="I85" s="24">
        <f t="shared" si="15"/>
        <v>0</v>
      </c>
      <c r="J85" s="720"/>
      <c r="K85" s="24">
        <f t="shared" si="16"/>
        <v>0</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v>
      </c>
      <c r="F86" s="720"/>
      <c r="G86" s="24">
        <f t="shared" si="14"/>
        <v>0.02</v>
      </c>
      <c r="H86" s="720"/>
      <c r="I86" s="24">
        <f t="shared" si="15"/>
        <v>0</v>
      </c>
      <c r="J86" s="720"/>
      <c r="K86" s="24">
        <f t="shared" si="16"/>
        <v>0</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v>
      </c>
      <c r="F87" s="720"/>
      <c r="G87" s="24">
        <f t="shared" si="14"/>
        <v>0.02</v>
      </c>
      <c r="H87" s="720"/>
      <c r="I87" s="24">
        <f t="shared" si="15"/>
        <v>0</v>
      </c>
      <c r="J87" s="720"/>
      <c r="K87" s="24">
        <f t="shared" si="16"/>
        <v>0</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v>
      </c>
      <c r="F88" s="720"/>
      <c r="G88" s="24">
        <f t="shared" si="14"/>
        <v>0.02</v>
      </c>
      <c r="H88" s="720"/>
      <c r="I88" s="24">
        <f t="shared" si="15"/>
        <v>0</v>
      </c>
      <c r="J88" s="720"/>
      <c r="K88" s="24">
        <f t="shared" si="16"/>
        <v>0</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v>
      </c>
      <c r="F89" s="720"/>
      <c r="G89" s="24">
        <f t="shared" si="14"/>
        <v>0.02</v>
      </c>
      <c r="H89" s="720"/>
      <c r="I89" s="24">
        <f t="shared" si="15"/>
        <v>0</v>
      </c>
      <c r="J89" s="720"/>
      <c r="K89" s="24">
        <f t="shared" si="16"/>
        <v>0</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v>
      </c>
      <c r="F90" s="720"/>
      <c r="G90" s="24">
        <f t="shared" ref="G90:G153" si="25">(SUMIF($7:$7,F90,$8:$8)-SUMIF($7:$7,$F$24,$8:$8)+100)/100</f>
        <v>0.02</v>
      </c>
      <c r="H90" s="720"/>
      <c r="I90" s="24">
        <f t="shared" ref="I90:I153" si="26">(SUMIF($9:$9,H90,$10:$10)-SUMIF($9:$9,$H$24,$10:$10)+100)/100</f>
        <v>0</v>
      </c>
      <c r="J90" s="720"/>
      <c r="K90" s="24">
        <f t="shared" ref="K90:K153" si="27">(SUMIF($11:$11,J90,$12:$12)-SUMIF($11:$11,$J$24,$12:$12)+100)/100</f>
        <v>0</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v>
      </c>
      <c r="F91" s="720"/>
      <c r="G91" s="24">
        <f t="shared" si="25"/>
        <v>0.02</v>
      </c>
      <c r="H91" s="720"/>
      <c r="I91" s="24">
        <f t="shared" si="26"/>
        <v>0</v>
      </c>
      <c r="J91" s="720"/>
      <c r="K91" s="24">
        <f t="shared" si="27"/>
        <v>0</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v>
      </c>
      <c r="F92" s="720"/>
      <c r="G92" s="24">
        <f t="shared" si="25"/>
        <v>0.02</v>
      </c>
      <c r="H92" s="720"/>
      <c r="I92" s="24">
        <f t="shared" si="26"/>
        <v>0</v>
      </c>
      <c r="J92" s="720"/>
      <c r="K92" s="24">
        <f t="shared" si="27"/>
        <v>0</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v>
      </c>
      <c r="F93" s="720"/>
      <c r="G93" s="24">
        <f t="shared" si="25"/>
        <v>0.02</v>
      </c>
      <c r="H93" s="720"/>
      <c r="I93" s="24">
        <f t="shared" si="26"/>
        <v>0</v>
      </c>
      <c r="J93" s="720"/>
      <c r="K93" s="24">
        <f t="shared" si="27"/>
        <v>0</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v>
      </c>
      <c r="F94" s="720"/>
      <c r="G94" s="24">
        <f t="shared" si="25"/>
        <v>0.02</v>
      </c>
      <c r="H94" s="720"/>
      <c r="I94" s="24">
        <f t="shared" si="26"/>
        <v>0</v>
      </c>
      <c r="J94" s="720"/>
      <c r="K94" s="24">
        <f t="shared" si="27"/>
        <v>0</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v>
      </c>
      <c r="F95" s="720"/>
      <c r="G95" s="24">
        <f t="shared" si="25"/>
        <v>0.02</v>
      </c>
      <c r="H95" s="720"/>
      <c r="I95" s="24">
        <f t="shared" si="26"/>
        <v>0</v>
      </c>
      <c r="J95" s="720"/>
      <c r="K95" s="24">
        <f t="shared" si="27"/>
        <v>0</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v>
      </c>
      <c r="F96" s="720"/>
      <c r="G96" s="24">
        <f t="shared" si="25"/>
        <v>0.02</v>
      </c>
      <c r="H96" s="720"/>
      <c r="I96" s="24">
        <f t="shared" si="26"/>
        <v>0</v>
      </c>
      <c r="J96" s="720"/>
      <c r="K96" s="24">
        <f t="shared" si="27"/>
        <v>0</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v>
      </c>
      <c r="F97" s="720"/>
      <c r="G97" s="24">
        <f t="shared" si="25"/>
        <v>0.02</v>
      </c>
      <c r="H97" s="720"/>
      <c r="I97" s="24">
        <f t="shared" si="26"/>
        <v>0</v>
      </c>
      <c r="J97" s="720"/>
      <c r="K97" s="24">
        <f t="shared" si="27"/>
        <v>0</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v>
      </c>
      <c r="F98" s="720"/>
      <c r="G98" s="24">
        <f t="shared" si="25"/>
        <v>0.02</v>
      </c>
      <c r="H98" s="720"/>
      <c r="I98" s="24">
        <f t="shared" si="26"/>
        <v>0</v>
      </c>
      <c r="J98" s="720"/>
      <c r="K98" s="24">
        <f t="shared" si="27"/>
        <v>0</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v>
      </c>
      <c r="F99" s="720"/>
      <c r="G99" s="24">
        <f t="shared" si="25"/>
        <v>0.02</v>
      </c>
      <c r="H99" s="720"/>
      <c r="I99" s="24">
        <f t="shared" si="26"/>
        <v>0</v>
      </c>
      <c r="J99" s="720"/>
      <c r="K99" s="24">
        <f t="shared" si="27"/>
        <v>0</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v>
      </c>
      <c r="F100" s="720"/>
      <c r="G100" s="24">
        <f t="shared" si="25"/>
        <v>0.02</v>
      </c>
      <c r="H100" s="720"/>
      <c r="I100" s="24">
        <f t="shared" si="26"/>
        <v>0</v>
      </c>
      <c r="J100" s="720"/>
      <c r="K100" s="24">
        <f t="shared" si="27"/>
        <v>0</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v>
      </c>
      <c r="F101" s="720"/>
      <c r="G101" s="24">
        <f t="shared" si="25"/>
        <v>0.02</v>
      </c>
      <c r="H101" s="720"/>
      <c r="I101" s="24">
        <f t="shared" si="26"/>
        <v>0</v>
      </c>
      <c r="J101" s="720"/>
      <c r="K101" s="24">
        <f t="shared" si="27"/>
        <v>0</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v>
      </c>
      <c r="F102" s="720"/>
      <c r="G102" s="24">
        <f t="shared" si="25"/>
        <v>0.02</v>
      </c>
      <c r="H102" s="720"/>
      <c r="I102" s="24">
        <f t="shared" si="26"/>
        <v>0</v>
      </c>
      <c r="J102" s="720"/>
      <c r="K102" s="24">
        <f t="shared" si="27"/>
        <v>0</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v>
      </c>
      <c r="F103" s="720"/>
      <c r="G103" s="24">
        <f t="shared" si="25"/>
        <v>0.02</v>
      </c>
      <c r="H103" s="720"/>
      <c r="I103" s="24">
        <f t="shared" si="26"/>
        <v>0</v>
      </c>
      <c r="J103" s="720"/>
      <c r="K103" s="24">
        <f t="shared" si="27"/>
        <v>0</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v>
      </c>
      <c r="F104" s="720"/>
      <c r="G104" s="24">
        <f t="shared" si="25"/>
        <v>0.02</v>
      </c>
      <c r="H104" s="720"/>
      <c r="I104" s="24">
        <f t="shared" si="26"/>
        <v>0</v>
      </c>
      <c r="J104" s="720"/>
      <c r="K104" s="24">
        <f t="shared" si="27"/>
        <v>0</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v>
      </c>
      <c r="F105" s="720"/>
      <c r="G105" s="24">
        <f t="shared" si="25"/>
        <v>0.02</v>
      </c>
      <c r="H105" s="720"/>
      <c r="I105" s="24">
        <f t="shared" si="26"/>
        <v>0</v>
      </c>
      <c r="J105" s="720"/>
      <c r="K105" s="24">
        <f t="shared" si="27"/>
        <v>0</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v>
      </c>
      <c r="F106" s="720"/>
      <c r="G106" s="24">
        <f t="shared" si="25"/>
        <v>0.02</v>
      </c>
      <c r="H106" s="720"/>
      <c r="I106" s="24">
        <f t="shared" si="26"/>
        <v>0</v>
      </c>
      <c r="J106" s="720"/>
      <c r="K106" s="24">
        <f t="shared" si="27"/>
        <v>0</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v>
      </c>
      <c r="F107" s="720"/>
      <c r="G107" s="24">
        <f t="shared" si="25"/>
        <v>0.02</v>
      </c>
      <c r="H107" s="720"/>
      <c r="I107" s="24">
        <f t="shared" si="26"/>
        <v>0</v>
      </c>
      <c r="J107" s="720"/>
      <c r="K107" s="24">
        <f t="shared" si="27"/>
        <v>0</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v>
      </c>
      <c r="F108" s="720"/>
      <c r="G108" s="24">
        <f t="shared" si="25"/>
        <v>0.02</v>
      </c>
      <c r="H108" s="720"/>
      <c r="I108" s="24">
        <f t="shared" si="26"/>
        <v>0</v>
      </c>
      <c r="J108" s="720"/>
      <c r="K108" s="24">
        <f t="shared" si="27"/>
        <v>0</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v>
      </c>
      <c r="F109" s="720"/>
      <c r="G109" s="24">
        <f t="shared" si="25"/>
        <v>0.02</v>
      </c>
      <c r="H109" s="720"/>
      <c r="I109" s="24">
        <f t="shared" si="26"/>
        <v>0</v>
      </c>
      <c r="J109" s="720"/>
      <c r="K109" s="24">
        <f t="shared" si="27"/>
        <v>0</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v>
      </c>
      <c r="F110" s="720"/>
      <c r="G110" s="24">
        <f t="shared" si="25"/>
        <v>0.02</v>
      </c>
      <c r="H110" s="720"/>
      <c r="I110" s="24">
        <f t="shared" si="26"/>
        <v>0</v>
      </c>
      <c r="J110" s="720"/>
      <c r="K110" s="24">
        <f t="shared" si="27"/>
        <v>0</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v>
      </c>
      <c r="F111" s="720"/>
      <c r="G111" s="24">
        <f t="shared" si="25"/>
        <v>0.02</v>
      </c>
      <c r="H111" s="720"/>
      <c r="I111" s="24">
        <f t="shared" si="26"/>
        <v>0</v>
      </c>
      <c r="J111" s="720"/>
      <c r="K111" s="24">
        <f t="shared" si="27"/>
        <v>0</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v>
      </c>
      <c r="F112" s="720"/>
      <c r="G112" s="24">
        <f t="shared" si="25"/>
        <v>0.02</v>
      </c>
      <c r="H112" s="720"/>
      <c r="I112" s="24">
        <f t="shared" si="26"/>
        <v>0</v>
      </c>
      <c r="J112" s="720"/>
      <c r="K112" s="24">
        <f t="shared" si="27"/>
        <v>0</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v>
      </c>
      <c r="F113" s="720"/>
      <c r="G113" s="24">
        <f t="shared" si="25"/>
        <v>0.02</v>
      </c>
      <c r="H113" s="720"/>
      <c r="I113" s="24">
        <f t="shared" si="26"/>
        <v>0</v>
      </c>
      <c r="J113" s="720"/>
      <c r="K113" s="24">
        <f t="shared" si="27"/>
        <v>0</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v>
      </c>
      <c r="F114" s="720"/>
      <c r="G114" s="24">
        <f t="shared" si="25"/>
        <v>0.02</v>
      </c>
      <c r="H114" s="720"/>
      <c r="I114" s="24">
        <f t="shared" si="26"/>
        <v>0</v>
      </c>
      <c r="J114" s="720"/>
      <c r="K114" s="24">
        <f t="shared" si="27"/>
        <v>0</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v>
      </c>
      <c r="F115" s="720"/>
      <c r="G115" s="24">
        <f t="shared" si="25"/>
        <v>0.02</v>
      </c>
      <c r="H115" s="720"/>
      <c r="I115" s="24">
        <f t="shared" si="26"/>
        <v>0</v>
      </c>
      <c r="J115" s="720"/>
      <c r="K115" s="24">
        <f t="shared" si="27"/>
        <v>0</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v>
      </c>
      <c r="F116" s="720"/>
      <c r="G116" s="24">
        <f t="shared" si="25"/>
        <v>0.02</v>
      </c>
      <c r="H116" s="720"/>
      <c r="I116" s="24">
        <f t="shared" si="26"/>
        <v>0</v>
      </c>
      <c r="J116" s="720"/>
      <c r="K116" s="24">
        <f t="shared" si="27"/>
        <v>0</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v>
      </c>
      <c r="F117" s="720"/>
      <c r="G117" s="24">
        <f t="shared" si="25"/>
        <v>0.02</v>
      </c>
      <c r="H117" s="720"/>
      <c r="I117" s="24">
        <f t="shared" si="26"/>
        <v>0</v>
      </c>
      <c r="J117" s="720"/>
      <c r="K117" s="24">
        <f t="shared" si="27"/>
        <v>0</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v>
      </c>
      <c r="F118" s="720"/>
      <c r="G118" s="24">
        <f t="shared" si="25"/>
        <v>0.02</v>
      </c>
      <c r="H118" s="720"/>
      <c r="I118" s="24">
        <f t="shared" si="26"/>
        <v>0</v>
      </c>
      <c r="J118" s="720"/>
      <c r="K118" s="24">
        <f t="shared" si="27"/>
        <v>0</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v>
      </c>
      <c r="F119" s="720"/>
      <c r="G119" s="24">
        <f t="shared" si="25"/>
        <v>0.02</v>
      </c>
      <c r="H119" s="720"/>
      <c r="I119" s="24">
        <f t="shared" si="26"/>
        <v>0</v>
      </c>
      <c r="J119" s="720"/>
      <c r="K119" s="24">
        <f t="shared" si="27"/>
        <v>0</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v>
      </c>
      <c r="F120" s="720"/>
      <c r="G120" s="24">
        <f t="shared" si="25"/>
        <v>0.02</v>
      </c>
      <c r="H120" s="720"/>
      <c r="I120" s="24">
        <f t="shared" si="26"/>
        <v>0</v>
      </c>
      <c r="J120" s="720"/>
      <c r="K120" s="24">
        <f t="shared" si="27"/>
        <v>0</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v>
      </c>
      <c r="F121" s="720"/>
      <c r="G121" s="24">
        <f t="shared" si="25"/>
        <v>0.02</v>
      </c>
      <c r="H121" s="720"/>
      <c r="I121" s="24">
        <f t="shared" si="26"/>
        <v>0</v>
      </c>
      <c r="J121" s="720"/>
      <c r="K121" s="24">
        <f t="shared" si="27"/>
        <v>0</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v>
      </c>
      <c r="F122" s="720"/>
      <c r="G122" s="24">
        <f t="shared" si="25"/>
        <v>0.02</v>
      </c>
      <c r="H122" s="720"/>
      <c r="I122" s="24">
        <f t="shared" si="26"/>
        <v>0</v>
      </c>
      <c r="J122" s="720"/>
      <c r="K122" s="24">
        <f t="shared" si="27"/>
        <v>0</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v>
      </c>
      <c r="F123" s="720"/>
      <c r="G123" s="24">
        <f t="shared" si="25"/>
        <v>0.02</v>
      </c>
      <c r="H123" s="720"/>
      <c r="I123" s="24">
        <f t="shared" si="26"/>
        <v>0</v>
      </c>
      <c r="J123" s="720"/>
      <c r="K123" s="24">
        <f t="shared" si="27"/>
        <v>0</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v>
      </c>
      <c r="F124" s="720"/>
      <c r="G124" s="24">
        <f t="shared" si="25"/>
        <v>0.02</v>
      </c>
      <c r="H124" s="720"/>
      <c r="I124" s="24">
        <f t="shared" si="26"/>
        <v>0</v>
      </c>
      <c r="J124" s="720"/>
      <c r="K124" s="24">
        <f t="shared" si="27"/>
        <v>0</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v>
      </c>
      <c r="F125" s="720"/>
      <c r="G125" s="24">
        <f t="shared" si="25"/>
        <v>0.02</v>
      </c>
      <c r="H125" s="720"/>
      <c r="I125" s="24">
        <f t="shared" si="26"/>
        <v>0</v>
      </c>
      <c r="J125" s="720"/>
      <c r="K125" s="24">
        <f t="shared" si="27"/>
        <v>0</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v>
      </c>
      <c r="F126" s="720"/>
      <c r="G126" s="24">
        <f t="shared" si="25"/>
        <v>0.02</v>
      </c>
      <c r="H126" s="720"/>
      <c r="I126" s="24">
        <f t="shared" si="26"/>
        <v>0</v>
      </c>
      <c r="J126" s="720"/>
      <c r="K126" s="24">
        <f t="shared" si="27"/>
        <v>0</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v>
      </c>
      <c r="F127" s="720"/>
      <c r="G127" s="24">
        <f t="shared" si="25"/>
        <v>0.02</v>
      </c>
      <c r="H127" s="720"/>
      <c r="I127" s="24">
        <f t="shared" si="26"/>
        <v>0</v>
      </c>
      <c r="J127" s="720"/>
      <c r="K127" s="24">
        <f t="shared" si="27"/>
        <v>0</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v>
      </c>
      <c r="F128" s="720"/>
      <c r="G128" s="24">
        <f t="shared" si="25"/>
        <v>0.02</v>
      </c>
      <c r="H128" s="720"/>
      <c r="I128" s="24">
        <f t="shared" si="26"/>
        <v>0</v>
      </c>
      <c r="J128" s="720"/>
      <c r="K128" s="24">
        <f t="shared" si="27"/>
        <v>0</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v>
      </c>
      <c r="F129" s="720"/>
      <c r="G129" s="24">
        <f t="shared" si="25"/>
        <v>0.02</v>
      </c>
      <c r="H129" s="720"/>
      <c r="I129" s="24">
        <f t="shared" si="26"/>
        <v>0</v>
      </c>
      <c r="J129" s="720"/>
      <c r="K129" s="24">
        <f t="shared" si="27"/>
        <v>0</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v>
      </c>
      <c r="F130" s="720"/>
      <c r="G130" s="24">
        <f t="shared" si="25"/>
        <v>0.02</v>
      </c>
      <c r="H130" s="720"/>
      <c r="I130" s="24">
        <f t="shared" si="26"/>
        <v>0</v>
      </c>
      <c r="J130" s="720"/>
      <c r="K130" s="24">
        <f t="shared" si="27"/>
        <v>0</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v>
      </c>
      <c r="F131" s="720"/>
      <c r="G131" s="24">
        <f t="shared" si="25"/>
        <v>0.02</v>
      </c>
      <c r="H131" s="720"/>
      <c r="I131" s="24">
        <f t="shared" si="26"/>
        <v>0</v>
      </c>
      <c r="J131" s="720"/>
      <c r="K131" s="24">
        <f t="shared" si="27"/>
        <v>0</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v>
      </c>
      <c r="F132" s="720"/>
      <c r="G132" s="24">
        <f t="shared" si="25"/>
        <v>0.02</v>
      </c>
      <c r="H132" s="720"/>
      <c r="I132" s="24">
        <f t="shared" si="26"/>
        <v>0</v>
      </c>
      <c r="J132" s="720"/>
      <c r="K132" s="24">
        <f t="shared" si="27"/>
        <v>0</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v>
      </c>
      <c r="F133" s="720"/>
      <c r="G133" s="24">
        <f t="shared" si="25"/>
        <v>0.02</v>
      </c>
      <c r="H133" s="720"/>
      <c r="I133" s="24">
        <f t="shared" si="26"/>
        <v>0</v>
      </c>
      <c r="J133" s="720"/>
      <c r="K133" s="24">
        <f t="shared" si="27"/>
        <v>0</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v>
      </c>
      <c r="F134" s="720"/>
      <c r="G134" s="24">
        <f t="shared" si="25"/>
        <v>0.02</v>
      </c>
      <c r="H134" s="720"/>
      <c r="I134" s="24">
        <f t="shared" si="26"/>
        <v>0</v>
      </c>
      <c r="J134" s="720"/>
      <c r="K134" s="24">
        <f t="shared" si="27"/>
        <v>0</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v>
      </c>
      <c r="F135" s="720"/>
      <c r="G135" s="24">
        <f t="shared" si="25"/>
        <v>0.02</v>
      </c>
      <c r="H135" s="720"/>
      <c r="I135" s="24">
        <f t="shared" si="26"/>
        <v>0</v>
      </c>
      <c r="J135" s="720"/>
      <c r="K135" s="24">
        <f t="shared" si="27"/>
        <v>0</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v>
      </c>
      <c r="F136" s="720"/>
      <c r="G136" s="24">
        <f t="shared" si="25"/>
        <v>0.02</v>
      </c>
      <c r="H136" s="720"/>
      <c r="I136" s="24">
        <f t="shared" si="26"/>
        <v>0</v>
      </c>
      <c r="J136" s="720"/>
      <c r="K136" s="24">
        <f t="shared" si="27"/>
        <v>0</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v>
      </c>
      <c r="F137" s="720"/>
      <c r="G137" s="24">
        <f t="shared" si="25"/>
        <v>0.02</v>
      </c>
      <c r="H137" s="720"/>
      <c r="I137" s="24">
        <f t="shared" si="26"/>
        <v>0</v>
      </c>
      <c r="J137" s="720"/>
      <c r="K137" s="24">
        <f t="shared" si="27"/>
        <v>0</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v>
      </c>
      <c r="F138" s="720"/>
      <c r="G138" s="24">
        <f t="shared" si="25"/>
        <v>0.02</v>
      </c>
      <c r="H138" s="720"/>
      <c r="I138" s="24">
        <f t="shared" si="26"/>
        <v>0</v>
      </c>
      <c r="J138" s="720"/>
      <c r="K138" s="24">
        <f t="shared" si="27"/>
        <v>0</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v>
      </c>
      <c r="F139" s="720"/>
      <c r="G139" s="24">
        <f t="shared" si="25"/>
        <v>0.02</v>
      </c>
      <c r="H139" s="720"/>
      <c r="I139" s="24">
        <f t="shared" si="26"/>
        <v>0</v>
      </c>
      <c r="J139" s="720"/>
      <c r="K139" s="24">
        <f t="shared" si="27"/>
        <v>0</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v>
      </c>
      <c r="F140" s="720"/>
      <c r="G140" s="24">
        <f t="shared" si="25"/>
        <v>0.02</v>
      </c>
      <c r="H140" s="720"/>
      <c r="I140" s="24">
        <f t="shared" si="26"/>
        <v>0</v>
      </c>
      <c r="J140" s="720"/>
      <c r="K140" s="24">
        <f t="shared" si="27"/>
        <v>0</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v>
      </c>
      <c r="F141" s="720"/>
      <c r="G141" s="24">
        <f t="shared" si="25"/>
        <v>0.02</v>
      </c>
      <c r="H141" s="720"/>
      <c r="I141" s="24">
        <f t="shared" si="26"/>
        <v>0</v>
      </c>
      <c r="J141" s="720"/>
      <c r="K141" s="24">
        <f t="shared" si="27"/>
        <v>0</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v>
      </c>
      <c r="F142" s="720"/>
      <c r="G142" s="24">
        <f t="shared" si="25"/>
        <v>0.02</v>
      </c>
      <c r="H142" s="720"/>
      <c r="I142" s="24">
        <f t="shared" si="26"/>
        <v>0</v>
      </c>
      <c r="J142" s="720"/>
      <c r="K142" s="24">
        <f t="shared" si="27"/>
        <v>0</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v>
      </c>
      <c r="F143" s="720"/>
      <c r="G143" s="24">
        <f t="shared" si="25"/>
        <v>0.02</v>
      </c>
      <c r="H143" s="720"/>
      <c r="I143" s="24">
        <f t="shared" si="26"/>
        <v>0</v>
      </c>
      <c r="J143" s="720"/>
      <c r="K143" s="24">
        <f t="shared" si="27"/>
        <v>0</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v>
      </c>
      <c r="F144" s="720"/>
      <c r="G144" s="24">
        <f t="shared" si="25"/>
        <v>0.02</v>
      </c>
      <c r="H144" s="720"/>
      <c r="I144" s="24">
        <f t="shared" si="26"/>
        <v>0</v>
      </c>
      <c r="J144" s="720"/>
      <c r="K144" s="24">
        <f t="shared" si="27"/>
        <v>0</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v>
      </c>
      <c r="F145" s="720"/>
      <c r="G145" s="24">
        <f t="shared" si="25"/>
        <v>0.02</v>
      </c>
      <c r="H145" s="720"/>
      <c r="I145" s="24">
        <f t="shared" si="26"/>
        <v>0</v>
      </c>
      <c r="J145" s="720"/>
      <c r="K145" s="24">
        <f t="shared" si="27"/>
        <v>0</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v>
      </c>
      <c r="F146" s="720"/>
      <c r="G146" s="24">
        <f t="shared" si="25"/>
        <v>0.02</v>
      </c>
      <c r="H146" s="720"/>
      <c r="I146" s="24">
        <f t="shared" si="26"/>
        <v>0</v>
      </c>
      <c r="J146" s="720"/>
      <c r="K146" s="24">
        <f t="shared" si="27"/>
        <v>0</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v>
      </c>
      <c r="F147" s="720"/>
      <c r="G147" s="24">
        <f t="shared" si="25"/>
        <v>0.02</v>
      </c>
      <c r="H147" s="720"/>
      <c r="I147" s="24">
        <f t="shared" si="26"/>
        <v>0</v>
      </c>
      <c r="J147" s="720"/>
      <c r="K147" s="24">
        <f t="shared" si="27"/>
        <v>0</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v>
      </c>
      <c r="F148" s="720"/>
      <c r="G148" s="24">
        <f t="shared" si="25"/>
        <v>0.02</v>
      </c>
      <c r="H148" s="720"/>
      <c r="I148" s="24">
        <f t="shared" si="26"/>
        <v>0</v>
      </c>
      <c r="J148" s="720"/>
      <c r="K148" s="24">
        <f t="shared" si="27"/>
        <v>0</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v>
      </c>
      <c r="F149" s="720"/>
      <c r="G149" s="24">
        <f t="shared" si="25"/>
        <v>0.02</v>
      </c>
      <c r="H149" s="720"/>
      <c r="I149" s="24">
        <f t="shared" si="26"/>
        <v>0</v>
      </c>
      <c r="J149" s="720"/>
      <c r="K149" s="24">
        <f t="shared" si="27"/>
        <v>0</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v>
      </c>
      <c r="F150" s="720"/>
      <c r="G150" s="24">
        <f t="shared" si="25"/>
        <v>0.02</v>
      </c>
      <c r="H150" s="720"/>
      <c r="I150" s="24">
        <f t="shared" si="26"/>
        <v>0</v>
      </c>
      <c r="J150" s="720"/>
      <c r="K150" s="24">
        <f t="shared" si="27"/>
        <v>0</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v>
      </c>
      <c r="F151" s="720"/>
      <c r="G151" s="24">
        <f t="shared" si="25"/>
        <v>0.02</v>
      </c>
      <c r="H151" s="720"/>
      <c r="I151" s="24">
        <f t="shared" si="26"/>
        <v>0</v>
      </c>
      <c r="J151" s="720"/>
      <c r="K151" s="24">
        <f t="shared" si="27"/>
        <v>0</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v>
      </c>
      <c r="F152" s="720"/>
      <c r="G152" s="24">
        <f t="shared" si="25"/>
        <v>0.02</v>
      </c>
      <c r="H152" s="720"/>
      <c r="I152" s="24">
        <f t="shared" si="26"/>
        <v>0</v>
      </c>
      <c r="J152" s="720"/>
      <c r="K152" s="24">
        <f t="shared" si="27"/>
        <v>0</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v>
      </c>
      <c r="F153" s="720"/>
      <c r="G153" s="24">
        <f t="shared" si="25"/>
        <v>0.02</v>
      </c>
      <c r="H153" s="720"/>
      <c r="I153" s="24">
        <f t="shared" si="26"/>
        <v>0</v>
      </c>
      <c r="J153" s="720"/>
      <c r="K153" s="24">
        <f t="shared" si="27"/>
        <v>0</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0.02</v>
      </c>
      <c r="H154" s="720"/>
      <c r="I154" s="24">
        <f t="shared" ref="I154:I217" si="36">(SUMIF($9:$9,H154,$10:$10)-SUMIF($9:$9,$H$24,$10:$10)+100)/100</f>
        <v>0</v>
      </c>
      <c r="J154" s="720"/>
      <c r="K154" s="24">
        <f t="shared" ref="K154:K217" si="37">(SUMIF($11:$11,J154,$12:$12)-SUMIF($11:$11,$J$24,$12:$12)+100)/100</f>
        <v>0</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0.02</v>
      </c>
      <c r="H155" s="720"/>
      <c r="I155" s="24">
        <f t="shared" si="36"/>
        <v>0</v>
      </c>
      <c r="J155" s="720"/>
      <c r="K155" s="24">
        <f t="shared" si="37"/>
        <v>0</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v>
      </c>
      <c r="F156" s="720"/>
      <c r="G156" s="24">
        <f t="shared" si="35"/>
        <v>0.02</v>
      </c>
      <c r="H156" s="720"/>
      <c r="I156" s="24">
        <f t="shared" si="36"/>
        <v>0</v>
      </c>
      <c r="J156" s="720"/>
      <c r="K156" s="24">
        <f t="shared" si="37"/>
        <v>0</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v>
      </c>
      <c r="F157" s="720"/>
      <c r="G157" s="24">
        <f t="shared" si="35"/>
        <v>0.02</v>
      </c>
      <c r="H157" s="720"/>
      <c r="I157" s="24">
        <f t="shared" si="36"/>
        <v>0</v>
      </c>
      <c r="J157" s="720"/>
      <c r="K157" s="24">
        <f t="shared" si="37"/>
        <v>0</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v>
      </c>
      <c r="F158" s="720"/>
      <c r="G158" s="24">
        <f t="shared" si="35"/>
        <v>0.02</v>
      </c>
      <c r="H158" s="720"/>
      <c r="I158" s="24">
        <f t="shared" si="36"/>
        <v>0</v>
      </c>
      <c r="J158" s="720"/>
      <c r="K158" s="24">
        <f t="shared" si="37"/>
        <v>0</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v>
      </c>
      <c r="F159" s="720"/>
      <c r="G159" s="24">
        <f t="shared" si="35"/>
        <v>0.02</v>
      </c>
      <c r="H159" s="720"/>
      <c r="I159" s="24">
        <f t="shared" si="36"/>
        <v>0</v>
      </c>
      <c r="J159" s="720"/>
      <c r="K159" s="24">
        <f t="shared" si="37"/>
        <v>0</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v>
      </c>
      <c r="F160" s="720"/>
      <c r="G160" s="24">
        <f t="shared" si="35"/>
        <v>0.02</v>
      </c>
      <c r="H160" s="720"/>
      <c r="I160" s="24">
        <f t="shared" si="36"/>
        <v>0</v>
      </c>
      <c r="J160" s="720"/>
      <c r="K160" s="24">
        <f t="shared" si="37"/>
        <v>0</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v>
      </c>
      <c r="F161" s="720"/>
      <c r="G161" s="24">
        <f t="shared" si="35"/>
        <v>0.02</v>
      </c>
      <c r="H161" s="720"/>
      <c r="I161" s="24">
        <f t="shared" si="36"/>
        <v>0</v>
      </c>
      <c r="J161" s="720"/>
      <c r="K161" s="24">
        <f t="shared" si="37"/>
        <v>0</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v>
      </c>
      <c r="F162" s="720"/>
      <c r="G162" s="24">
        <f t="shared" si="35"/>
        <v>0.02</v>
      </c>
      <c r="H162" s="720"/>
      <c r="I162" s="24">
        <f t="shared" si="36"/>
        <v>0</v>
      </c>
      <c r="J162" s="720"/>
      <c r="K162" s="24">
        <f t="shared" si="37"/>
        <v>0</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v>
      </c>
      <c r="F163" s="720"/>
      <c r="G163" s="24">
        <f t="shared" si="35"/>
        <v>0.02</v>
      </c>
      <c r="H163" s="720"/>
      <c r="I163" s="24">
        <f t="shared" si="36"/>
        <v>0</v>
      </c>
      <c r="J163" s="720"/>
      <c r="K163" s="24">
        <f t="shared" si="37"/>
        <v>0</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v>
      </c>
      <c r="F164" s="720"/>
      <c r="G164" s="24">
        <f t="shared" si="35"/>
        <v>0.02</v>
      </c>
      <c r="H164" s="720"/>
      <c r="I164" s="24">
        <f t="shared" si="36"/>
        <v>0</v>
      </c>
      <c r="J164" s="720"/>
      <c r="K164" s="24">
        <f t="shared" si="37"/>
        <v>0</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v>
      </c>
      <c r="F165" s="720"/>
      <c r="G165" s="24">
        <f t="shared" si="35"/>
        <v>0.02</v>
      </c>
      <c r="H165" s="720"/>
      <c r="I165" s="24">
        <f t="shared" si="36"/>
        <v>0</v>
      </c>
      <c r="J165" s="720"/>
      <c r="K165" s="24">
        <f t="shared" si="37"/>
        <v>0</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v>
      </c>
      <c r="F166" s="720"/>
      <c r="G166" s="24">
        <f t="shared" si="35"/>
        <v>0.02</v>
      </c>
      <c r="H166" s="720"/>
      <c r="I166" s="24">
        <f t="shared" si="36"/>
        <v>0</v>
      </c>
      <c r="J166" s="720"/>
      <c r="K166" s="24">
        <f t="shared" si="37"/>
        <v>0</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v>
      </c>
      <c r="F167" s="720"/>
      <c r="G167" s="24">
        <f t="shared" si="35"/>
        <v>0.02</v>
      </c>
      <c r="H167" s="720"/>
      <c r="I167" s="24">
        <f t="shared" si="36"/>
        <v>0</v>
      </c>
      <c r="J167" s="720"/>
      <c r="K167" s="24">
        <f t="shared" si="37"/>
        <v>0</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v>
      </c>
      <c r="F168" s="720"/>
      <c r="G168" s="24">
        <f t="shared" si="35"/>
        <v>0.02</v>
      </c>
      <c r="H168" s="720"/>
      <c r="I168" s="24">
        <f t="shared" si="36"/>
        <v>0</v>
      </c>
      <c r="J168" s="720"/>
      <c r="K168" s="24">
        <f t="shared" si="37"/>
        <v>0</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v>
      </c>
      <c r="F169" s="720"/>
      <c r="G169" s="24">
        <f t="shared" si="35"/>
        <v>0.02</v>
      </c>
      <c r="H169" s="720"/>
      <c r="I169" s="24">
        <f t="shared" si="36"/>
        <v>0</v>
      </c>
      <c r="J169" s="720"/>
      <c r="K169" s="24">
        <f t="shared" si="37"/>
        <v>0</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v>
      </c>
      <c r="F170" s="720"/>
      <c r="G170" s="24">
        <f t="shared" si="35"/>
        <v>0.02</v>
      </c>
      <c r="H170" s="720"/>
      <c r="I170" s="24">
        <f t="shared" si="36"/>
        <v>0</v>
      </c>
      <c r="J170" s="720"/>
      <c r="K170" s="24">
        <f t="shared" si="37"/>
        <v>0</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v>
      </c>
      <c r="F171" s="720"/>
      <c r="G171" s="24">
        <f t="shared" si="35"/>
        <v>0.02</v>
      </c>
      <c r="H171" s="720"/>
      <c r="I171" s="24">
        <f t="shared" si="36"/>
        <v>0</v>
      </c>
      <c r="J171" s="720"/>
      <c r="K171" s="24">
        <f t="shared" si="37"/>
        <v>0</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v>
      </c>
      <c r="F172" s="720"/>
      <c r="G172" s="24">
        <f t="shared" si="35"/>
        <v>0.02</v>
      </c>
      <c r="H172" s="720"/>
      <c r="I172" s="24">
        <f t="shared" si="36"/>
        <v>0</v>
      </c>
      <c r="J172" s="720"/>
      <c r="K172" s="24">
        <f t="shared" si="37"/>
        <v>0</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v>
      </c>
      <c r="F173" s="720"/>
      <c r="G173" s="24">
        <f t="shared" si="35"/>
        <v>0.02</v>
      </c>
      <c r="H173" s="720"/>
      <c r="I173" s="24">
        <f t="shared" si="36"/>
        <v>0</v>
      </c>
      <c r="J173" s="720"/>
      <c r="K173" s="24">
        <f t="shared" si="37"/>
        <v>0</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v>
      </c>
      <c r="F174" s="720"/>
      <c r="G174" s="24">
        <f t="shared" si="35"/>
        <v>0.02</v>
      </c>
      <c r="H174" s="720"/>
      <c r="I174" s="24">
        <f t="shared" si="36"/>
        <v>0</v>
      </c>
      <c r="J174" s="720"/>
      <c r="K174" s="24">
        <f t="shared" si="37"/>
        <v>0</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v>
      </c>
      <c r="F175" s="720"/>
      <c r="G175" s="24">
        <f t="shared" si="35"/>
        <v>0.02</v>
      </c>
      <c r="H175" s="720"/>
      <c r="I175" s="24">
        <f t="shared" si="36"/>
        <v>0</v>
      </c>
      <c r="J175" s="720"/>
      <c r="K175" s="24">
        <f t="shared" si="37"/>
        <v>0</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v>
      </c>
      <c r="F176" s="720"/>
      <c r="G176" s="24">
        <f t="shared" si="35"/>
        <v>0.02</v>
      </c>
      <c r="H176" s="720"/>
      <c r="I176" s="24">
        <f t="shared" si="36"/>
        <v>0</v>
      </c>
      <c r="J176" s="720"/>
      <c r="K176" s="24">
        <f t="shared" si="37"/>
        <v>0</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v>
      </c>
      <c r="F177" s="720"/>
      <c r="G177" s="24">
        <f t="shared" si="35"/>
        <v>0.02</v>
      </c>
      <c r="H177" s="720"/>
      <c r="I177" s="24">
        <f t="shared" si="36"/>
        <v>0</v>
      </c>
      <c r="J177" s="720"/>
      <c r="K177" s="24">
        <f t="shared" si="37"/>
        <v>0</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v>
      </c>
      <c r="F178" s="720"/>
      <c r="G178" s="24">
        <f t="shared" si="35"/>
        <v>0.02</v>
      </c>
      <c r="H178" s="720"/>
      <c r="I178" s="24">
        <f t="shared" si="36"/>
        <v>0</v>
      </c>
      <c r="J178" s="720"/>
      <c r="K178" s="24">
        <f t="shared" si="37"/>
        <v>0</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v>
      </c>
      <c r="F179" s="720"/>
      <c r="G179" s="24">
        <f t="shared" si="35"/>
        <v>0.02</v>
      </c>
      <c r="H179" s="720"/>
      <c r="I179" s="24">
        <f t="shared" si="36"/>
        <v>0</v>
      </c>
      <c r="J179" s="720"/>
      <c r="K179" s="24">
        <f t="shared" si="37"/>
        <v>0</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v>
      </c>
      <c r="F180" s="720"/>
      <c r="G180" s="24">
        <f t="shared" si="35"/>
        <v>0.02</v>
      </c>
      <c r="H180" s="720"/>
      <c r="I180" s="24">
        <f t="shared" si="36"/>
        <v>0</v>
      </c>
      <c r="J180" s="720"/>
      <c r="K180" s="24">
        <f t="shared" si="37"/>
        <v>0</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v>
      </c>
      <c r="F181" s="720"/>
      <c r="G181" s="24">
        <f t="shared" si="35"/>
        <v>0.02</v>
      </c>
      <c r="H181" s="720"/>
      <c r="I181" s="24">
        <f t="shared" si="36"/>
        <v>0</v>
      </c>
      <c r="J181" s="720"/>
      <c r="K181" s="24">
        <f t="shared" si="37"/>
        <v>0</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v>
      </c>
      <c r="F182" s="720"/>
      <c r="G182" s="24">
        <f t="shared" si="35"/>
        <v>0.02</v>
      </c>
      <c r="H182" s="720"/>
      <c r="I182" s="24">
        <f t="shared" si="36"/>
        <v>0</v>
      </c>
      <c r="J182" s="720"/>
      <c r="K182" s="24">
        <f t="shared" si="37"/>
        <v>0</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v>
      </c>
      <c r="F183" s="720"/>
      <c r="G183" s="24">
        <f t="shared" si="35"/>
        <v>0.02</v>
      </c>
      <c r="H183" s="720"/>
      <c r="I183" s="24">
        <f t="shared" si="36"/>
        <v>0</v>
      </c>
      <c r="J183" s="720"/>
      <c r="K183" s="24">
        <f t="shared" si="37"/>
        <v>0</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v>
      </c>
      <c r="F184" s="720"/>
      <c r="G184" s="24">
        <f t="shared" si="35"/>
        <v>0.02</v>
      </c>
      <c r="H184" s="720"/>
      <c r="I184" s="24">
        <f t="shared" si="36"/>
        <v>0</v>
      </c>
      <c r="J184" s="720"/>
      <c r="K184" s="24">
        <f t="shared" si="37"/>
        <v>0</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v>
      </c>
      <c r="F185" s="720"/>
      <c r="G185" s="24">
        <f t="shared" si="35"/>
        <v>0.02</v>
      </c>
      <c r="H185" s="720"/>
      <c r="I185" s="24">
        <f t="shared" si="36"/>
        <v>0</v>
      </c>
      <c r="J185" s="720"/>
      <c r="K185" s="24">
        <f t="shared" si="37"/>
        <v>0</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v>
      </c>
      <c r="F186" s="720"/>
      <c r="G186" s="24">
        <f t="shared" si="35"/>
        <v>0.02</v>
      </c>
      <c r="H186" s="720"/>
      <c r="I186" s="24">
        <f t="shared" si="36"/>
        <v>0</v>
      </c>
      <c r="J186" s="720"/>
      <c r="K186" s="24">
        <f t="shared" si="37"/>
        <v>0</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v>
      </c>
      <c r="F187" s="720"/>
      <c r="G187" s="24">
        <f t="shared" si="35"/>
        <v>0.02</v>
      </c>
      <c r="H187" s="720"/>
      <c r="I187" s="24">
        <f t="shared" si="36"/>
        <v>0</v>
      </c>
      <c r="J187" s="720"/>
      <c r="K187" s="24">
        <f t="shared" si="37"/>
        <v>0</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v>
      </c>
      <c r="F188" s="720"/>
      <c r="G188" s="24">
        <f t="shared" si="35"/>
        <v>0.02</v>
      </c>
      <c r="H188" s="720"/>
      <c r="I188" s="24">
        <f t="shared" si="36"/>
        <v>0</v>
      </c>
      <c r="J188" s="720"/>
      <c r="K188" s="24">
        <f t="shared" si="37"/>
        <v>0</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v>
      </c>
      <c r="F189" s="720"/>
      <c r="G189" s="24">
        <f t="shared" si="35"/>
        <v>0.02</v>
      </c>
      <c r="H189" s="720"/>
      <c r="I189" s="24">
        <f t="shared" si="36"/>
        <v>0</v>
      </c>
      <c r="J189" s="720"/>
      <c r="K189" s="24">
        <f t="shared" si="37"/>
        <v>0</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v>
      </c>
      <c r="F190" s="720"/>
      <c r="G190" s="24">
        <f t="shared" si="35"/>
        <v>0.02</v>
      </c>
      <c r="H190" s="720"/>
      <c r="I190" s="24">
        <f t="shared" si="36"/>
        <v>0</v>
      </c>
      <c r="J190" s="720"/>
      <c r="K190" s="24">
        <f t="shared" si="37"/>
        <v>0</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v>
      </c>
      <c r="F191" s="720"/>
      <c r="G191" s="24">
        <f t="shared" si="35"/>
        <v>0.02</v>
      </c>
      <c r="H191" s="720"/>
      <c r="I191" s="24">
        <f t="shared" si="36"/>
        <v>0</v>
      </c>
      <c r="J191" s="720"/>
      <c r="K191" s="24">
        <f t="shared" si="37"/>
        <v>0</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v>
      </c>
      <c r="F192" s="720"/>
      <c r="G192" s="24">
        <f t="shared" si="35"/>
        <v>0.02</v>
      </c>
      <c r="H192" s="720"/>
      <c r="I192" s="24">
        <f t="shared" si="36"/>
        <v>0</v>
      </c>
      <c r="J192" s="720"/>
      <c r="K192" s="24">
        <f t="shared" si="37"/>
        <v>0</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v>
      </c>
      <c r="F193" s="720"/>
      <c r="G193" s="24">
        <f t="shared" si="35"/>
        <v>0.02</v>
      </c>
      <c r="H193" s="720"/>
      <c r="I193" s="24">
        <f t="shared" si="36"/>
        <v>0</v>
      </c>
      <c r="J193" s="720"/>
      <c r="K193" s="24">
        <f t="shared" si="37"/>
        <v>0</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v>
      </c>
      <c r="F194" s="720"/>
      <c r="G194" s="24">
        <f t="shared" si="35"/>
        <v>0.02</v>
      </c>
      <c r="H194" s="720"/>
      <c r="I194" s="24">
        <f t="shared" si="36"/>
        <v>0</v>
      </c>
      <c r="J194" s="720"/>
      <c r="K194" s="24">
        <f t="shared" si="37"/>
        <v>0</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v>
      </c>
      <c r="F195" s="720"/>
      <c r="G195" s="24">
        <f t="shared" si="35"/>
        <v>0.02</v>
      </c>
      <c r="H195" s="720"/>
      <c r="I195" s="24">
        <f t="shared" si="36"/>
        <v>0</v>
      </c>
      <c r="J195" s="720"/>
      <c r="K195" s="24">
        <f t="shared" si="37"/>
        <v>0</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v>
      </c>
      <c r="F196" s="720"/>
      <c r="G196" s="24">
        <f t="shared" si="35"/>
        <v>0.02</v>
      </c>
      <c r="H196" s="720"/>
      <c r="I196" s="24">
        <f t="shared" si="36"/>
        <v>0</v>
      </c>
      <c r="J196" s="720"/>
      <c r="K196" s="24">
        <f t="shared" si="37"/>
        <v>0</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v>
      </c>
      <c r="F197" s="720"/>
      <c r="G197" s="24">
        <f t="shared" si="35"/>
        <v>0.02</v>
      </c>
      <c r="H197" s="720"/>
      <c r="I197" s="24">
        <f t="shared" si="36"/>
        <v>0</v>
      </c>
      <c r="J197" s="720"/>
      <c r="K197" s="24">
        <f t="shared" si="37"/>
        <v>0</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v>
      </c>
      <c r="F198" s="720"/>
      <c r="G198" s="24">
        <f t="shared" si="35"/>
        <v>0.02</v>
      </c>
      <c r="H198" s="720"/>
      <c r="I198" s="24">
        <f t="shared" si="36"/>
        <v>0</v>
      </c>
      <c r="J198" s="720"/>
      <c r="K198" s="24">
        <f t="shared" si="37"/>
        <v>0</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v>
      </c>
      <c r="F199" s="720"/>
      <c r="G199" s="24">
        <f t="shared" si="35"/>
        <v>0.02</v>
      </c>
      <c r="H199" s="720"/>
      <c r="I199" s="24">
        <f t="shared" si="36"/>
        <v>0</v>
      </c>
      <c r="J199" s="720"/>
      <c r="K199" s="24">
        <f t="shared" si="37"/>
        <v>0</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v>
      </c>
      <c r="F200" s="720"/>
      <c r="G200" s="24">
        <f t="shared" si="35"/>
        <v>0.02</v>
      </c>
      <c r="H200" s="720"/>
      <c r="I200" s="24">
        <f t="shared" si="36"/>
        <v>0</v>
      </c>
      <c r="J200" s="720"/>
      <c r="K200" s="24">
        <f t="shared" si="37"/>
        <v>0</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v>
      </c>
      <c r="F201" s="720"/>
      <c r="G201" s="24">
        <f t="shared" si="35"/>
        <v>0.02</v>
      </c>
      <c r="H201" s="720"/>
      <c r="I201" s="24">
        <f t="shared" si="36"/>
        <v>0</v>
      </c>
      <c r="J201" s="720"/>
      <c r="K201" s="24">
        <f t="shared" si="37"/>
        <v>0</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v>
      </c>
      <c r="F202" s="720"/>
      <c r="G202" s="24">
        <f t="shared" si="35"/>
        <v>0.02</v>
      </c>
      <c r="H202" s="720"/>
      <c r="I202" s="24">
        <f t="shared" si="36"/>
        <v>0</v>
      </c>
      <c r="J202" s="720"/>
      <c r="K202" s="24">
        <f t="shared" si="37"/>
        <v>0</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v>
      </c>
      <c r="F203" s="720"/>
      <c r="G203" s="24">
        <f t="shared" si="35"/>
        <v>0.02</v>
      </c>
      <c r="H203" s="720"/>
      <c r="I203" s="24">
        <f t="shared" si="36"/>
        <v>0</v>
      </c>
      <c r="J203" s="720"/>
      <c r="K203" s="24">
        <f t="shared" si="37"/>
        <v>0</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v>
      </c>
      <c r="F204" s="720"/>
      <c r="G204" s="24">
        <f t="shared" si="35"/>
        <v>0.02</v>
      </c>
      <c r="H204" s="720"/>
      <c r="I204" s="24">
        <f t="shared" si="36"/>
        <v>0</v>
      </c>
      <c r="J204" s="720"/>
      <c r="K204" s="24">
        <f t="shared" si="37"/>
        <v>0</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v>
      </c>
      <c r="F205" s="720"/>
      <c r="G205" s="24">
        <f t="shared" si="35"/>
        <v>0.02</v>
      </c>
      <c r="H205" s="720"/>
      <c r="I205" s="24">
        <f t="shared" si="36"/>
        <v>0</v>
      </c>
      <c r="J205" s="720"/>
      <c r="K205" s="24">
        <f t="shared" si="37"/>
        <v>0</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v>
      </c>
      <c r="F206" s="720"/>
      <c r="G206" s="24">
        <f t="shared" si="35"/>
        <v>0.02</v>
      </c>
      <c r="H206" s="720"/>
      <c r="I206" s="24">
        <f t="shared" si="36"/>
        <v>0</v>
      </c>
      <c r="J206" s="720"/>
      <c r="K206" s="24">
        <f t="shared" si="37"/>
        <v>0</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v>
      </c>
      <c r="F207" s="720"/>
      <c r="G207" s="24">
        <f t="shared" si="35"/>
        <v>0.02</v>
      </c>
      <c r="H207" s="720"/>
      <c r="I207" s="24">
        <f t="shared" si="36"/>
        <v>0</v>
      </c>
      <c r="J207" s="720"/>
      <c r="K207" s="24">
        <f t="shared" si="37"/>
        <v>0</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v>
      </c>
      <c r="F208" s="720"/>
      <c r="G208" s="24">
        <f t="shared" si="35"/>
        <v>0.02</v>
      </c>
      <c r="H208" s="720"/>
      <c r="I208" s="24">
        <f t="shared" si="36"/>
        <v>0</v>
      </c>
      <c r="J208" s="720"/>
      <c r="K208" s="24">
        <f t="shared" si="37"/>
        <v>0</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v>
      </c>
      <c r="F209" s="720"/>
      <c r="G209" s="24">
        <f t="shared" si="35"/>
        <v>0.02</v>
      </c>
      <c r="H209" s="720"/>
      <c r="I209" s="24">
        <f t="shared" si="36"/>
        <v>0</v>
      </c>
      <c r="J209" s="720"/>
      <c r="K209" s="24">
        <f t="shared" si="37"/>
        <v>0</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v>
      </c>
      <c r="F210" s="720"/>
      <c r="G210" s="24">
        <f t="shared" si="35"/>
        <v>0.02</v>
      </c>
      <c r="H210" s="720"/>
      <c r="I210" s="24">
        <f t="shared" si="36"/>
        <v>0</v>
      </c>
      <c r="J210" s="720"/>
      <c r="K210" s="24">
        <f t="shared" si="37"/>
        <v>0</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v>
      </c>
      <c r="F211" s="720"/>
      <c r="G211" s="24">
        <f t="shared" si="35"/>
        <v>0.02</v>
      </c>
      <c r="H211" s="720"/>
      <c r="I211" s="24">
        <f t="shared" si="36"/>
        <v>0</v>
      </c>
      <c r="J211" s="720"/>
      <c r="K211" s="24">
        <f t="shared" si="37"/>
        <v>0</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v>
      </c>
      <c r="F212" s="720"/>
      <c r="G212" s="24">
        <f t="shared" si="35"/>
        <v>0.02</v>
      </c>
      <c r="H212" s="720"/>
      <c r="I212" s="24">
        <f t="shared" si="36"/>
        <v>0</v>
      </c>
      <c r="J212" s="720"/>
      <c r="K212" s="24">
        <f t="shared" si="37"/>
        <v>0</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v>
      </c>
      <c r="F213" s="720"/>
      <c r="G213" s="24">
        <f t="shared" si="35"/>
        <v>0.02</v>
      </c>
      <c r="H213" s="720"/>
      <c r="I213" s="24">
        <f t="shared" si="36"/>
        <v>0</v>
      </c>
      <c r="J213" s="720"/>
      <c r="K213" s="24">
        <f t="shared" si="37"/>
        <v>0</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v>
      </c>
      <c r="F214" s="720"/>
      <c r="G214" s="24">
        <f t="shared" si="35"/>
        <v>0.02</v>
      </c>
      <c r="H214" s="720"/>
      <c r="I214" s="24">
        <f t="shared" si="36"/>
        <v>0</v>
      </c>
      <c r="J214" s="720"/>
      <c r="K214" s="24">
        <f t="shared" si="37"/>
        <v>0</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v>
      </c>
      <c r="F215" s="720"/>
      <c r="G215" s="24">
        <f t="shared" si="35"/>
        <v>0.02</v>
      </c>
      <c r="H215" s="720"/>
      <c r="I215" s="24">
        <f t="shared" si="36"/>
        <v>0</v>
      </c>
      <c r="J215" s="720"/>
      <c r="K215" s="24">
        <f t="shared" si="37"/>
        <v>0</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v>
      </c>
      <c r="F216" s="720"/>
      <c r="G216" s="24">
        <f t="shared" si="35"/>
        <v>0.02</v>
      </c>
      <c r="H216" s="720"/>
      <c r="I216" s="24">
        <f t="shared" si="36"/>
        <v>0</v>
      </c>
      <c r="J216" s="720"/>
      <c r="K216" s="24">
        <f t="shared" si="37"/>
        <v>0</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v>
      </c>
      <c r="F217" s="720"/>
      <c r="G217" s="24">
        <f t="shared" si="35"/>
        <v>0.02</v>
      </c>
      <c r="H217" s="720"/>
      <c r="I217" s="24">
        <f t="shared" si="36"/>
        <v>0</v>
      </c>
      <c r="J217" s="720"/>
      <c r="K217" s="24">
        <f t="shared" si="37"/>
        <v>0</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0.02</v>
      </c>
      <c r="H218" s="720"/>
      <c r="I218" s="24">
        <f t="shared" ref="I218:I281" si="46">(SUMIF($9:$9,H218,$10:$10)-SUMIF($9:$9,$H$24,$10:$10)+100)/100</f>
        <v>0</v>
      </c>
      <c r="J218" s="720"/>
      <c r="K218" s="24">
        <f t="shared" ref="K218:K281" si="47">(SUMIF($11:$11,J218,$12:$12)-SUMIF($11:$11,$J$24,$12:$12)+100)/100</f>
        <v>0</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0.02</v>
      </c>
      <c r="H219" s="720"/>
      <c r="I219" s="24">
        <f t="shared" si="46"/>
        <v>0</v>
      </c>
      <c r="J219" s="720"/>
      <c r="K219" s="24">
        <f t="shared" si="47"/>
        <v>0</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v>
      </c>
      <c r="F220" s="720"/>
      <c r="G220" s="24">
        <f t="shared" si="45"/>
        <v>0.02</v>
      </c>
      <c r="H220" s="720"/>
      <c r="I220" s="24">
        <f t="shared" si="46"/>
        <v>0</v>
      </c>
      <c r="J220" s="720"/>
      <c r="K220" s="24">
        <f t="shared" si="47"/>
        <v>0</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v>
      </c>
      <c r="F221" s="720"/>
      <c r="G221" s="24">
        <f t="shared" si="45"/>
        <v>0.02</v>
      </c>
      <c r="H221" s="720"/>
      <c r="I221" s="24">
        <f t="shared" si="46"/>
        <v>0</v>
      </c>
      <c r="J221" s="720"/>
      <c r="K221" s="24">
        <f t="shared" si="47"/>
        <v>0</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v>
      </c>
      <c r="F222" s="720"/>
      <c r="G222" s="24">
        <f t="shared" si="45"/>
        <v>0.02</v>
      </c>
      <c r="H222" s="720"/>
      <c r="I222" s="24">
        <f t="shared" si="46"/>
        <v>0</v>
      </c>
      <c r="J222" s="720"/>
      <c r="K222" s="24">
        <f t="shared" si="47"/>
        <v>0</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v>
      </c>
      <c r="F223" s="720"/>
      <c r="G223" s="24">
        <f t="shared" si="45"/>
        <v>0.02</v>
      </c>
      <c r="H223" s="720"/>
      <c r="I223" s="24">
        <f t="shared" si="46"/>
        <v>0</v>
      </c>
      <c r="J223" s="720"/>
      <c r="K223" s="24">
        <f t="shared" si="47"/>
        <v>0</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v>
      </c>
      <c r="F224" s="720"/>
      <c r="G224" s="24">
        <f t="shared" si="45"/>
        <v>0.02</v>
      </c>
      <c r="H224" s="720"/>
      <c r="I224" s="24">
        <f t="shared" si="46"/>
        <v>0</v>
      </c>
      <c r="J224" s="720"/>
      <c r="K224" s="24">
        <f t="shared" si="47"/>
        <v>0</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v>
      </c>
      <c r="F225" s="720"/>
      <c r="G225" s="24">
        <f t="shared" si="45"/>
        <v>0.02</v>
      </c>
      <c r="H225" s="720"/>
      <c r="I225" s="24">
        <f t="shared" si="46"/>
        <v>0</v>
      </c>
      <c r="J225" s="720"/>
      <c r="K225" s="24">
        <f t="shared" si="47"/>
        <v>0</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v>
      </c>
      <c r="F226" s="720"/>
      <c r="G226" s="24">
        <f t="shared" si="45"/>
        <v>0.02</v>
      </c>
      <c r="H226" s="720"/>
      <c r="I226" s="24">
        <f t="shared" si="46"/>
        <v>0</v>
      </c>
      <c r="J226" s="720"/>
      <c r="K226" s="24">
        <f t="shared" si="47"/>
        <v>0</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v>
      </c>
      <c r="F227" s="720"/>
      <c r="G227" s="24">
        <f t="shared" si="45"/>
        <v>0.02</v>
      </c>
      <c r="H227" s="720"/>
      <c r="I227" s="24">
        <f t="shared" si="46"/>
        <v>0</v>
      </c>
      <c r="J227" s="720"/>
      <c r="K227" s="24">
        <f t="shared" si="47"/>
        <v>0</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v>
      </c>
      <c r="F228" s="720"/>
      <c r="G228" s="24">
        <f t="shared" si="45"/>
        <v>0.02</v>
      </c>
      <c r="H228" s="720"/>
      <c r="I228" s="24">
        <f t="shared" si="46"/>
        <v>0</v>
      </c>
      <c r="J228" s="720"/>
      <c r="K228" s="24">
        <f t="shared" si="47"/>
        <v>0</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v>
      </c>
      <c r="F229" s="720"/>
      <c r="G229" s="24">
        <f t="shared" si="45"/>
        <v>0.02</v>
      </c>
      <c r="H229" s="720"/>
      <c r="I229" s="24">
        <f t="shared" si="46"/>
        <v>0</v>
      </c>
      <c r="J229" s="720"/>
      <c r="K229" s="24">
        <f t="shared" si="47"/>
        <v>0</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v>
      </c>
      <c r="F230" s="720"/>
      <c r="G230" s="24">
        <f t="shared" si="45"/>
        <v>0.02</v>
      </c>
      <c r="H230" s="720"/>
      <c r="I230" s="24">
        <f t="shared" si="46"/>
        <v>0</v>
      </c>
      <c r="J230" s="720"/>
      <c r="K230" s="24">
        <f t="shared" si="47"/>
        <v>0</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v>
      </c>
      <c r="F231" s="720"/>
      <c r="G231" s="24">
        <f t="shared" si="45"/>
        <v>0.02</v>
      </c>
      <c r="H231" s="720"/>
      <c r="I231" s="24">
        <f t="shared" si="46"/>
        <v>0</v>
      </c>
      <c r="J231" s="720"/>
      <c r="K231" s="24">
        <f t="shared" si="47"/>
        <v>0</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v>
      </c>
      <c r="F232" s="720"/>
      <c r="G232" s="24">
        <f t="shared" si="45"/>
        <v>0.02</v>
      </c>
      <c r="H232" s="720"/>
      <c r="I232" s="24">
        <f t="shared" si="46"/>
        <v>0</v>
      </c>
      <c r="J232" s="720"/>
      <c r="K232" s="24">
        <f t="shared" si="47"/>
        <v>0</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v>
      </c>
      <c r="F233" s="720"/>
      <c r="G233" s="24">
        <f t="shared" si="45"/>
        <v>0.02</v>
      </c>
      <c r="H233" s="720"/>
      <c r="I233" s="24">
        <f t="shared" si="46"/>
        <v>0</v>
      </c>
      <c r="J233" s="720"/>
      <c r="K233" s="24">
        <f t="shared" si="47"/>
        <v>0</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v>
      </c>
      <c r="F234" s="720"/>
      <c r="G234" s="24">
        <f t="shared" si="45"/>
        <v>0.02</v>
      </c>
      <c r="H234" s="720"/>
      <c r="I234" s="24">
        <f t="shared" si="46"/>
        <v>0</v>
      </c>
      <c r="J234" s="720"/>
      <c r="K234" s="24">
        <f t="shared" si="47"/>
        <v>0</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v>
      </c>
      <c r="F235" s="720"/>
      <c r="G235" s="24">
        <f t="shared" si="45"/>
        <v>0.02</v>
      </c>
      <c r="H235" s="720"/>
      <c r="I235" s="24">
        <f t="shared" si="46"/>
        <v>0</v>
      </c>
      <c r="J235" s="720"/>
      <c r="K235" s="24">
        <f t="shared" si="47"/>
        <v>0</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v>
      </c>
      <c r="F236" s="720"/>
      <c r="G236" s="24">
        <f t="shared" si="45"/>
        <v>0.02</v>
      </c>
      <c r="H236" s="720"/>
      <c r="I236" s="24">
        <f t="shared" si="46"/>
        <v>0</v>
      </c>
      <c r="J236" s="720"/>
      <c r="K236" s="24">
        <f t="shared" si="47"/>
        <v>0</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v>
      </c>
      <c r="F237" s="720"/>
      <c r="G237" s="24">
        <f t="shared" si="45"/>
        <v>0.02</v>
      </c>
      <c r="H237" s="720"/>
      <c r="I237" s="24">
        <f t="shared" si="46"/>
        <v>0</v>
      </c>
      <c r="J237" s="720"/>
      <c r="K237" s="24">
        <f t="shared" si="47"/>
        <v>0</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v>
      </c>
      <c r="F238" s="720"/>
      <c r="G238" s="24">
        <f t="shared" si="45"/>
        <v>0.02</v>
      </c>
      <c r="H238" s="720"/>
      <c r="I238" s="24">
        <f t="shared" si="46"/>
        <v>0</v>
      </c>
      <c r="J238" s="720"/>
      <c r="K238" s="24">
        <f t="shared" si="47"/>
        <v>0</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v>
      </c>
      <c r="F239" s="720"/>
      <c r="G239" s="24">
        <f t="shared" si="45"/>
        <v>0.02</v>
      </c>
      <c r="H239" s="720"/>
      <c r="I239" s="24">
        <f t="shared" si="46"/>
        <v>0</v>
      </c>
      <c r="J239" s="720"/>
      <c r="K239" s="24">
        <f t="shared" si="47"/>
        <v>0</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v>
      </c>
      <c r="F240" s="720"/>
      <c r="G240" s="24">
        <f t="shared" si="45"/>
        <v>0.02</v>
      </c>
      <c r="H240" s="720"/>
      <c r="I240" s="24">
        <f t="shared" si="46"/>
        <v>0</v>
      </c>
      <c r="J240" s="720"/>
      <c r="K240" s="24">
        <f t="shared" si="47"/>
        <v>0</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v>
      </c>
      <c r="F241" s="720"/>
      <c r="G241" s="24">
        <f t="shared" si="45"/>
        <v>0.02</v>
      </c>
      <c r="H241" s="720"/>
      <c r="I241" s="24">
        <f t="shared" si="46"/>
        <v>0</v>
      </c>
      <c r="J241" s="720"/>
      <c r="K241" s="24">
        <f t="shared" si="47"/>
        <v>0</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v>
      </c>
      <c r="F242" s="720"/>
      <c r="G242" s="24">
        <f t="shared" si="45"/>
        <v>0.02</v>
      </c>
      <c r="H242" s="720"/>
      <c r="I242" s="24">
        <f t="shared" si="46"/>
        <v>0</v>
      </c>
      <c r="J242" s="720"/>
      <c r="K242" s="24">
        <f t="shared" si="47"/>
        <v>0</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v>
      </c>
      <c r="F243" s="720"/>
      <c r="G243" s="24">
        <f t="shared" si="45"/>
        <v>0.02</v>
      </c>
      <c r="H243" s="720"/>
      <c r="I243" s="24">
        <f t="shared" si="46"/>
        <v>0</v>
      </c>
      <c r="J243" s="720"/>
      <c r="K243" s="24">
        <f t="shared" si="47"/>
        <v>0</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v>
      </c>
      <c r="F244" s="720"/>
      <c r="G244" s="24">
        <f t="shared" si="45"/>
        <v>0.02</v>
      </c>
      <c r="H244" s="720"/>
      <c r="I244" s="24">
        <f t="shared" si="46"/>
        <v>0</v>
      </c>
      <c r="J244" s="720"/>
      <c r="K244" s="24">
        <f t="shared" si="47"/>
        <v>0</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v>
      </c>
      <c r="F245" s="720"/>
      <c r="G245" s="24">
        <f t="shared" si="45"/>
        <v>0.02</v>
      </c>
      <c r="H245" s="720"/>
      <c r="I245" s="24">
        <f t="shared" si="46"/>
        <v>0</v>
      </c>
      <c r="J245" s="720"/>
      <c r="K245" s="24">
        <f t="shared" si="47"/>
        <v>0</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v>
      </c>
      <c r="F246" s="720"/>
      <c r="G246" s="24">
        <f t="shared" si="45"/>
        <v>0.02</v>
      </c>
      <c r="H246" s="720"/>
      <c r="I246" s="24">
        <f t="shared" si="46"/>
        <v>0</v>
      </c>
      <c r="J246" s="720"/>
      <c r="K246" s="24">
        <f t="shared" si="47"/>
        <v>0</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v>
      </c>
      <c r="F247" s="720"/>
      <c r="G247" s="24">
        <f t="shared" si="45"/>
        <v>0.02</v>
      </c>
      <c r="H247" s="720"/>
      <c r="I247" s="24">
        <f t="shared" si="46"/>
        <v>0</v>
      </c>
      <c r="J247" s="720"/>
      <c r="K247" s="24">
        <f t="shared" si="47"/>
        <v>0</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v>
      </c>
      <c r="F248" s="720"/>
      <c r="G248" s="24">
        <f t="shared" si="45"/>
        <v>0.02</v>
      </c>
      <c r="H248" s="720"/>
      <c r="I248" s="24">
        <f t="shared" si="46"/>
        <v>0</v>
      </c>
      <c r="J248" s="720"/>
      <c r="K248" s="24">
        <f t="shared" si="47"/>
        <v>0</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v>
      </c>
      <c r="F249" s="720"/>
      <c r="G249" s="24">
        <f t="shared" si="45"/>
        <v>0.02</v>
      </c>
      <c r="H249" s="720"/>
      <c r="I249" s="24">
        <f t="shared" si="46"/>
        <v>0</v>
      </c>
      <c r="J249" s="720"/>
      <c r="K249" s="24">
        <f t="shared" si="47"/>
        <v>0</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v>
      </c>
      <c r="F250" s="720"/>
      <c r="G250" s="24">
        <f t="shared" si="45"/>
        <v>0.02</v>
      </c>
      <c r="H250" s="720"/>
      <c r="I250" s="24">
        <f t="shared" si="46"/>
        <v>0</v>
      </c>
      <c r="J250" s="720"/>
      <c r="K250" s="24">
        <f t="shared" si="47"/>
        <v>0</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v>
      </c>
      <c r="F251" s="720"/>
      <c r="G251" s="24">
        <f t="shared" si="45"/>
        <v>0.02</v>
      </c>
      <c r="H251" s="720"/>
      <c r="I251" s="24">
        <f t="shared" si="46"/>
        <v>0</v>
      </c>
      <c r="J251" s="720"/>
      <c r="K251" s="24">
        <f t="shared" si="47"/>
        <v>0</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v>
      </c>
      <c r="F252" s="720"/>
      <c r="G252" s="24">
        <f t="shared" si="45"/>
        <v>0.02</v>
      </c>
      <c r="H252" s="720"/>
      <c r="I252" s="24">
        <f t="shared" si="46"/>
        <v>0</v>
      </c>
      <c r="J252" s="720"/>
      <c r="K252" s="24">
        <f t="shared" si="47"/>
        <v>0</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v>
      </c>
      <c r="F253" s="720"/>
      <c r="G253" s="24">
        <f t="shared" si="45"/>
        <v>0.02</v>
      </c>
      <c r="H253" s="720"/>
      <c r="I253" s="24">
        <f t="shared" si="46"/>
        <v>0</v>
      </c>
      <c r="J253" s="720"/>
      <c r="K253" s="24">
        <f t="shared" si="47"/>
        <v>0</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v>
      </c>
      <c r="F254" s="720"/>
      <c r="G254" s="24">
        <f t="shared" si="45"/>
        <v>0.02</v>
      </c>
      <c r="H254" s="720"/>
      <c r="I254" s="24">
        <f t="shared" si="46"/>
        <v>0</v>
      </c>
      <c r="J254" s="720"/>
      <c r="K254" s="24">
        <f t="shared" si="47"/>
        <v>0</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v>
      </c>
      <c r="F255" s="720"/>
      <c r="G255" s="24">
        <f t="shared" si="45"/>
        <v>0.02</v>
      </c>
      <c r="H255" s="720"/>
      <c r="I255" s="24">
        <f t="shared" si="46"/>
        <v>0</v>
      </c>
      <c r="J255" s="720"/>
      <c r="K255" s="24">
        <f t="shared" si="47"/>
        <v>0</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v>
      </c>
      <c r="F256" s="720"/>
      <c r="G256" s="24">
        <f t="shared" si="45"/>
        <v>0.02</v>
      </c>
      <c r="H256" s="720"/>
      <c r="I256" s="24">
        <f t="shared" si="46"/>
        <v>0</v>
      </c>
      <c r="J256" s="720"/>
      <c r="K256" s="24">
        <f t="shared" si="47"/>
        <v>0</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v>
      </c>
      <c r="F257" s="720"/>
      <c r="G257" s="24">
        <f t="shared" si="45"/>
        <v>0.02</v>
      </c>
      <c r="H257" s="720"/>
      <c r="I257" s="24">
        <f t="shared" si="46"/>
        <v>0</v>
      </c>
      <c r="J257" s="720"/>
      <c r="K257" s="24">
        <f t="shared" si="47"/>
        <v>0</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v>
      </c>
      <c r="F258" s="720"/>
      <c r="G258" s="24">
        <f t="shared" si="45"/>
        <v>0.02</v>
      </c>
      <c r="H258" s="720"/>
      <c r="I258" s="24">
        <f t="shared" si="46"/>
        <v>0</v>
      </c>
      <c r="J258" s="720"/>
      <c r="K258" s="24">
        <f t="shared" si="47"/>
        <v>0</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v>
      </c>
      <c r="F259" s="720"/>
      <c r="G259" s="24">
        <f t="shared" si="45"/>
        <v>0.02</v>
      </c>
      <c r="H259" s="720"/>
      <c r="I259" s="24">
        <f t="shared" si="46"/>
        <v>0</v>
      </c>
      <c r="J259" s="720"/>
      <c r="K259" s="24">
        <f t="shared" si="47"/>
        <v>0</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v>
      </c>
      <c r="F260" s="720"/>
      <c r="G260" s="24">
        <f t="shared" si="45"/>
        <v>0.02</v>
      </c>
      <c r="H260" s="720"/>
      <c r="I260" s="24">
        <f t="shared" si="46"/>
        <v>0</v>
      </c>
      <c r="J260" s="720"/>
      <c r="K260" s="24">
        <f t="shared" si="47"/>
        <v>0</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v>
      </c>
      <c r="F261" s="720"/>
      <c r="G261" s="24">
        <f t="shared" si="45"/>
        <v>0.02</v>
      </c>
      <c r="H261" s="720"/>
      <c r="I261" s="24">
        <f t="shared" si="46"/>
        <v>0</v>
      </c>
      <c r="J261" s="720"/>
      <c r="K261" s="24">
        <f t="shared" si="47"/>
        <v>0</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v>
      </c>
      <c r="F262" s="720"/>
      <c r="G262" s="24">
        <f t="shared" si="45"/>
        <v>0.02</v>
      </c>
      <c r="H262" s="720"/>
      <c r="I262" s="24">
        <f t="shared" si="46"/>
        <v>0</v>
      </c>
      <c r="J262" s="720"/>
      <c r="K262" s="24">
        <f t="shared" si="47"/>
        <v>0</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v>
      </c>
      <c r="F263" s="720"/>
      <c r="G263" s="24">
        <f t="shared" si="45"/>
        <v>0.02</v>
      </c>
      <c r="H263" s="720"/>
      <c r="I263" s="24">
        <f t="shared" si="46"/>
        <v>0</v>
      </c>
      <c r="J263" s="720"/>
      <c r="K263" s="24">
        <f t="shared" si="47"/>
        <v>0</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v>
      </c>
      <c r="F264" s="720"/>
      <c r="G264" s="24">
        <f t="shared" si="45"/>
        <v>0.02</v>
      </c>
      <c r="H264" s="720"/>
      <c r="I264" s="24">
        <f t="shared" si="46"/>
        <v>0</v>
      </c>
      <c r="J264" s="720"/>
      <c r="K264" s="24">
        <f t="shared" si="47"/>
        <v>0</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v>
      </c>
      <c r="F265" s="720"/>
      <c r="G265" s="24">
        <f t="shared" si="45"/>
        <v>0.02</v>
      </c>
      <c r="H265" s="720"/>
      <c r="I265" s="24">
        <f t="shared" si="46"/>
        <v>0</v>
      </c>
      <c r="J265" s="720"/>
      <c r="K265" s="24">
        <f t="shared" si="47"/>
        <v>0</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v>
      </c>
      <c r="F266" s="720"/>
      <c r="G266" s="24">
        <f t="shared" si="45"/>
        <v>0.02</v>
      </c>
      <c r="H266" s="720"/>
      <c r="I266" s="24">
        <f t="shared" si="46"/>
        <v>0</v>
      </c>
      <c r="J266" s="720"/>
      <c r="K266" s="24">
        <f t="shared" si="47"/>
        <v>0</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v>
      </c>
      <c r="F267" s="720"/>
      <c r="G267" s="24">
        <f t="shared" si="45"/>
        <v>0.02</v>
      </c>
      <c r="H267" s="720"/>
      <c r="I267" s="24">
        <f t="shared" si="46"/>
        <v>0</v>
      </c>
      <c r="J267" s="720"/>
      <c r="K267" s="24">
        <f t="shared" si="47"/>
        <v>0</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v>
      </c>
      <c r="F268" s="720"/>
      <c r="G268" s="24">
        <f t="shared" si="45"/>
        <v>0.02</v>
      </c>
      <c r="H268" s="720"/>
      <c r="I268" s="24">
        <f t="shared" si="46"/>
        <v>0</v>
      </c>
      <c r="J268" s="720"/>
      <c r="K268" s="24">
        <f t="shared" si="47"/>
        <v>0</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v>
      </c>
      <c r="F269" s="720"/>
      <c r="G269" s="24">
        <f t="shared" si="45"/>
        <v>0.02</v>
      </c>
      <c r="H269" s="720"/>
      <c r="I269" s="24">
        <f t="shared" si="46"/>
        <v>0</v>
      </c>
      <c r="J269" s="720"/>
      <c r="K269" s="24">
        <f t="shared" si="47"/>
        <v>0</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v>
      </c>
      <c r="F270" s="720"/>
      <c r="G270" s="24">
        <f t="shared" si="45"/>
        <v>0.02</v>
      </c>
      <c r="H270" s="720"/>
      <c r="I270" s="24">
        <f t="shared" si="46"/>
        <v>0</v>
      </c>
      <c r="J270" s="720"/>
      <c r="K270" s="24">
        <f t="shared" si="47"/>
        <v>0</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v>
      </c>
      <c r="F271" s="720"/>
      <c r="G271" s="24">
        <f t="shared" si="45"/>
        <v>0.02</v>
      </c>
      <c r="H271" s="720"/>
      <c r="I271" s="24">
        <f t="shared" si="46"/>
        <v>0</v>
      </c>
      <c r="J271" s="720"/>
      <c r="K271" s="24">
        <f t="shared" si="47"/>
        <v>0</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v>
      </c>
      <c r="F272" s="720"/>
      <c r="G272" s="24">
        <f t="shared" si="45"/>
        <v>0.02</v>
      </c>
      <c r="H272" s="720"/>
      <c r="I272" s="24">
        <f t="shared" si="46"/>
        <v>0</v>
      </c>
      <c r="J272" s="720"/>
      <c r="K272" s="24">
        <f t="shared" si="47"/>
        <v>0</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v>
      </c>
      <c r="F273" s="720"/>
      <c r="G273" s="24">
        <f t="shared" si="45"/>
        <v>0.02</v>
      </c>
      <c r="H273" s="720"/>
      <c r="I273" s="24">
        <f t="shared" si="46"/>
        <v>0</v>
      </c>
      <c r="J273" s="720"/>
      <c r="K273" s="24">
        <f t="shared" si="47"/>
        <v>0</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v>
      </c>
      <c r="F274" s="720"/>
      <c r="G274" s="24">
        <f t="shared" si="45"/>
        <v>0.02</v>
      </c>
      <c r="H274" s="720"/>
      <c r="I274" s="24">
        <f t="shared" si="46"/>
        <v>0</v>
      </c>
      <c r="J274" s="720"/>
      <c r="K274" s="24">
        <f t="shared" si="47"/>
        <v>0</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v>
      </c>
      <c r="F275" s="720"/>
      <c r="G275" s="24">
        <f t="shared" si="45"/>
        <v>0.02</v>
      </c>
      <c r="H275" s="720"/>
      <c r="I275" s="24">
        <f t="shared" si="46"/>
        <v>0</v>
      </c>
      <c r="J275" s="720"/>
      <c r="K275" s="24">
        <f t="shared" si="47"/>
        <v>0</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v>
      </c>
      <c r="F276" s="720"/>
      <c r="G276" s="24">
        <f t="shared" si="45"/>
        <v>0.02</v>
      </c>
      <c r="H276" s="720"/>
      <c r="I276" s="24">
        <f t="shared" si="46"/>
        <v>0</v>
      </c>
      <c r="J276" s="720"/>
      <c r="K276" s="24">
        <f t="shared" si="47"/>
        <v>0</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v>
      </c>
      <c r="F277" s="720"/>
      <c r="G277" s="24">
        <f t="shared" si="45"/>
        <v>0.02</v>
      </c>
      <c r="H277" s="720"/>
      <c r="I277" s="24">
        <f t="shared" si="46"/>
        <v>0</v>
      </c>
      <c r="J277" s="720"/>
      <c r="K277" s="24">
        <f t="shared" si="47"/>
        <v>0</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v>
      </c>
      <c r="F278" s="720"/>
      <c r="G278" s="24">
        <f t="shared" si="45"/>
        <v>0.02</v>
      </c>
      <c r="H278" s="720"/>
      <c r="I278" s="24">
        <f t="shared" si="46"/>
        <v>0</v>
      </c>
      <c r="J278" s="720"/>
      <c r="K278" s="24">
        <f t="shared" si="47"/>
        <v>0</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v>
      </c>
      <c r="F279" s="720"/>
      <c r="G279" s="24">
        <f t="shared" si="45"/>
        <v>0.02</v>
      </c>
      <c r="H279" s="720"/>
      <c r="I279" s="24">
        <f t="shared" si="46"/>
        <v>0</v>
      </c>
      <c r="J279" s="720"/>
      <c r="K279" s="24">
        <f t="shared" si="47"/>
        <v>0</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v>
      </c>
      <c r="F280" s="720"/>
      <c r="G280" s="24">
        <f t="shared" si="45"/>
        <v>0.02</v>
      </c>
      <c r="H280" s="720"/>
      <c r="I280" s="24">
        <f t="shared" si="46"/>
        <v>0</v>
      </c>
      <c r="J280" s="720"/>
      <c r="K280" s="24">
        <f t="shared" si="47"/>
        <v>0</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v>
      </c>
      <c r="F281" s="720"/>
      <c r="G281" s="24">
        <f t="shared" si="45"/>
        <v>0.02</v>
      </c>
      <c r="H281" s="720"/>
      <c r="I281" s="24">
        <f t="shared" si="46"/>
        <v>0</v>
      </c>
      <c r="J281" s="720"/>
      <c r="K281" s="24">
        <f t="shared" si="47"/>
        <v>0</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0.02</v>
      </c>
      <c r="H282" s="720"/>
      <c r="I282" s="24">
        <f t="shared" ref="I282:I345" si="56">(SUMIF($9:$9,H282,$10:$10)-SUMIF($9:$9,$H$24,$10:$10)+100)/100</f>
        <v>0</v>
      </c>
      <c r="J282" s="720"/>
      <c r="K282" s="24">
        <f t="shared" ref="K282:K345" si="57">(SUMIF($11:$11,J282,$12:$12)-SUMIF($11:$11,$J$24,$12:$12)+100)/100</f>
        <v>0</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0.02</v>
      </c>
      <c r="H283" s="720"/>
      <c r="I283" s="24">
        <f t="shared" si="56"/>
        <v>0</v>
      </c>
      <c r="J283" s="720"/>
      <c r="K283" s="24">
        <f t="shared" si="57"/>
        <v>0</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v>
      </c>
      <c r="F284" s="720"/>
      <c r="G284" s="24">
        <f t="shared" si="55"/>
        <v>0.02</v>
      </c>
      <c r="H284" s="720"/>
      <c r="I284" s="24">
        <f t="shared" si="56"/>
        <v>0</v>
      </c>
      <c r="J284" s="720"/>
      <c r="K284" s="24">
        <f t="shared" si="57"/>
        <v>0</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v>
      </c>
      <c r="F285" s="720"/>
      <c r="G285" s="24">
        <f t="shared" si="55"/>
        <v>0.02</v>
      </c>
      <c r="H285" s="720"/>
      <c r="I285" s="24">
        <f t="shared" si="56"/>
        <v>0</v>
      </c>
      <c r="J285" s="720"/>
      <c r="K285" s="24">
        <f t="shared" si="57"/>
        <v>0</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v>
      </c>
      <c r="F286" s="720"/>
      <c r="G286" s="24">
        <f t="shared" si="55"/>
        <v>0.02</v>
      </c>
      <c r="H286" s="720"/>
      <c r="I286" s="24">
        <f t="shared" si="56"/>
        <v>0</v>
      </c>
      <c r="J286" s="720"/>
      <c r="K286" s="24">
        <f t="shared" si="57"/>
        <v>0</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v>
      </c>
      <c r="F287" s="720"/>
      <c r="G287" s="24">
        <f t="shared" si="55"/>
        <v>0.02</v>
      </c>
      <c r="H287" s="720"/>
      <c r="I287" s="24">
        <f t="shared" si="56"/>
        <v>0</v>
      </c>
      <c r="J287" s="720"/>
      <c r="K287" s="24">
        <f t="shared" si="57"/>
        <v>0</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v>
      </c>
      <c r="F288" s="720"/>
      <c r="G288" s="24">
        <f t="shared" si="55"/>
        <v>0.02</v>
      </c>
      <c r="H288" s="720"/>
      <c r="I288" s="24">
        <f t="shared" si="56"/>
        <v>0</v>
      </c>
      <c r="J288" s="720"/>
      <c r="K288" s="24">
        <f t="shared" si="57"/>
        <v>0</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v>
      </c>
      <c r="F289" s="720"/>
      <c r="G289" s="24">
        <f t="shared" si="55"/>
        <v>0.02</v>
      </c>
      <c r="H289" s="720"/>
      <c r="I289" s="24">
        <f t="shared" si="56"/>
        <v>0</v>
      </c>
      <c r="J289" s="720"/>
      <c r="K289" s="24">
        <f t="shared" si="57"/>
        <v>0</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v>
      </c>
      <c r="F290" s="720"/>
      <c r="G290" s="24">
        <f t="shared" si="55"/>
        <v>0.02</v>
      </c>
      <c r="H290" s="720"/>
      <c r="I290" s="24">
        <f t="shared" si="56"/>
        <v>0</v>
      </c>
      <c r="J290" s="720"/>
      <c r="K290" s="24">
        <f t="shared" si="57"/>
        <v>0</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v>
      </c>
      <c r="F291" s="720"/>
      <c r="G291" s="24">
        <f t="shared" si="55"/>
        <v>0.02</v>
      </c>
      <c r="H291" s="720"/>
      <c r="I291" s="24">
        <f t="shared" si="56"/>
        <v>0</v>
      </c>
      <c r="J291" s="720"/>
      <c r="K291" s="24">
        <f t="shared" si="57"/>
        <v>0</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v>
      </c>
      <c r="F292" s="720"/>
      <c r="G292" s="24">
        <f t="shared" si="55"/>
        <v>0.02</v>
      </c>
      <c r="H292" s="720"/>
      <c r="I292" s="24">
        <f t="shared" si="56"/>
        <v>0</v>
      </c>
      <c r="J292" s="720"/>
      <c r="K292" s="24">
        <f t="shared" si="57"/>
        <v>0</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v>
      </c>
      <c r="F293" s="720"/>
      <c r="G293" s="24">
        <f t="shared" si="55"/>
        <v>0.02</v>
      </c>
      <c r="H293" s="720"/>
      <c r="I293" s="24">
        <f t="shared" si="56"/>
        <v>0</v>
      </c>
      <c r="J293" s="720"/>
      <c r="K293" s="24">
        <f t="shared" si="57"/>
        <v>0</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v>
      </c>
      <c r="F294" s="720"/>
      <c r="G294" s="24">
        <f t="shared" si="55"/>
        <v>0.02</v>
      </c>
      <c r="H294" s="720"/>
      <c r="I294" s="24">
        <f t="shared" si="56"/>
        <v>0</v>
      </c>
      <c r="J294" s="720"/>
      <c r="K294" s="24">
        <f t="shared" si="57"/>
        <v>0</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v>
      </c>
      <c r="F295" s="720"/>
      <c r="G295" s="24">
        <f t="shared" si="55"/>
        <v>0.02</v>
      </c>
      <c r="H295" s="720"/>
      <c r="I295" s="24">
        <f t="shared" si="56"/>
        <v>0</v>
      </c>
      <c r="J295" s="720"/>
      <c r="K295" s="24">
        <f t="shared" si="57"/>
        <v>0</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v>
      </c>
      <c r="F296" s="720"/>
      <c r="G296" s="24">
        <f t="shared" si="55"/>
        <v>0.02</v>
      </c>
      <c r="H296" s="720"/>
      <c r="I296" s="24">
        <f t="shared" si="56"/>
        <v>0</v>
      </c>
      <c r="J296" s="720"/>
      <c r="K296" s="24">
        <f t="shared" si="57"/>
        <v>0</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v>
      </c>
      <c r="F297" s="720"/>
      <c r="G297" s="24">
        <f t="shared" si="55"/>
        <v>0.02</v>
      </c>
      <c r="H297" s="720"/>
      <c r="I297" s="24">
        <f t="shared" si="56"/>
        <v>0</v>
      </c>
      <c r="J297" s="720"/>
      <c r="K297" s="24">
        <f t="shared" si="57"/>
        <v>0</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v>
      </c>
      <c r="F298" s="720"/>
      <c r="G298" s="24">
        <f t="shared" si="55"/>
        <v>0.02</v>
      </c>
      <c r="H298" s="720"/>
      <c r="I298" s="24">
        <f t="shared" si="56"/>
        <v>0</v>
      </c>
      <c r="J298" s="720"/>
      <c r="K298" s="24">
        <f t="shared" si="57"/>
        <v>0</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v>
      </c>
      <c r="F299" s="720"/>
      <c r="G299" s="24">
        <f t="shared" si="55"/>
        <v>0.02</v>
      </c>
      <c r="H299" s="720"/>
      <c r="I299" s="24">
        <f t="shared" si="56"/>
        <v>0</v>
      </c>
      <c r="J299" s="720"/>
      <c r="K299" s="24">
        <f t="shared" si="57"/>
        <v>0</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v>
      </c>
      <c r="F300" s="720"/>
      <c r="G300" s="24">
        <f t="shared" si="55"/>
        <v>0.02</v>
      </c>
      <c r="H300" s="720"/>
      <c r="I300" s="24">
        <f t="shared" si="56"/>
        <v>0</v>
      </c>
      <c r="J300" s="720"/>
      <c r="K300" s="24">
        <f t="shared" si="57"/>
        <v>0</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v>
      </c>
      <c r="F301" s="720"/>
      <c r="G301" s="24">
        <f t="shared" si="55"/>
        <v>0.02</v>
      </c>
      <c r="H301" s="720"/>
      <c r="I301" s="24">
        <f t="shared" si="56"/>
        <v>0</v>
      </c>
      <c r="J301" s="720"/>
      <c r="K301" s="24">
        <f t="shared" si="57"/>
        <v>0</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v>
      </c>
      <c r="F302" s="720"/>
      <c r="G302" s="24">
        <f t="shared" si="55"/>
        <v>0.02</v>
      </c>
      <c r="H302" s="720"/>
      <c r="I302" s="24">
        <f t="shared" si="56"/>
        <v>0</v>
      </c>
      <c r="J302" s="720"/>
      <c r="K302" s="24">
        <f t="shared" si="57"/>
        <v>0</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v>
      </c>
      <c r="F303" s="720"/>
      <c r="G303" s="24">
        <f t="shared" si="55"/>
        <v>0.02</v>
      </c>
      <c r="H303" s="720"/>
      <c r="I303" s="24">
        <f t="shared" si="56"/>
        <v>0</v>
      </c>
      <c r="J303" s="720"/>
      <c r="K303" s="24">
        <f t="shared" si="57"/>
        <v>0</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v>
      </c>
      <c r="F304" s="720"/>
      <c r="G304" s="24">
        <f t="shared" si="55"/>
        <v>0.02</v>
      </c>
      <c r="H304" s="720"/>
      <c r="I304" s="24">
        <f t="shared" si="56"/>
        <v>0</v>
      </c>
      <c r="J304" s="720"/>
      <c r="K304" s="24">
        <f t="shared" si="57"/>
        <v>0</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v>
      </c>
      <c r="F305" s="720"/>
      <c r="G305" s="24">
        <f t="shared" si="55"/>
        <v>0.02</v>
      </c>
      <c r="H305" s="720"/>
      <c r="I305" s="24">
        <f t="shared" si="56"/>
        <v>0</v>
      </c>
      <c r="J305" s="720"/>
      <c r="K305" s="24">
        <f t="shared" si="57"/>
        <v>0</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v>
      </c>
      <c r="F306" s="720"/>
      <c r="G306" s="24">
        <f t="shared" si="55"/>
        <v>0.02</v>
      </c>
      <c r="H306" s="720"/>
      <c r="I306" s="24">
        <f t="shared" si="56"/>
        <v>0</v>
      </c>
      <c r="J306" s="720"/>
      <c r="K306" s="24">
        <f t="shared" si="57"/>
        <v>0</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v>
      </c>
      <c r="F307" s="720"/>
      <c r="G307" s="24">
        <f t="shared" si="55"/>
        <v>0.02</v>
      </c>
      <c r="H307" s="720"/>
      <c r="I307" s="24">
        <f t="shared" si="56"/>
        <v>0</v>
      </c>
      <c r="J307" s="720"/>
      <c r="K307" s="24">
        <f t="shared" si="57"/>
        <v>0</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v>
      </c>
      <c r="F308" s="720"/>
      <c r="G308" s="24">
        <f t="shared" si="55"/>
        <v>0.02</v>
      </c>
      <c r="H308" s="720"/>
      <c r="I308" s="24">
        <f t="shared" si="56"/>
        <v>0</v>
      </c>
      <c r="J308" s="720"/>
      <c r="K308" s="24">
        <f t="shared" si="57"/>
        <v>0</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v>
      </c>
      <c r="F309" s="720"/>
      <c r="G309" s="24">
        <f t="shared" si="55"/>
        <v>0.02</v>
      </c>
      <c r="H309" s="720"/>
      <c r="I309" s="24">
        <f t="shared" si="56"/>
        <v>0</v>
      </c>
      <c r="J309" s="720"/>
      <c r="K309" s="24">
        <f t="shared" si="57"/>
        <v>0</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v>
      </c>
      <c r="F310" s="720"/>
      <c r="G310" s="24">
        <f t="shared" si="55"/>
        <v>0.02</v>
      </c>
      <c r="H310" s="720"/>
      <c r="I310" s="24">
        <f t="shared" si="56"/>
        <v>0</v>
      </c>
      <c r="J310" s="720"/>
      <c r="K310" s="24">
        <f t="shared" si="57"/>
        <v>0</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v>
      </c>
      <c r="F311" s="720"/>
      <c r="G311" s="24">
        <f t="shared" si="55"/>
        <v>0.02</v>
      </c>
      <c r="H311" s="720"/>
      <c r="I311" s="24">
        <f t="shared" si="56"/>
        <v>0</v>
      </c>
      <c r="J311" s="720"/>
      <c r="K311" s="24">
        <f t="shared" si="57"/>
        <v>0</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v>
      </c>
      <c r="F312" s="720"/>
      <c r="G312" s="24">
        <f t="shared" si="55"/>
        <v>0.02</v>
      </c>
      <c r="H312" s="720"/>
      <c r="I312" s="24">
        <f t="shared" si="56"/>
        <v>0</v>
      </c>
      <c r="J312" s="720"/>
      <c r="K312" s="24">
        <f t="shared" si="57"/>
        <v>0</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v>
      </c>
      <c r="F313" s="720"/>
      <c r="G313" s="24">
        <f t="shared" si="55"/>
        <v>0.02</v>
      </c>
      <c r="H313" s="720"/>
      <c r="I313" s="24">
        <f t="shared" si="56"/>
        <v>0</v>
      </c>
      <c r="J313" s="720"/>
      <c r="K313" s="24">
        <f t="shared" si="57"/>
        <v>0</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v>
      </c>
      <c r="F314" s="720"/>
      <c r="G314" s="24">
        <f t="shared" si="55"/>
        <v>0.02</v>
      </c>
      <c r="H314" s="720"/>
      <c r="I314" s="24">
        <f t="shared" si="56"/>
        <v>0</v>
      </c>
      <c r="J314" s="720"/>
      <c r="K314" s="24">
        <f t="shared" si="57"/>
        <v>0</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v>
      </c>
      <c r="F315" s="720"/>
      <c r="G315" s="24">
        <f t="shared" si="55"/>
        <v>0.02</v>
      </c>
      <c r="H315" s="720"/>
      <c r="I315" s="24">
        <f t="shared" si="56"/>
        <v>0</v>
      </c>
      <c r="J315" s="720"/>
      <c r="K315" s="24">
        <f t="shared" si="57"/>
        <v>0</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v>
      </c>
      <c r="F316" s="720"/>
      <c r="G316" s="24">
        <f t="shared" si="55"/>
        <v>0.02</v>
      </c>
      <c r="H316" s="720"/>
      <c r="I316" s="24">
        <f t="shared" si="56"/>
        <v>0</v>
      </c>
      <c r="J316" s="720"/>
      <c r="K316" s="24">
        <f t="shared" si="57"/>
        <v>0</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v>
      </c>
      <c r="F317" s="720"/>
      <c r="G317" s="24">
        <f t="shared" si="55"/>
        <v>0.02</v>
      </c>
      <c r="H317" s="720"/>
      <c r="I317" s="24">
        <f t="shared" si="56"/>
        <v>0</v>
      </c>
      <c r="J317" s="720"/>
      <c r="K317" s="24">
        <f t="shared" si="57"/>
        <v>0</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v>
      </c>
      <c r="F318" s="720"/>
      <c r="G318" s="24">
        <f t="shared" si="55"/>
        <v>0.02</v>
      </c>
      <c r="H318" s="720"/>
      <c r="I318" s="24">
        <f t="shared" si="56"/>
        <v>0</v>
      </c>
      <c r="J318" s="720"/>
      <c r="K318" s="24">
        <f t="shared" si="57"/>
        <v>0</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v>
      </c>
      <c r="F319" s="720"/>
      <c r="G319" s="24">
        <f t="shared" si="55"/>
        <v>0.02</v>
      </c>
      <c r="H319" s="720"/>
      <c r="I319" s="24">
        <f t="shared" si="56"/>
        <v>0</v>
      </c>
      <c r="J319" s="720"/>
      <c r="K319" s="24">
        <f t="shared" si="57"/>
        <v>0</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v>
      </c>
      <c r="F320" s="720"/>
      <c r="G320" s="24">
        <f t="shared" si="55"/>
        <v>0.02</v>
      </c>
      <c r="H320" s="720"/>
      <c r="I320" s="24">
        <f t="shared" si="56"/>
        <v>0</v>
      </c>
      <c r="J320" s="720"/>
      <c r="K320" s="24">
        <f t="shared" si="57"/>
        <v>0</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v>
      </c>
      <c r="F321" s="720"/>
      <c r="G321" s="24">
        <f t="shared" si="55"/>
        <v>0.02</v>
      </c>
      <c r="H321" s="720"/>
      <c r="I321" s="24">
        <f t="shared" si="56"/>
        <v>0</v>
      </c>
      <c r="J321" s="720"/>
      <c r="K321" s="24">
        <f t="shared" si="57"/>
        <v>0</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v>
      </c>
      <c r="F322" s="720"/>
      <c r="G322" s="24">
        <f t="shared" si="55"/>
        <v>0.02</v>
      </c>
      <c r="H322" s="720"/>
      <c r="I322" s="24">
        <f t="shared" si="56"/>
        <v>0</v>
      </c>
      <c r="J322" s="720"/>
      <c r="K322" s="24">
        <f t="shared" si="57"/>
        <v>0</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v>
      </c>
      <c r="F323" s="720"/>
      <c r="G323" s="24">
        <f t="shared" si="55"/>
        <v>0.02</v>
      </c>
      <c r="H323" s="720"/>
      <c r="I323" s="24">
        <f t="shared" si="56"/>
        <v>0</v>
      </c>
      <c r="J323" s="720"/>
      <c r="K323" s="24">
        <f t="shared" si="57"/>
        <v>0</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v>
      </c>
      <c r="F324" s="720"/>
      <c r="G324" s="24">
        <f t="shared" si="55"/>
        <v>0.02</v>
      </c>
      <c r="H324" s="720"/>
      <c r="I324" s="24">
        <f t="shared" si="56"/>
        <v>0</v>
      </c>
      <c r="J324" s="720"/>
      <c r="K324" s="24">
        <f t="shared" si="57"/>
        <v>0</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v>
      </c>
      <c r="F325" s="720"/>
      <c r="G325" s="24">
        <f t="shared" si="55"/>
        <v>0.02</v>
      </c>
      <c r="H325" s="720"/>
      <c r="I325" s="24">
        <f t="shared" si="56"/>
        <v>0</v>
      </c>
      <c r="J325" s="720"/>
      <c r="K325" s="24">
        <f t="shared" si="57"/>
        <v>0</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v>
      </c>
      <c r="F326" s="720"/>
      <c r="G326" s="24">
        <f t="shared" si="55"/>
        <v>0.02</v>
      </c>
      <c r="H326" s="720"/>
      <c r="I326" s="24">
        <f t="shared" si="56"/>
        <v>0</v>
      </c>
      <c r="J326" s="720"/>
      <c r="K326" s="24">
        <f t="shared" si="57"/>
        <v>0</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v>
      </c>
      <c r="F327" s="720"/>
      <c r="G327" s="24">
        <f t="shared" si="55"/>
        <v>0.02</v>
      </c>
      <c r="H327" s="720"/>
      <c r="I327" s="24">
        <f t="shared" si="56"/>
        <v>0</v>
      </c>
      <c r="J327" s="720"/>
      <c r="K327" s="24">
        <f t="shared" si="57"/>
        <v>0</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v>
      </c>
      <c r="F328" s="720"/>
      <c r="G328" s="24">
        <f t="shared" si="55"/>
        <v>0.02</v>
      </c>
      <c r="H328" s="720"/>
      <c r="I328" s="24">
        <f t="shared" si="56"/>
        <v>0</v>
      </c>
      <c r="J328" s="720"/>
      <c r="K328" s="24">
        <f t="shared" si="57"/>
        <v>0</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v>
      </c>
      <c r="F329" s="720"/>
      <c r="G329" s="24">
        <f t="shared" si="55"/>
        <v>0.02</v>
      </c>
      <c r="H329" s="720"/>
      <c r="I329" s="24">
        <f t="shared" si="56"/>
        <v>0</v>
      </c>
      <c r="J329" s="720"/>
      <c r="K329" s="24">
        <f t="shared" si="57"/>
        <v>0</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v>
      </c>
      <c r="F330" s="720"/>
      <c r="G330" s="24">
        <f t="shared" si="55"/>
        <v>0.02</v>
      </c>
      <c r="H330" s="720"/>
      <c r="I330" s="24">
        <f t="shared" si="56"/>
        <v>0</v>
      </c>
      <c r="J330" s="720"/>
      <c r="K330" s="24">
        <f t="shared" si="57"/>
        <v>0</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v>
      </c>
      <c r="F331" s="720"/>
      <c r="G331" s="24">
        <f t="shared" si="55"/>
        <v>0.02</v>
      </c>
      <c r="H331" s="720"/>
      <c r="I331" s="24">
        <f t="shared" si="56"/>
        <v>0</v>
      </c>
      <c r="J331" s="720"/>
      <c r="K331" s="24">
        <f t="shared" si="57"/>
        <v>0</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v>
      </c>
      <c r="F332" s="720"/>
      <c r="G332" s="24">
        <f t="shared" si="55"/>
        <v>0.02</v>
      </c>
      <c r="H332" s="720"/>
      <c r="I332" s="24">
        <f t="shared" si="56"/>
        <v>0</v>
      </c>
      <c r="J332" s="720"/>
      <c r="K332" s="24">
        <f t="shared" si="57"/>
        <v>0</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v>
      </c>
      <c r="F333" s="720"/>
      <c r="G333" s="24">
        <f t="shared" si="55"/>
        <v>0.02</v>
      </c>
      <c r="H333" s="720"/>
      <c r="I333" s="24">
        <f t="shared" si="56"/>
        <v>0</v>
      </c>
      <c r="J333" s="720"/>
      <c r="K333" s="24">
        <f t="shared" si="57"/>
        <v>0</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v>
      </c>
      <c r="F334" s="720"/>
      <c r="G334" s="24">
        <f t="shared" si="55"/>
        <v>0.02</v>
      </c>
      <c r="H334" s="720"/>
      <c r="I334" s="24">
        <f t="shared" si="56"/>
        <v>0</v>
      </c>
      <c r="J334" s="720"/>
      <c r="K334" s="24">
        <f t="shared" si="57"/>
        <v>0</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v>
      </c>
      <c r="F335" s="720"/>
      <c r="G335" s="24">
        <f t="shared" si="55"/>
        <v>0.02</v>
      </c>
      <c r="H335" s="720"/>
      <c r="I335" s="24">
        <f t="shared" si="56"/>
        <v>0</v>
      </c>
      <c r="J335" s="720"/>
      <c r="K335" s="24">
        <f t="shared" si="57"/>
        <v>0</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v>
      </c>
      <c r="F336" s="720"/>
      <c r="G336" s="24">
        <f t="shared" si="55"/>
        <v>0.02</v>
      </c>
      <c r="H336" s="720"/>
      <c r="I336" s="24">
        <f t="shared" si="56"/>
        <v>0</v>
      </c>
      <c r="J336" s="720"/>
      <c r="K336" s="24">
        <f t="shared" si="57"/>
        <v>0</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v>
      </c>
      <c r="F337" s="720"/>
      <c r="G337" s="24">
        <f t="shared" si="55"/>
        <v>0.02</v>
      </c>
      <c r="H337" s="720"/>
      <c r="I337" s="24">
        <f t="shared" si="56"/>
        <v>0</v>
      </c>
      <c r="J337" s="720"/>
      <c r="K337" s="24">
        <f t="shared" si="57"/>
        <v>0</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v>
      </c>
      <c r="F338" s="720"/>
      <c r="G338" s="24">
        <f t="shared" si="55"/>
        <v>0.02</v>
      </c>
      <c r="H338" s="720"/>
      <c r="I338" s="24">
        <f t="shared" si="56"/>
        <v>0</v>
      </c>
      <c r="J338" s="720"/>
      <c r="K338" s="24">
        <f t="shared" si="57"/>
        <v>0</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v>
      </c>
      <c r="F339" s="720"/>
      <c r="G339" s="24">
        <f t="shared" si="55"/>
        <v>0.02</v>
      </c>
      <c r="H339" s="720"/>
      <c r="I339" s="24">
        <f t="shared" si="56"/>
        <v>0</v>
      </c>
      <c r="J339" s="720"/>
      <c r="K339" s="24">
        <f t="shared" si="57"/>
        <v>0</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v>
      </c>
      <c r="F340" s="720"/>
      <c r="G340" s="24">
        <f t="shared" si="55"/>
        <v>0.02</v>
      </c>
      <c r="H340" s="720"/>
      <c r="I340" s="24">
        <f t="shared" si="56"/>
        <v>0</v>
      </c>
      <c r="J340" s="720"/>
      <c r="K340" s="24">
        <f t="shared" si="57"/>
        <v>0</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v>
      </c>
      <c r="F341" s="720"/>
      <c r="G341" s="24">
        <f t="shared" si="55"/>
        <v>0.02</v>
      </c>
      <c r="H341" s="720"/>
      <c r="I341" s="24">
        <f t="shared" si="56"/>
        <v>0</v>
      </c>
      <c r="J341" s="720"/>
      <c r="K341" s="24">
        <f t="shared" si="57"/>
        <v>0</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v>
      </c>
      <c r="F342" s="720"/>
      <c r="G342" s="24">
        <f t="shared" si="55"/>
        <v>0.02</v>
      </c>
      <c r="H342" s="720"/>
      <c r="I342" s="24">
        <f t="shared" si="56"/>
        <v>0</v>
      </c>
      <c r="J342" s="720"/>
      <c r="K342" s="24">
        <f t="shared" si="57"/>
        <v>0</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v>
      </c>
      <c r="F343" s="720"/>
      <c r="G343" s="24">
        <f t="shared" si="55"/>
        <v>0.02</v>
      </c>
      <c r="H343" s="720"/>
      <c r="I343" s="24">
        <f t="shared" si="56"/>
        <v>0</v>
      </c>
      <c r="J343" s="720"/>
      <c r="K343" s="24">
        <f t="shared" si="57"/>
        <v>0</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v>
      </c>
      <c r="F344" s="720"/>
      <c r="G344" s="24">
        <f t="shared" si="55"/>
        <v>0.02</v>
      </c>
      <c r="H344" s="720"/>
      <c r="I344" s="24">
        <f t="shared" si="56"/>
        <v>0</v>
      </c>
      <c r="J344" s="720"/>
      <c r="K344" s="24">
        <f t="shared" si="57"/>
        <v>0</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v>
      </c>
      <c r="F345" s="720"/>
      <c r="G345" s="24">
        <f t="shared" si="55"/>
        <v>0.02</v>
      </c>
      <c r="H345" s="720"/>
      <c r="I345" s="24">
        <f t="shared" si="56"/>
        <v>0</v>
      </c>
      <c r="J345" s="720"/>
      <c r="K345" s="24">
        <f t="shared" si="57"/>
        <v>0</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0.02</v>
      </c>
      <c r="H346" s="720"/>
      <c r="I346" s="24">
        <f t="shared" ref="I346:I409" si="67">(SUMIF($9:$9,H346,$10:$10)-SUMIF($9:$9,$H$24,$10:$10)+100)/100</f>
        <v>0</v>
      </c>
      <c r="J346" s="720"/>
      <c r="K346" s="24">
        <f t="shared" ref="K346:K409" si="68">(SUMIF($11:$11,J346,$12:$12)-SUMIF($11:$11,$J$24,$12:$12)+100)/100</f>
        <v>0</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0.02</v>
      </c>
      <c r="H347" s="720"/>
      <c r="I347" s="24">
        <f t="shared" si="67"/>
        <v>0</v>
      </c>
      <c r="J347" s="720"/>
      <c r="K347" s="24">
        <f t="shared" si="68"/>
        <v>0</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v>
      </c>
      <c r="F348" s="720"/>
      <c r="G348" s="24">
        <f t="shared" si="66"/>
        <v>0.02</v>
      </c>
      <c r="H348" s="720"/>
      <c r="I348" s="24">
        <f t="shared" si="67"/>
        <v>0</v>
      </c>
      <c r="J348" s="720"/>
      <c r="K348" s="24">
        <f t="shared" si="68"/>
        <v>0</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v>
      </c>
      <c r="F349" s="720"/>
      <c r="G349" s="24">
        <f t="shared" si="66"/>
        <v>0.02</v>
      </c>
      <c r="H349" s="720"/>
      <c r="I349" s="24">
        <f t="shared" si="67"/>
        <v>0</v>
      </c>
      <c r="J349" s="720"/>
      <c r="K349" s="24">
        <f t="shared" si="68"/>
        <v>0</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v>
      </c>
      <c r="F350" s="720"/>
      <c r="G350" s="24">
        <f t="shared" si="66"/>
        <v>0.02</v>
      </c>
      <c r="H350" s="720"/>
      <c r="I350" s="24">
        <f t="shared" si="67"/>
        <v>0</v>
      </c>
      <c r="J350" s="720"/>
      <c r="K350" s="24">
        <f t="shared" si="68"/>
        <v>0</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v>
      </c>
      <c r="F351" s="720"/>
      <c r="G351" s="24">
        <f t="shared" si="66"/>
        <v>0.02</v>
      </c>
      <c r="H351" s="720"/>
      <c r="I351" s="24">
        <f t="shared" si="67"/>
        <v>0</v>
      </c>
      <c r="J351" s="720"/>
      <c r="K351" s="24">
        <f t="shared" si="68"/>
        <v>0</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v>
      </c>
      <c r="F352" s="720"/>
      <c r="G352" s="24">
        <f t="shared" si="66"/>
        <v>0.02</v>
      </c>
      <c r="H352" s="720"/>
      <c r="I352" s="24">
        <f t="shared" si="67"/>
        <v>0</v>
      </c>
      <c r="J352" s="720"/>
      <c r="K352" s="24">
        <f t="shared" si="68"/>
        <v>0</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v>
      </c>
      <c r="F353" s="720"/>
      <c r="G353" s="24">
        <f t="shared" si="66"/>
        <v>0.02</v>
      </c>
      <c r="H353" s="720"/>
      <c r="I353" s="24">
        <f t="shared" si="67"/>
        <v>0</v>
      </c>
      <c r="J353" s="720"/>
      <c r="K353" s="24">
        <f t="shared" si="68"/>
        <v>0</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v>
      </c>
      <c r="F354" s="720"/>
      <c r="G354" s="24">
        <f t="shared" si="66"/>
        <v>0.02</v>
      </c>
      <c r="H354" s="720"/>
      <c r="I354" s="24">
        <f t="shared" si="67"/>
        <v>0</v>
      </c>
      <c r="J354" s="720"/>
      <c r="K354" s="24">
        <f t="shared" si="68"/>
        <v>0</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v>
      </c>
      <c r="F355" s="720"/>
      <c r="G355" s="24">
        <f t="shared" si="66"/>
        <v>0.02</v>
      </c>
      <c r="H355" s="720"/>
      <c r="I355" s="24">
        <f t="shared" si="67"/>
        <v>0</v>
      </c>
      <c r="J355" s="720"/>
      <c r="K355" s="24">
        <f t="shared" si="68"/>
        <v>0</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v>
      </c>
      <c r="F356" s="720"/>
      <c r="G356" s="24">
        <f t="shared" si="66"/>
        <v>0.02</v>
      </c>
      <c r="H356" s="720"/>
      <c r="I356" s="24">
        <f t="shared" si="67"/>
        <v>0</v>
      </c>
      <c r="J356" s="720"/>
      <c r="K356" s="24">
        <f t="shared" si="68"/>
        <v>0</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v>
      </c>
      <c r="F357" s="720"/>
      <c r="G357" s="24">
        <f t="shared" si="66"/>
        <v>0.02</v>
      </c>
      <c r="H357" s="720"/>
      <c r="I357" s="24">
        <f t="shared" si="67"/>
        <v>0</v>
      </c>
      <c r="J357" s="720"/>
      <c r="K357" s="24">
        <f t="shared" si="68"/>
        <v>0</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v>
      </c>
      <c r="F358" s="720"/>
      <c r="G358" s="24">
        <f t="shared" si="66"/>
        <v>0.02</v>
      </c>
      <c r="H358" s="720"/>
      <c r="I358" s="24">
        <f t="shared" si="67"/>
        <v>0</v>
      </c>
      <c r="J358" s="720"/>
      <c r="K358" s="24">
        <f t="shared" si="68"/>
        <v>0</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v>
      </c>
      <c r="F359" s="720"/>
      <c r="G359" s="24">
        <f t="shared" si="66"/>
        <v>0.02</v>
      </c>
      <c r="H359" s="720"/>
      <c r="I359" s="24">
        <f t="shared" si="67"/>
        <v>0</v>
      </c>
      <c r="J359" s="720"/>
      <c r="K359" s="24">
        <f t="shared" si="68"/>
        <v>0</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v>
      </c>
      <c r="F360" s="720"/>
      <c r="G360" s="24">
        <f t="shared" si="66"/>
        <v>0.02</v>
      </c>
      <c r="H360" s="720"/>
      <c r="I360" s="24">
        <f t="shared" si="67"/>
        <v>0</v>
      </c>
      <c r="J360" s="720"/>
      <c r="K360" s="24">
        <f t="shared" si="68"/>
        <v>0</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v>
      </c>
      <c r="F361" s="720"/>
      <c r="G361" s="24">
        <f t="shared" si="66"/>
        <v>0.02</v>
      </c>
      <c r="H361" s="720"/>
      <c r="I361" s="24">
        <f t="shared" si="67"/>
        <v>0</v>
      </c>
      <c r="J361" s="720"/>
      <c r="K361" s="24">
        <f t="shared" si="68"/>
        <v>0</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v>
      </c>
      <c r="F362" s="720"/>
      <c r="G362" s="24">
        <f t="shared" si="66"/>
        <v>0.02</v>
      </c>
      <c r="H362" s="720"/>
      <c r="I362" s="24">
        <f t="shared" si="67"/>
        <v>0</v>
      </c>
      <c r="J362" s="720"/>
      <c r="K362" s="24">
        <f t="shared" si="68"/>
        <v>0</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v>
      </c>
      <c r="F363" s="720"/>
      <c r="G363" s="24">
        <f t="shared" si="66"/>
        <v>0.02</v>
      </c>
      <c r="H363" s="720"/>
      <c r="I363" s="24">
        <f t="shared" si="67"/>
        <v>0</v>
      </c>
      <c r="J363" s="720"/>
      <c r="K363" s="24">
        <f t="shared" si="68"/>
        <v>0</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v>
      </c>
      <c r="F364" s="720"/>
      <c r="G364" s="24">
        <f t="shared" si="66"/>
        <v>0.02</v>
      </c>
      <c r="H364" s="720"/>
      <c r="I364" s="24">
        <f t="shared" si="67"/>
        <v>0</v>
      </c>
      <c r="J364" s="720"/>
      <c r="K364" s="24">
        <f t="shared" si="68"/>
        <v>0</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v>
      </c>
      <c r="F365" s="720"/>
      <c r="G365" s="24">
        <f t="shared" si="66"/>
        <v>0.02</v>
      </c>
      <c r="H365" s="720"/>
      <c r="I365" s="24">
        <f t="shared" si="67"/>
        <v>0</v>
      </c>
      <c r="J365" s="720"/>
      <c r="K365" s="24">
        <f t="shared" si="68"/>
        <v>0</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v>
      </c>
      <c r="F366" s="720"/>
      <c r="G366" s="24">
        <f t="shared" si="66"/>
        <v>0.02</v>
      </c>
      <c r="H366" s="720"/>
      <c r="I366" s="24">
        <f t="shared" si="67"/>
        <v>0</v>
      </c>
      <c r="J366" s="720"/>
      <c r="K366" s="24">
        <f t="shared" si="68"/>
        <v>0</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v>
      </c>
      <c r="F367" s="720"/>
      <c r="G367" s="24">
        <f t="shared" si="66"/>
        <v>0.02</v>
      </c>
      <c r="H367" s="720"/>
      <c r="I367" s="24">
        <f t="shared" si="67"/>
        <v>0</v>
      </c>
      <c r="J367" s="720"/>
      <c r="K367" s="24">
        <f t="shared" si="68"/>
        <v>0</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v>
      </c>
      <c r="F368" s="720"/>
      <c r="G368" s="24">
        <f t="shared" si="66"/>
        <v>0.02</v>
      </c>
      <c r="H368" s="720"/>
      <c r="I368" s="24">
        <f t="shared" si="67"/>
        <v>0</v>
      </c>
      <c r="J368" s="720"/>
      <c r="K368" s="24">
        <f t="shared" si="68"/>
        <v>0</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v>
      </c>
      <c r="F369" s="720"/>
      <c r="G369" s="24">
        <f t="shared" si="66"/>
        <v>0.02</v>
      </c>
      <c r="H369" s="720"/>
      <c r="I369" s="24">
        <f t="shared" si="67"/>
        <v>0</v>
      </c>
      <c r="J369" s="720"/>
      <c r="K369" s="24">
        <f t="shared" si="68"/>
        <v>0</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v>
      </c>
      <c r="F370" s="720"/>
      <c r="G370" s="24">
        <f t="shared" si="66"/>
        <v>0.02</v>
      </c>
      <c r="H370" s="720"/>
      <c r="I370" s="24">
        <f t="shared" si="67"/>
        <v>0</v>
      </c>
      <c r="J370" s="720"/>
      <c r="K370" s="24">
        <f t="shared" si="68"/>
        <v>0</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v>
      </c>
      <c r="F371" s="720"/>
      <c r="G371" s="24">
        <f t="shared" si="66"/>
        <v>0.02</v>
      </c>
      <c r="H371" s="720"/>
      <c r="I371" s="24">
        <f t="shared" si="67"/>
        <v>0</v>
      </c>
      <c r="J371" s="720"/>
      <c r="K371" s="24">
        <f t="shared" si="68"/>
        <v>0</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v>
      </c>
      <c r="F372" s="720"/>
      <c r="G372" s="24">
        <f t="shared" si="66"/>
        <v>0.02</v>
      </c>
      <c r="H372" s="720"/>
      <c r="I372" s="24">
        <f t="shared" si="67"/>
        <v>0</v>
      </c>
      <c r="J372" s="720"/>
      <c r="K372" s="24">
        <f t="shared" si="68"/>
        <v>0</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v>
      </c>
      <c r="F373" s="720"/>
      <c r="G373" s="24">
        <f t="shared" si="66"/>
        <v>0.02</v>
      </c>
      <c r="H373" s="720"/>
      <c r="I373" s="24">
        <f t="shared" si="67"/>
        <v>0</v>
      </c>
      <c r="J373" s="720"/>
      <c r="K373" s="24">
        <f t="shared" si="68"/>
        <v>0</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v>
      </c>
      <c r="F374" s="720"/>
      <c r="G374" s="24">
        <f t="shared" si="66"/>
        <v>0.02</v>
      </c>
      <c r="H374" s="720"/>
      <c r="I374" s="24">
        <f t="shared" si="67"/>
        <v>0</v>
      </c>
      <c r="J374" s="720"/>
      <c r="K374" s="24">
        <f t="shared" si="68"/>
        <v>0</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v>
      </c>
      <c r="F375" s="720"/>
      <c r="G375" s="24">
        <f t="shared" si="66"/>
        <v>0.02</v>
      </c>
      <c r="H375" s="720"/>
      <c r="I375" s="24">
        <f t="shared" si="67"/>
        <v>0</v>
      </c>
      <c r="J375" s="720"/>
      <c r="K375" s="24">
        <f t="shared" si="68"/>
        <v>0</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v>
      </c>
      <c r="F376" s="720"/>
      <c r="G376" s="24">
        <f t="shared" si="66"/>
        <v>0.02</v>
      </c>
      <c r="H376" s="720"/>
      <c r="I376" s="24">
        <f t="shared" si="67"/>
        <v>0</v>
      </c>
      <c r="J376" s="720"/>
      <c r="K376" s="24">
        <f t="shared" si="68"/>
        <v>0</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v>
      </c>
      <c r="F377" s="720"/>
      <c r="G377" s="24">
        <f t="shared" si="66"/>
        <v>0.02</v>
      </c>
      <c r="H377" s="720"/>
      <c r="I377" s="24">
        <f t="shared" si="67"/>
        <v>0</v>
      </c>
      <c r="J377" s="720"/>
      <c r="K377" s="24">
        <f t="shared" si="68"/>
        <v>0</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v>
      </c>
      <c r="F378" s="720"/>
      <c r="G378" s="24">
        <f t="shared" si="66"/>
        <v>0.02</v>
      </c>
      <c r="H378" s="720"/>
      <c r="I378" s="24">
        <f t="shared" si="67"/>
        <v>0</v>
      </c>
      <c r="J378" s="720"/>
      <c r="K378" s="24">
        <f t="shared" si="68"/>
        <v>0</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v>
      </c>
      <c r="F379" s="720"/>
      <c r="G379" s="24">
        <f t="shared" si="66"/>
        <v>0.02</v>
      </c>
      <c r="H379" s="720"/>
      <c r="I379" s="24">
        <f t="shared" si="67"/>
        <v>0</v>
      </c>
      <c r="J379" s="720"/>
      <c r="K379" s="24">
        <f t="shared" si="68"/>
        <v>0</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v>
      </c>
      <c r="F380" s="720"/>
      <c r="G380" s="24">
        <f t="shared" si="66"/>
        <v>0.02</v>
      </c>
      <c r="H380" s="720"/>
      <c r="I380" s="24">
        <f t="shared" si="67"/>
        <v>0</v>
      </c>
      <c r="J380" s="720"/>
      <c r="K380" s="24">
        <f t="shared" si="68"/>
        <v>0</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v>
      </c>
      <c r="F381" s="720"/>
      <c r="G381" s="24">
        <f t="shared" si="66"/>
        <v>0.02</v>
      </c>
      <c r="H381" s="720"/>
      <c r="I381" s="24">
        <f t="shared" si="67"/>
        <v>0</v>
      </c>
      <c r="J381" s="720"/>
      <c r="K381" s="24">
        <f t="shared" si="68"/>
        <v>0</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v>
      </c>
      <c r="F382" s="720"/>
      <c r="G382" s="24">
        <f t="shared" si="66"/>
        <v>0.02</v>
      </c>
      <c r="H382" s="720"/>
      <c r="I382" s="24">
        <f t="shared" si="67"/>
        <v>0</v>
      </c>
      <c r="J382" s="720"/>
      <c r="K382" s="24">
        <f t="shared" si="68"/>
        <v>0</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v>
      </c>
      <c r="F383" s="720"/>
      <c r="G383" s="24">
        <f t="shared" si="66"/>
        <v>0.02</v>
      </c>
      <c r="H383" s="720"/>
      <c r="I383" s="24">
        <f t="shared" si="67"/>
        <v>0</v>
      </c>
      <c r="J383" s="720"/>
      <c r="K383" s="24">
        <f t="shared" si="68"/>
        <v>0</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v>
      </c>
      <c r="F384" s="720"/>
      <c r="G384" s="24">
        <f t="shared" si="66"/>
        <v>0.02</v>
      </c>
      <c r="H384" s="720"/>
      <c r="I384" s="24">
        <f t="shared" si="67"/>
        <v>0</v>
      </c>
      <c r="J384" s="720"/>
      <c r="K384" s="24">
        <f t="shared" si="68"/>
        <v>0</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v>
      </c>
      <c r="F385" s="720"/>
      <c r="G385" s="24">
        <f t="shared" si="66"/>
        <v>0.02</v>
      </c>
      <c r="H385" s="720"/>
      <c r="I385" s="24">
        <f t="shared" si="67"/>
        <v>0</v>
      </c>
      <c r="J385" s="720"/>
      <c r="K385" s="24">
        <f t="shared" si="68"/>
        <v>0</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v>
      </c>
      <c r="F386" s="720"/>
      <c r="G386" s="24">
        <f t="shared" si="66"/>
        <v>0.02</v>
      </c>
      <c r="H386" s="720"/>
      <c r="I386" s="24">
        <f t="shared" si="67"/>
        <v>0</v>
      </c>
      <c r="J386" s="720"/>
      <c r="K386" s="24">
        <f t="shared" si="68"/>
        <v>0</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v>
      </c>
      <c r="F387" s="720"/>
      <c r="G387" s="24">
        <f t="shared" si="66"/>
        <v>0.02</v>
      </c>
      <c r="H387" s="720"/>
      <c r="I387" s="24">
        <f t="shared" si="67"/>
        <v>0</v>
      </c>
      <c r="J387" s="720"/>
      <c r="K387" s="24">
        <f t="shared" si="68"/>
        <v>0</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v>
      </c>
      <c r="F388" s="720"/>
      <c r="G388" s="24">
        <f t="shared" si="66"/>
        <v>0.02</v>
      </c>
      <c r="H388" s="720"/>
      <c r="I388" s="24">
        <f t="shared" si="67"/>
        <v>0</v>
      </c>
      <c r="J388" s="720"/>
      <c r="K388" s="24">
        <f t="shared" si="68"/>
        <v>0</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v>
      </c>
      <c r="F389" s="720"/>
      <c r="G389" s="24">
        <f t="shared" si="66"/>
        <v>0.02</v>
      </c>
      <c r="H389" s="720"/>
      <c r="I389" s="24">
        <f t="shared" si="67"/>
        <v>0</v>
      </c>
      <c r="J389" s="720"/>
      <c r="K389" s="24">
        <f t="shared" si="68"/>
        <v>0</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v>
      </c>
      <c r="F390" s="720"/>
      <c r="G390" s="24">
        <f t="shared" si="66"/>
        <v>0.02</v>
      </c>
      <c r="H390" s="720"/>
      <c r="I390" s="24">
        <f t="shared" si="67"/>
        <v>0</v>
      </c>
      <c r="J390" s="720"/>
      <c r="K390" s="24">
        <f t="shared" si="68"/>
        <v>0</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v>
      </c>
      <c r="F391" s="720"/>
      <c r="G391" s="24">
        <f t="shared" si="66"/>
        <v>0.02</v>
      </c>
      <c r="H391" s="720"/>
      <c r="I391" s="24">
        <f t="shared" si="67"/>
        <v>0</v>
      </c>
      <c r="J391" s="720"/>
      <c r="K391" s="24">
        <f t="shared" si="68"/>
        <v>0</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v>
      </c>
      <c r="F392" s="720"/>
      <c r="G392" s="24">
        <f t="shared" si="66"/>
        <v>0.02</v>
      </c>
      <c r="H392" s="720"/>
      <c r="I392" s="24">
        <f t="shared" si="67"/>
        <v>0</v>
      </c>
      <c r="J392" s="720"/>
      <c r="K392" s="24">
        <f t="shared" si="68"/>
        <v>0</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v>
      </c>
      <c r="F393" s="720"/>
      <c r="G393" s="24">
        <f t="shared" si="66"/>
        <v>0.02</v>
      </c>
      <c r="H393" s="720"/>
      <c r="I393" s="24">
        <f t="shared" si="67"/>
        <v>0</v>
      </c>
      <c r="J393" s="720"/>
      <c r="K393" s="24">
        <f t="shared" si="68"/>
        <v>0</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v>
      </c>
      <c r="F394" s="720"/>
      <c r="G394" s="24">
        <f t="shared" si="66"/>
        <v>0.02</v>
      </c>
      <c r="H394" s="720"/>
      <c r="I394" s="24">
        <f t="shared" si="67"/>
        <v>0</v>
      </c>
      <c r="J394" s="720"/>
      <c r="K394" s="24">
        <f t="shared" si="68"/>
        <v>0</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v>
      </c>
      <c r="F395" s="720"/>
      <c r="G395" s="24">
        <f t="shared" si="66"/>
        <v>0.02</v>
      </c>
      <c r="H395" s="720"/>
      <c r="I395" s="24">
        <f t="shared" si="67"/>
        <v>0</v>
      </c>
      <c r="J395" s="720"/>
      <c r="K395" s="24">
        <f t="shared" si="68"/>
        <v>0</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v>
      </c>
      <c r="F396" s="720"/>
      <c r="G396" s="24">
        <f t="shared" si="66"/>
        <v>0.02</v>
      </c>
      <c r="H396" s="720"/>
      <c r="I396" s="24">
        <f t="shared" si="67"/>
        <v>0</v>
      </c>
      <c r="J396" s="720"/>
      <c r="K396" s="24">
        <f t="shared" si="68"/>
        <v>0</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v>
      </c>
      <c r="F397" s="720"/>
      <c r="G397" s="24">
        <f t="shared" si="66"/>
        <v>0.02</v>
      </c>
      <c r="H397" s="720"/>
      <c r="I397" s="24">
        <f t="shared" si="67"/>
        <v>0</v>
      </c>
      <c r="J397" s="720"/>
      <c r="K397" s="24">
        <f t="shared" si="68"/>
        <v>0</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v>
      </c>
      <c r="F398" s="720"/>
      <c r="G398" s="24">
        <f t="shared" si="66"/>
        <v>0.02</v>
      </c>
      <c r="H398" s="720"/>
      <c r="I398" s="24">
        <f t="shared" si="67"/>
        <v>0</v>
      </c>
      <c r="J398" s="720"/>
      <c r="K398" s="24">
        <f t="shared" si="68"/>
        <v>0</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v>
      </c>
      <c r="F399" s="720"/>
      <c r="G399" s="24">
        <f t="shared" si="66"/>
        <v>0.02</v>
      </c>
      <c r="H399" s="720"/>
      <c r="I399" s="24">
        <f t="shared" si="67"/>
        <v>0</v>
      </c>
      <c r="J399" s="720"/>
      <c r="K399" s="24">
        <f t="shared" si="68"/>
        <v>0</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v>
      </c>
      <c r="F400" s="720"/>
      <c r="G400" s="24">
        <f t="shared" si="66"/>
        <v>0.02</v>
      </c>
      <c r="H400" s="720"/>
      <c r="I400" s="24">
        <f t="shared" si="67"/>
        <v>0</v>
      </c>
      <c r="J400" s="720"/>
      <c r="K400" s="24">
        <f t="shared" si="68"/>
        <v>0</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v>
      </c>
      <c r="F401" s="720"/>
      <c r="G401" s="24">
        <f t="shared" si="66"/>
        <v>0.02</v>
      </c>
      <c r="H401" s="720"/>
      <c r="I401" s="24">
        <f t="shared" si="67"/>
        <v>0</v>
      </c>
      <c r="J401" s="720"/>
      <c r="K401" s="24">
        <f t="shared" si="68"/>
        <v>0</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v>
      </c>
      <c r="F402" s="720"/>
      <c r="G402" s="24">
        <f t="shared" si="66"/>
        <v>0.02</v>
      </c>
      <c r="H402" s="720"/>
      <c r="I402" s="24">
        <f t="shared" si="67"/>
        <v>0</v>
      </c>
      <c r="J402" s="720"/>
      <c r="K402" s="24">
        <f t="shared" si="68"/>
        <v>0</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v>
      </c>
      <c r="F403" s="720"/>
      <c r="G403" s="24">
        <f t="shared" si="66"/>
        <v>0.02</v>
      </c>
      <c r="H403" s="720"/>
      <c r="I403" s="24">
        <f t="shared" si="67"/>
        <v>0</v>
      </c>
      <c r="J403" s="720"/>
      <c r="K403" s="24">
        <f t="shared" si="68"/>
        <v>0</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v>
      </c>
      <c r="F404" s="720"/>
      <c r="G404" s="24">
        <f t="shared" si="66"/>
        <v>0.02</v>
      </c>
      <c r="H404" s="720"/>
      <c r="I404" s="24">
        <f t="shared" si="67"/>
        <v>0</v>
      </c>
      <c r="J404" s="720"/>
      <c r="K404" s="24">
        <f t="shared" si="68"/>
        <v>0</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v>
      </c>
      <c r="F405" s="720"/>
      <c r="G405" s="24">
        <f t="shared" si="66"/>
        <v>0.02</v>
      </c>
      <c r="H405" s="720"/>
      <c r="I405" s="24">
        <f t="shared" si="67"/>
        <v>0</v>
      </c>
      <c r="J405" s="720"/>
      <c r="K405" s="24">
        <f t="shared" si="68"/>
        <v>0</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v>
      </c>
      <c r="F406" s="720"/>
      <c r="G406" s="24">
        <f t="shared" si="66"/>
        <v>0.02</v>
      </c>
      <c r="H406" s="720"/>
      <c r="I406" s="24">
        <f t="shared" si="67"/>
        <v>0</v>
      </c>
      <c r="J406" s="720"/>
      <c r="K406" s="24">
        <f t="shared" si="68"/>
        <v>0</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v>
      </c>
      <c r="F407" s="720"/>
      <c r="G407" s="24">
        <f t="shared" si="66"/>
        <v>0.02</v>
      </c>
      <c r="H407" s="720"/>
      <c r="I407" s="24">
        <f t="shared" si="67"/>
        <v>0</v>
      </c>
      <c r="J407" s="720"/>
      <c r="K407" s="24">
        <f t="shared" si="68"/>
        <v>0</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v>
      </c>
      <c r="F408" s="720"/>
      <c r="G408" s="24">
        <f t="shared" si="66"/>
        <v>0.02</v>
      </c>
      <c r="H408" s="720"/>
      <c r="I408" s="24">
        <f t="shared" si="67"/>
        <v>0</v>
      </c>
      <c r="J408" s="720"/>
      <c r="K408" s="24">
        <f t="shared" si="68"/>
        <v>0</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v>
      </c>
      <c r="F409" s="720"/>
      <c r="G409" s="24">
        <f t="shared" si="66"/>
        <v>0.02</v>
      </c>
      <c r="H409" s="720"/>
      <c r="I409" s="24">
        <f t="shared" si="67"/>
        <v>0</v>
      </c>
      <c r="J409" s="720"/>
      <c r="K409" s="24">
        <f t="shared" si="68"/>
        <v>0</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0.02</v>
      </c>
      <c r="H410" s="720"/>
      <c r="I410" s="24">
        <f t="shared" ref="I410:I473" si="77">(SUMIF($9:$9,H410,$10:$10)-SUMIF($9:$9,$H$24,$10:$10)+100)/100</f>
        <v>0</v>
      </c>
      <c r="J410" s="720"/>
      <c r="K410" s="24">
        <f t="shared" ref="K410:K473" si="78">(SUMIF($11:$11,J410,$12:$12)-SUMIF($11:$11,$J$24,$12:$12)+100)/100</f>
        <v>0</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0.02</v>
      </c>
      <c r="H411" s="720"/>
      <c r="I411" s="24">
        <f t="shared" si="77"/>
        <v>0</v>
      </c>
      <c r="J411" s="720"/>
      <c r="K411" s="24">
        <f t="shared" si="78"/>
        <v>0</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v>
      </c>
      <c r="F412" s="720"/>
      <c r="G412" s="24">
        <f t="shared" si="76"/>
        <v>0.02</v>
      </c>
      <c r="H412" s="720"/>
      <c r="I412" s="24">
        <f t="shared" si="77"/>
        <v>0</v>
      </c>
      <c r="J412" s="720"/>
      <c r="K412" s="24">
        <f t="shared" si="78"/>
        <v>0</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v>
      </c>
      <c r="F413" s="720"/>
      <c r="G413" s="24">
        <f t="shared" si="76"/>
        <v>0.02</v>
      </c>
      <c r="H413" s="720"/>
      <c r="I413" s="24">
        <f t="shared" si="77"/>
        <v>0</v>
      </c>
      <c r="J413" s="720"/>
      <c r="K413" s="24">
        <f t="shared" si="78"/>
        <v>0</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v>
      </c>
      <c r="F414" s="720"/>
      <c r="G414" s="24">
        <f t="shared" si="76"/>
        <v>0.02</v>
      </c>
      <c r="H414" s="720"/>
      <c r="I414" s="24">
        <f t="shared" si="77"/>
        <v>0</v>
      </c>
      <c r="J414" s="720"/>
      <c r="K414" s="24">
        <f t="shared" si="78"/>
        <v>0</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v>
      </c>
      <c r="F415" s="720"/>
      <c r="G415" s="24">
        <f t="shared" si="76"/>
        <v>0.02</v>
      </c>
      <c r="H415" s="720"/>
      <c r="I415" s="24">
        <f t="shared" si="77"/>
        <v>0</v>
      </c>
      <c r="J415" s="720"/>
      <c r="K415" s="24">
        <f t="shared" si="78"/>
        <v>0</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v>
      </c>
      <c r="F416" s="720"/>
      <c r="G416" s="24">
        <f t="shared" si="76"/>
        <v>0.02</v>
      </c>
      <c r="H416" s="720"/>
      <c r="I416" s="24">
        <f t="shared" si="77"/>
        <v>0</v>
      </c>
      <c r="J416" s="720"/>
      <c r="K416" s="24">
        <f t="shared" si="78"/>
        <v>0</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v>
      </c>
      <c r="F417" s="720"/>
      <c r="G417" s="24">
        <f t="shared" si="76"/>
        <v>0.02</v>
      </c>
      <c r="H417" s="720"/>
      <c r="I417" s="24">
        <f t="shared" si="77"/>
        <v>0</v>
      </c>
      <c r="J417" s="720"/>
      <c r="K417" s="24">
        <f t="shared" si="78"/>
        <v>0</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v>
      </c>
      <c r="F418" s="720"/>
      <c r="G418" s="24">
        <f t="shared" si="76"/>
        <v>0.02</v>
      </c>
      <c r="H418" s="720"/>
      <c r="I418" s="24">
        <f t="shared" si="77"/>
        <v>0</v>
      </c>
      <c r="J418" s="720"/>
      <c r="K418" s="24">
        <f t="shared" si="78"/>
        <v>0</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v>
      </c>
      <c r="F419" s="720"/>
      <c r="G419" s="24">
        <f t="shared" si="76"/>
        <v>0.02</v>
      </c>
      <c r="H419" s="720"/>
      <c r="I419" s="24">
        <f t="shared" si="77"/>
        <v>0</v>
      </c>
      <c r="J419" s="720"/>
      <c r="K419" s="24">
        <f t="shared" si="78"/>
        <v>0</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v>
      </c>
      <c r="F420" s="720"/>
      <c r="G420" s="24">
        <f t="shared" si="76"/>
        <v>0.02</v>
      </c>
      <c r="H420" s="720"/>
      <c r="I420" s="24">
        <f t="shared" si="77"/>
        <v>0</v>
      </c>
      <c r="J420" s="720"/>
      <c r="K420" s="24">
        <f t="shared" si="78"/>
        <v>0</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v>
      </c>
      <c r="F421" s="720"/>
      <c r="G421" s="24">
        <f t="shared" si="76"/>
        <v>0.02</v>
      </c>
      <c r="H421" s="720"/>
      <c r="I421" s="24">
        <f t="shared" si="77"/>
        <v>0</v>
      </c>
      <c r="J421" s="720"/>
      <c r="K421" s="24">
        <f t="shared" si="78"/>
        <v>0</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v>
      </c>
      <c r="F422" s="720"/>
      <c r="G422" s="24">
        <f t="shared" si="76"/>
        <v>0.02</v>
      </c>
      <c r="H422" s="720"/>
      <c r="I422" s="24">
        <f t="shared" si="77"/>
        <v>0</v>
      </c>
      <c r="J422" s="720"/>
      <c r="K422" s="24">
        <f t="shared" si="78"/>
        <v>0</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v>
      </c>
      <c r="F423" s="720"/>
      <c r="G423" s="24">
        <f t="shared" si="76"/>
        <v>0.02</v>
      </c>
      <c r="H423" s="720"/>
      <c r="I423" s="24">
        <f t="shared" si="77"/>
        <v>0</v>
      </c>
      <c r="J423" s="720"/>
      <c r="K423" s="24">
        <f t="shared" si="78"/>
        <v>0</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v>
      </c>
      <c r="F424" s="720"/>
      <c r="G424" s="24">
        <f t="shared" si="76"/>
        <v>0.02</v>
      </c>
      <c r="H424" s="720"/>
      <c r="I424" s="24">
        <f t="shared" si="77"/>
        <v>0</v>
      </c>
      <c r="J424" s="720"/>
      <c r="K424" s="24">
        <f t="shared" si="78"/>
        <v>0</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v>
      </c>
      <c r="F425" s="720"/>
      <c r="G425" s="24">
        <f t="shared" si="76"/>
        <v>0.02</v>
      </c>
      <c r="H425" s="720"/>
      <c r="I425" s="24">
        <f t="shared" si="77"/>
        <v>0</v>
      </c>
      <c r="J425" s="720"/>
      <c r="K425" s="24">
        <f t="shared" si="78"/>
        <v>0</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v>
      </c>
      <c r="F426" s="720"/>
      <c r="G426" s="24">
        <f t="shared" si="76"/>
        <v>0.02</v>
      </c>
      <c r="H426" s="720"/>
      <c r="I426" s="24">
        <f t="shared" si="77"/>
        <v>0</v>
      </c>
      <c r="J426" s="720"/>
      <c r="K426" s="24">
        <f t="shared" si="78"/>
        <v>0</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v>
      </c>
      <c r="F427" s="720"/>
      <c r="G427" s="24">
        <f t="shared" si="76"/>
        <v>0.02</v>
      </c>
      <c r="H427" s="720"/>
      <c r="I427" s="24">
        <f t="shared" si="77"/>
        <v>0</v>
      </c>
      <c r="J427" s="720"/>
      <c r="K427" s="24">
        <f t="shared" si="78"/>
        <v>0</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v>
      </c>
      <c r="F428" s="720"/>
      <c r="G428" s="24">
        <f t="shared" si="76"/>
        <v>0.02</v>
      </c>
      <c r="H428" s="720"/>
      <c r="I428" s="24">
        <f t="shared" si="77"/>
        <v>0</v>
      </c>
      <c r="J428" s="720"/>
      <c r="K428" s="24">
        <f t="shared" si="78"/>
        <v>0</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v>
      </c>
      <c r="F429" s="720"/>
      <c r="G429" s="24">
        <f t="shared" si="76"/>
        <v>0.02</v>
      </c>
      <c r="H429" s="720"/>
      <c r="I429" s="24">
        <f t="shared" si="77"/>
        <v>0</v>
      </c>
      <c r="J429" s="720"/>
      <c r="K429" s="24">
        <f t="shared" si="78"/>
        <v>0</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v>
      </c>
      <c r="F430" s="720"/>
      <c r="G430" s="24">
        <f t="shared" si="76"/>
        <v>0.02</v>
      </c>
      <c r="H430" s="720"/>
      <c r="I430" s="24">
        <f t="shared" si="77"/>
        <v>0</v>
      </c>
      <c r="J430" s="720"/>
      <c r="K430" s="24">
        <f t="shared" si="78"/>
        <v>0</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v>
      </c>
      <c r="F431" s="720"/>
      <c r="G431" s="24">
        <f t="shared" si="76"/>
        <v>0.02</v>
      </c>
      <c r="H431" s="720"/>
      <c r="I431" s="24">
        <f t="shared" si="77"/>
        <v>0</v>
      </c>
      <c r="J431" s="720"/>
      <c r="K431" s="24">
        <f t="shared" si="78"/>
        <v>0</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v>
      </c>
      <c r="F432" s="720"/>
      <c r="G432" s="24">
        <f t="shared" si="76"/>
        <v>0.02</v>
      </c>
      <c r="H432" s="720"/>
      <c r="I432" s="24">
        <f t="shared" si="77"/>
        <v>0</v>
      </c>
      <c r="J432" s="720"/>
      <c r="K432" s="24">
        <f t="shared" si="78"/>
        <v>0</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v>
      </c>
      <c r="F433" s="720"/>
      <c r="G433" s="24">
        <f t="shared" si="76"/>
        <v>0.02</v>
      </c>
      <c r="H433" s="720"/>
      <c r="I433" s="24">
        <f t="shared" si="77"/>
        <v>0</v>
      </c>
      <c r="J433" s="720"/>
      <c r="K433" s="24">
        <f t="shared" si="78"/>
        <v>0</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v>
      </c>
      <c r="F434" s="720"/>
      <c r="G434" s="24">
        <f t="shared" si="76"/>
        <v>0.02</v>
      </c>
      <c r="H434" s="720"/>
      <c r="I434" s="24">
        <f t="shared" si="77"/>
        <v>0</v>
      </c>
      <c r="J434" s="720"/>
      <c r="K434" s="24">
        <f t="shared" si="78"/>
        <v>0</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v>
      </c>
      <c r="F435" s="720"/>
      <c r="G435" s="24">
        <f t="shared" si="76"/>
        <v>0.02</v>
      </c>
      <c r="H435" s="720"/>
      <c r="I435" s="24">
        <f t="shared" si="77"/>
        <v>0</v>
      </c>
      <c r="J435" s="720"/>
      <c r="K435" s="24">
        <f t="shared" si="78"/>
        <v>0</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v>
      </c>
      <c r="F436" s="720"/>
      <c r="G436" s="24">
        <f t="shared" si="76"/>
        <v>0.02</v>
      </c>
      <c r="H436" s="720"/>
      <c r="I436" s="24">
        <f t="shared" si="77"/>
        <v>0</v>
      </c>
      <c r="J436" s="720"/>
      <c r="K436" s="24">
        <f t="shared" si="78"/>
        <v>0</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v>
      </c>
      <c r="F437" s="720"/>
      <c r="G437" s="24">
        <f t="shared" si="76"/>
        <v>0.02</v>
      </c>
      <c r="H437" s="720"/>
      <c r="I437" s="24">
        <f t="shared" si="77"/>
        <v>0</v>
      </c>
      <c r="J437" s="720"/>
      <c r="K437" s="24">
        <f t="shared" si="78"/>
        <v>0</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v>
      </c>
      <c r="F438" s="720"/>
      <c r="G438" s="24">
        <f t="shared" si="76"/>
        <v>0.02</v>
      </c>
      <c r="H438" s="720"/>
      <c r="I438" s="24">
        <f t="shared" si="77"/>
        <v>0</v>
      </c>
      <c r="J438" s="720"/>
      <c r="K438" s="24">
        <f t="shared" si="78"/>
        <v>0</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v>
      </c>
      <c r="F439" s="720"/>
      <c r="G439" s="24">
        <f t="shared" si="76"/>
        <v>0.02</v>
      </c>
      <c r="H439" s="720"/>
      <c r="I439" s="24">
        <f t="shared" si="77"/>
        <v>0</v>
      </c>
      <c r="J439" s="720"/>
      <c r="K439" s="24">
        <f t="shared" si="78"/>
        <v>0</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v>
      </c>
      <c r="F440" s="720"/>
      <c r="G440" s="24">
        <f t="shared" si="76"/>
        <v>0.02</v>
      </c>
      <c r="H440" s="720"/>
      <c r="I440" s="24">
        <f t="shared" si="77"/>
        <v>0</v>
      </c>
      <c r="J440" s="720"/>
      <c r="K440" s="24">
        <f t="shared" si="78"/>
        <v>0</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v>
      </c>
      <c r="F441" s="720"/>
      <c r="G441" s="24">
        <f t="shared" si="76"/>
        <v>0.02</v>
      </c>
      <c r="H441" s="720"/>
      <c r="I441" s="24">
        <f t="shared" si="77"/>
        <v>0</v>
      </c>
      <c r="J441" s="720"/>
      <c r="K441" s="24">
        <f t="shared" si="78"/>
        <v>0</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v>
      </c>
      <c r="F442" s="720"/>
      <c r="G442" s="24">
        <f t="shared" si="76"/>
        <v>0.02</v>
      </c>
      <c r="H442" s="720"/>
      <c r="I442" s="24">
        <f t="shared" si="77"/>
        <v>0</v>
      </c>
      <c r="J442" s="720"/>
      <c r="K442" s="24">
        <f t="shared" si="78"/>
        <v>0</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v>
      </c>
      <c r="F443" s="720"/>
      <c r="G443" s="24">
        <f t="shared" si="76"/>
        <v>0.02</v>
      </c>
      <c r="H443" s="720"/>
      <c r="I443" s="24">
        <f t="shared" si="77"/>
        <v>0</v>
      </c>
      <c r="J443" s="720"/>
      <c r="K443" s="24">
        <f t="shared" si="78"/>
        <v>0</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v>
      </c>
      <c r="F444" s="720"/>
      <c r="G444" s="24">
        <f t="shared" si="76"/>
        <v>0.02</v>
      </c>
      <c r="H444" s="720"/>
      <c r="I444" s="24">
        <f t="shared" si="77"/>
        <v>0</v>
      </c>
      <c r="J444" s="720"/>
      <c r="K444" s="24">
        <f t="shared" si="78"/>
        <v>0</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v>
      </c>
      <c r="F445" s="720"/>
      <c r="G445" s="24">
        <f t="shared" si="76"/>
        <v>0.02</v>
      </c>
      <c r="H445" s="720"/>
      <c r="I445" s="24">
        <f t="shared" si="77"/>
        <v>0</v>
      </c>
      <c r="J445" s="720"/>
      <c r="K445" s="24">
        <f t="shared" si="78"/>
        <v>0</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v>
      </c>
      <c r="F446" s="720"/>
      <c r="G446" s="24">
        <f t="shared" si="76"/>
        <v>0.02</v>
      </c>
      <c r="H446" s="720"/>
      <c r="I446" s="24">
        <f t="shared" si="77"/>
        <v>0</v>
      </c>
      <c r="J446" s="720"/>
      <c r="K446" s="24">
        <f t="shared" si="78"/>
        <v>0</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v>
      </c>
      <c r="F447" s="720"/>
      <c r="G447" s="24">
        <f t="shared" si="76"/>
        <v>0.02</v>
      </c>
      <c r="H447" s="720"/>
      <c r="I447" s="24">
        <f t="shared" si="77"/>
        <v>0</v>
      </c>
      <c r="J447" s="720"/>
      <c r="K447" s="24">
        <f t="shared" si="78"/>
        <v>0</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v>
      </c>
      <c r="F448" s="720"/>
      <c r="G448" s="24">
        <f t="shared" si="76"/>
        <v>0.02</v>
      </c>
      <c r="H448" s="720"/>
      <c r="I448" s="24">
        <f t="shared" si="77"/>
        <v>0</v>
      </c>
      <c r="J448" s="720"/>
      <c r="K448" s="24">
        <f t="shared" si="78"/>
        <v>0</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v>
      </c>
      <c r="F449" s="720"/>
      <c r="G449" s="24">
        <f t="shared" si="76"/>
        <v>0.02</v>
      </c>
      <c r="H449" s="720"/>
      <c r="I449" s="24">
        <f t="shared" si="77"/>
        <v>0</v>
      </c>
      <c r="J449" s="720"/>
      <c r="K449" s="24">
        <f t="shared" si="78"/>
        <v>0</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v>
      </c>
      <c r="F450" s="720"/>
      <c r="G450" s="24">
        <f t="shared" si="76"/>
        <v>0.02</v>
      </c>
      <c r="H450" s="720"/>
      <c r="I450" s="24">
        <f t="shared" si="77"/>
        <v>0</v>
      </c>
      <c r="J450" s="720"/>
      <c r="K450" s="24">
        <f t="shared" si="78"/>
        <v>0</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v>
      </c>
      <c r="F451" s="720"/>
      <c r="G451" s="24">
        <f t="shared" si="76"/>
        <v>0.02</v>
      </c>
      <c r="H451" s="720"/>
      <c r="I451" s="24">
        <f t="shared" si="77"/>
        <v>0</v>
      </c>
      <c r="J451" s="720"/>
      <c r="K451" s="24">
        <f t="shared" si="78"/>
        <v>0</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v>
      </c>
      <c r="F452" s="720"/>
      <c r="G452" s="24">
        <f t="shared" si="76"/>
        <v>0.02</v>
      </c>
      <c r="H452" s="720"/>
      <c r="I452" s="24">
        <f t="shared" si="77"/>
        <v>0</v>
      </c>
      <c r="J452" s="720"/>
      <c r="K452" s="24">
        <f t="shared" si="78"/>
        <v>0</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v>
      </c>
      <c r="F453" s="720"/>
      <c r="G453" s="24">
        <f t="shared" si="76"/>
        <v>0.02</v>
      </c>
      <c r="H453" s="720"/>
      <c r="I453" s="24">
        <f t="shared" si="77"/>
        <v>0</v>
      </c>
      <c r="J453" s="720"/>
      <c r="K453" s="24">
        <f t="shared" si="78"/>
        <v>0</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v>
      </c>
      <c r="F454" s="720"/>
      <c r="G454" s="24">
        <f t="shared" si="76"/>
        <v>0.02</v>
      </c>
      <c r="H454" s="720"/>
      <c r="I454" s="24">
        <f t="shared" si="77"/>
        <v>0</v>
      </c>
      <c r="J454" s="720"/>
      <c r="K454" s="24">
        <f t="shared" si="78"/>
        <v>0</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v>
      </c>
      <c r="F455" s="720"/>
      <c r="G455" s="24">
        <f t="shared" si="76"/>
        <v>0.02</v>
      </c>
      <c r="H455" s="720"/>
      <c r="I455" s="24">
        <f t="shared" si="77"/>
        <v>0</v>
      </c>
      <c r="J455" s="720"/>
      <c r="K455" s="24">
        <f t="shared" si="78"/>
        <v>0</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v>
      </c>
      <c r="F456" s="720"/>
      <c r="G456" s="24">
        <f t="shared" si="76"/>
        <v>0.02</v>
      </c>
      <c r="H456" s="720"/>
      <c r="I456" s="24">
        <f t="shared" si="77"/>
        <v>0</v>
      </c>
      <c r="J456" s="720"/>
      <c r="K456" s="24">
        <f t="shared" si="78"/>
        <v>0</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v>
      </c>
      <c r="F457" s="720"/>
      <c r="G457" s="24">
        <f t="shared" si="76"/>
        <v>0.02</v>
      </c>
      <c r="H457" s="720"/>
      <c r="I457" s="24">
        <f t="shared" si="77"/>
        <v>0</v>
      </c>
      <c r="J457" s="720"/>
      <c r="K457" s="24">
        <f t="shared" si="78"/>
        <v>0</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v>
      </c>
      <c r="F458" s="720"/>
      <c r="G458" s="24">
        <f t="shared" si="76"/>
        <v>0.02</v>
      </c>
      <c r="H458" s="720"/>
      <c r="I458" s="24">
        <f t="shared" si="77"/>
        <v>0</v>
      </c>
      <c r="J458" s="720"/>
      <c r="K458" s="24">
        <f t="shared" si="78"/>
        <v>0</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v>
      </c>
      <c r="F459" s="720"/>
      <c r="G459" s="24">
        <f t="shared" si="76"/>
        <v>0.02</v>
      </c>
      <c r="H459" s="720"/>
      <c r="I459" s="24">
        <f t="shared" si="77"/>
        <v>0</v>
      </c>
      <c r="J459" s="720"/>
      <c r="K459" s="24">
        <f t="shared" si="78"/>
        <v>0</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v>
      </c>
      <c r="F460" s="720"/>
      <c r="G460" s="24">
        <f t="shared" si="76"/>
        <v>0.02</v>
      </c>
      <c r="H460" s="720"/>
      <c r="I460" s="24">
        <f t="shared" si="77"/>
        <v>0</v>
      </c>
      <c r="J460" s="720"/>
      <c r="K460" s="24">
        <f t="shared" si="78"/>
        <v>0</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v>
      </c>
      <c r="F461" s="720"/>
      <c r="G461" s="24">
        <f t="shared" si="76"/>
        <v>0.02</v>
      </c>
      <c r="H461" s="720"/>
      <c r="I461" s="24">
        <f t="shared" si="77"/>
        <v>0</v>
      </c>
      <c r="J461" s="720"/>
      <c r="K461" s="24">
        <f t="shared" si="78"/>
        <v>0</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v>
      </c>
      <c r="F462" s="720"/>
      <c r="G462" s="24">
        <f t="shared" si="76"/>
        <v>0.02</v>
      </c>
      <c r="H462" s="720"/>
      <c r="I462" s="24">
        <f t="shared" si="77"/>
        <v>0</v>
      </c>
      <c r="J462" s="720"/>
      <c r="K462" s="24">
        <f t="shared" si="78"/>
        <v>0</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v>
      </c>
      <c r="F463" s="720"/>
      <c r="G463" s="24">
        <f t="shared" si="76"/>
        <v>0.02</v>
      </c>
      <c r="H463" s="720"/>
      <c r="I463" s="24">
        <f t="shared" si="77"/>
        <v>0</v>
      </c>
      <c r="J463" s="720"/>
      <c r="K463" s="24">
        <f t="shared" si="78"/>
        <v>0</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v>
      </c>
      <c r="F464" s="720"/>
      <c r="G464" s="24">
        <f t="shared" si="76"/>
        <v>0.02</v>
      </c>
      <c r="H464" s="720"/>
      <c r="I464" s="24">
        <f t="shared" si="77"/>
        <v>0</v>
      </c>
      <c r="J464" s="720"/>
      <c r="K464" s="24">
        <f t="shared" si="78"/>
        <v>0</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v>
      </c>
      <c r="F465" s="720"/>
      <c r="G465" s="24">
        <f t="shared" si="76"/>
        <v>0.02</v>
      </c>
      <c r="H465" s="720"/>
      <c r="I465" s="24">
        <f t="shared" si="77"/>
        <v>0</v>
      </c>
      <c r="J465" s="720"/>
      <c r="K465" s="24">
        <f t="shared" si="78"/>
        <v>0</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v>
      </c>
      <c r="F466" s="720"/>
      <c r="G466" s="24">
        <f t="shared" si="76"/>
        <v>0.02</v>
      </c>
      <c r="H466" s="720"/>
      <c r="I466" s="24">
        <f t="shared" si="77"/>
        <v>0</v>
      </c>
      <c r="J466" s="720"/>
      <c r="K466" s="24">
        <f t="shared" si="78"/>
        <v>0</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v>
      </c>
      <c r="F467" s="720"/>
      <c r="G467" s="24">
        <f t="shared" si="76"/>
        <v>0.02</v>
      </c>
      <c r="H467" s="720"/>
      <c r="I467" s="24">
        <f t="shared" si="77"/>
        <v>0</v>
      </c>
      <c r="J467" s="720"/>
      <c r="K467" s="24">
        <f t="shared" si="78"/>
        <v>0</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v>
      </c>
      <c r="F468" s="720"/>
      <c r="G468" s="24">
        <f t="shared" si="76"/>
        <v>0.02</v>
      </c>
      <c r="H468" s="720"/>
      <c r="I468" s="24">
        <f t="shared" si="77"/>
        <v>0</v>
      </c>
      <c r="J468" s="720"/>
      <c r="K468" s="24">
        <f t="shared" si="78"/>
        <v>0</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v>
      </c>
      <c r="F469" s="720"/>
      <c r="G469" s="24">
        <f t="shared" si="76"/>
        <v>0.02</v>
      </c>
      <c r="H469" s="720"/>
      <c r="I469" s="24">
        <f t="shared" si="77"/>
        <v>0</v>
      </c>
      <c r="J469" s="720"/>
      <c r="K469" s="24">
        <f t="shared" si="78"/>
        <v>0</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v>
      </c>
      <c r="F470" s="720"/>
      <c r="G470" s="24">
        <f t="shared" si="76"/>
        <v>0.02</v>
      </c>
      <c r="H470" s="720"/>
      <c r="I470" s="24">
        <f t="shared" si="77"/>
        <v>0</v>
      </c>
      <c r="J470" s="720"/>
      <c r="K470" s="24">
        <f t="shared" si="78"/>
        <v>0</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v>
      </c>
      <c r="F471" s="720"/>
      <c r="G471" s="24">
        <f t="shared" si="76"/>
        <v>0.02</v>
      </c>
      <c r="H471" s="720"/>
      <c r="I471" s="24">
        <f t="shared" si="77"/>
        <v>0</v>
      </c>
      <c r="J471" s="720"/>
      <c r="K471" s="24">
        <f t="shared" si="78"/>
        <v>0</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v>
      </c>
      <c r="F472" s="720"/>
      <c r="G472" s="24">
        <f t="shared" si="76"/>
        <v>0.02</v>
      </c>
      <c r="H472" s="720"/>
      <c r="I472" s="24">
        <f t="shared" si="77"/>
        <v>0</v>
      </c>
      <c r="J472" s="720"/>
      <c r="K472" s="24">
        <f t="shared" si="78"/>
        <v>0</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v>
      </c>
      <c r="F473" s="720"/>
      <c r="G473" s="24">
        <f t="shared" si="76"/>
        <v>0.02</v>
      </c>
      <c r="H473" s="720"/>
      <c r="I473" s="24">
        <f t="shared" si="77"/>
        <v>0</v>
      </c>
      <c r="J473" s="720"/>
      <c r="K473" s="24">
        <f t="shared" si="78"/>
        <v>0</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0.02</v>
      </c>
      <c r="H474" s="720"/>
      <c r="I474" s="24">
        <f t="shared" ref="I474:I524" si="88">(SUMIF($9:$9,H474,$10:$10)-SUMIF($9:$9,$H$24,$10:$10)+100)/100</f>
        <v>0</v>
      </c>
      <c r="J474" s="720"/>
      <c r="K474" s="24">
        <f t="shared" ref="K474:K524" si="89">(SUMIF($11:$11,J474,$12:$12)-SUMIF($11:$11,$J$24,$12:$12)+100)/100</f>
        <v>0</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0.02</v>
      </c>
      <c r="H475" s="720"/>
      <c r="I475" s="24">
        <f t="shared" si="88"/>
        <v>0</v>
      </c>
      <c r="J475" s="720"/>
      <c r="K475" s="24">
        <f t="shared" si="89"/>
        <v>0</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v>
      </c>
      <c r="F476" s="720"/>
      <c r="G476" s="24">
        <f t="shared" si="87"/>
        <v>0.02</v>
      </c>
      <c r="H476" s="720"/>
      <c r="I476" s="24">
        <f t="shared" si="88"/>
        <v>0</v>
      </c>
      <c r="J476" s="720"/>
      <c r="K476" s="24">
        <f t="shared" si="89"/>
        <v>0</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v>
      </c>
      <c r="F477" s="720"/>
      <c r="G477" s="24">
        <f t="shared" si="87"/>
        <v>0.02</v>
      </c>
      <c r="H477" s="720"/>
      <c r="I477" s="24">
        <f t="shared" si="88"/>
        <v>0</v>
      </c>
      <c r="J477" s="720"/>
      <c r="K477" s="24">
        <f t="shared" si="89"/>
        <v>0</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v>
      </c>
      <c r="F478" s="720"/>
      <c r="G478" s="24">
        <f t="shared" si="87"/>
        <v>0.02</v>
      </c>
      <c r="H478" s="720"/>
      <c r="I478" s="24">
        <f t="shared" si="88"/>
        <v>0</v>
      </c>
      <c r="J478" s="720"/>
      <c r="K478" s="24">
        <f t="shared" si="89"/>
        <v>0</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v>
      </c>
      <c r="F479" s="720"/>
      <c r="G479" s="24">
        <f t="shared" si="87"/>
        <v>0.02</v>
      </c>
      <c r="H479" s="720"/>
      <c r="I479" s="24">
        <f t="shared" si="88"/>
        <v>0</v>
      </c>
      <c r="J479" s="720"/>
      <c r="K479" s="24">
        <f t="shared" si="89"/>
        <v>0</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v>
      </c>
      <c r="F480" s="720"/>
      <c r="G480" s="24">
        <f t="shared" si="87"/>
        <v>0.02</v>
      </c>
      <c r="H480" s="720"/>
      <c r="I480" s="24">
        <f t="shared" si="88"/>
        <v>0</v>
      </c>
      <c r="J480" s="720"/>
      <c r="K480" s="24">
        <f t="shared" si="89"/>
        <v>0</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v>
      </c>
      <c r="F481" s="720"/>
      <c r="G481" s="24">
        <f t="shared" si="87"/>
        <v>0.02</v>
      </c>
      <c r="H481" s="720"/>
      <c r="I481" s="24">
        <f t="shared" si="88"/>
        <v>0</v>
      </c>
      <c r="J481" s="720"/>
      <c r="K481" s="24">
        <f t="shared" si="89"/>
        <v>0</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v>
      </c>
      <c r="F482" s="720"/>
      <c r="G482" s="24">
        <f t="shared" si="87"/>
        <v>0.02</v>
      </c>
      <c r="H482" s="720"/>
      <c r="I482" s="24">
        <f t="shared" si="88"/>
        <v>0</v>
      </c>
      <c r="J482" s="720"/>
      <c r="K482" s="24">
        <f t="shared" si="89"/>
        <v>0</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v>
      </c>
      <c r="F483" s="720"/>
      <c r="G483" s="24">
        <f t="shared" si="87"/>
        <v>0.02</v>
      </c>
      <c r="H483" s="720"/>
      <c r="I483" s="24">
        <f t="shared" si="88"/>
        <v>0</v>
      </c>
      <c r="J483" s="720"/>
      <c r="K483" s="24">
        <f t="shared" si="89"/>
        <v>0</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v>
      </c>
      <c r="F484" s="720"/>
      <c r="G484" s="24">
        <f t="shared" si="87"/>
        <v>0.02</v>
      </c>
      <c r="H484" s="720"/>
      <c r="I484" s="24">
        <f t="shared" si="88"/>
        <v>0</v>
      </c>
      <c r="J484" s="720"/>
      <c r="K484" s="24">
        <f t="shared" si="89"/>
        <v>0</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v>
      </c>
      <c r="F485" s="720"/>
      <c r="G485" s="24">
        <f t="shared" si="87"/>
        <v>0.02</v>
      </c>
      <c r="H485" s="720"/>
      <c r="I485" s="24">
        <f t="shared" si="88"/>
        <v>0</v>
      </c>
      <c r="J485" s="720"/>
      <c r="K485" s="24">
        <f t="shared" si="89"/>
        <v>0</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v>
      </c>
      <c r="F486" s="720"/>
      <c r="G486" s="24">
        <f t="shared" si="87"/>
        <v>0.02</v>
      </c>
      <c r="H486" s="720"/>
      <c r="I486" s="24">
        <f t="shared" si="88"/>
        <v>0</v>
      </c>
      <c r="J486" s="720"/>
      <c r="K486" s="24">
        <f t="shared" si="89"/>
        <v>0</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v>
      </c>
      <c r="F487" s="720"/>
      <c r="G487" s="24">
        <f t="shared" si="87"/>
        <v>0.02</v>
      </c>
      <c r="H487" s="720"/>
      <c r="I487" s="24">
        <f t="shared" si="88"/>
        <v>0</v>
      </c>
      <c r="J487" s="720"/>
      <c r="K487" s="24">
        <f t="shared" si="89"/>
        <v>0</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v>
      </c>
      <c r="F488" s="720"/>
      <c r="G488" s="24">
        <f t="shared" si="87"/>
        <v>0.02</v>
      </c>
      <c r="H488" s="720"/>
      <c r="I488" s="24">
        <f t="shared" si="88"/>
        <v>0</v>
      </c>
      <c r="J488" s="720"/>
      <c r="K488" s="24">
        <f t="shared" si="89"/>
        <v>0</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v>
      </c>
      <c r="F489" s="720"/>
      <c r="G489" s="24">
        <f t="shared" si="87"/>
        <v>0.02</v>
      </c>
      <c r="H489" s="720"/>
      <c r="I489" s="24">
        <f t="shared" si="88"/>
        <v>0</v>
      </c>
      <c r="J489" s="720"/>
      <c r="K489" s="24">
        <f t="shared" si="89"/>
        <v>0</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v>
      </c>
      <c r="F490" s="720"/>
      <c r="G490" s="24">
        <f t="shared" si="87"/>
        <v>0.02</v>
      </c>
      <c r="H490" s="720"/>
      <c r="I490" s="24">
        <f t="shared" si="88"/>
        <v>0</v>
      </c>
      <c r="J490" s="720"/>
      <c r="K490" s="24">
        <f t="shared" si="89"/>
        <v>0</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v>
      </c>
      <c r="F491" s="720"/>
      <c r="G491" s="24">
        <f t="shared" si="87"/>
        <v>0.02</v>
      </c>
      <c r="H491" s="720"/>
      <c r="I491" s="24">
        <f t="shared" si="88"/>
        <v>0</v>
      </c>
      <c r="J491" s="720"/>
      <c r="K491" s="24">
        <f t="shared" si="89"/>
        <v>0</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v>
      </c>
      <c r="F492" s="720"/>
      <c r="G492" s="24">
        <f t="shared" si="87"/>
        <v>0.02</v>
      </c>
      <c r="H492" s="720"/>
      <c r="I492" s="24">
        <f t="shared" si="88"/>
        <v>0</v>
      </c>
      <c r="J492" s="720"/>
      <c r="K492" s="24">
        <f t="shared" si="89"/>
        <v>0</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v>
      </c>
      <c r="F493" s="720"/>
      <c r="G493" s="24">
        <f t="shared" si="87"/>
        <v>0.02</v>
      </c>
      <c r="H493" s="720"/>
      <c r="I493" s="24">
        <f t="shared" si="88"/>
        <v>0</v>
      </c>
      <c r="J493" s="720"/>
      <c r="K493" s="24">
        <f t="shared" si="89"/>
        <v>0</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v>
      </c>
      <c r="F494" s="720"/>
      <c r="G494" s="24">
        <f t="shared" si="87"/>
        <v>0.02</v>
      </c>
      <c r="H494" s="720"/>
      <c r="I494" s="24">
        <f t="shared" si="88"/>
        <v>0</v>
      </c>
      <c r="J494" s="720"/>
      <c r="K494" s="24">
        <f t="shared" si="89"/>
        <v>0</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v>
      </c>
      <c r="F495" s="720"/>
      <c r="G495" s="24">
        <f t="shared" si="87"/>
        <v>0.02</v>
      </c>
      <c r="H495" s="720"/>
      <c r="I495" s="24">
        <f t="shared" si="88"/>
        <v>0</v>
      </c>
      <c r="J495" s="720"/>
      <c r="K495" s="24">
        <f t="shared" si="89"/>
        <v>0</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v>
      </c>
      <c r="F496" s="720"/>
      <c r="G496" s="24">
        <f t="shared" si="87"/>
        <v>0.02</v>
      </c>
      <c r="H496" s="720"/>
      <c r="I496" s="24">
        <f t="shared" si="88"/>
        <v>0</v>
      </c>
      <c r="J496" s="720"/>
      <c r="K496" s="24">
        <f t="shared" si="89"/>
        <v>0</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v>
      </c>
      <c r="F497" s="720"/>
      <c r="G497" s="24">
        <f t="shared" si="87"/>
        <v>0.02</v>
      </c>
      <c r="H497" s="720"/>
      <c r="I497" s="24">
        <f t="shared" si="88"/>
        <v>0</v>
      </c>
      <c r="J497" s="720"/>
      <c r="K497" s="24">
        <f t="shared" si="89"/>
        <v>0</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v>
      </c>
      <c r="F498" s="720"/>
      <c r="G498" s="24">
        <f t="shared" si="87"/>
        <v>0.02</v>
      </c>
      <c r="H498" s="720"/>
      <c r="I498" s="24">
        <f t="shared" si="88"/>
        <v>0</v>
      </c>
      <c r="J498" s="720"/>
      <c r="K498" s="24">
        <f t="shared" si="89"/>
        <v>0</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v>
      </c>
      <c r="F499" s="720"/>
      <c r="G499" s="24">
        <f t="shared" si="87"/>
        <v>0.02</v>
      </c>
      <c r="H499" s="720"/>
      <c r="I499" s="24">
        <f t="shared" si="88"/>
        <v>0</v>
      </c>
      <c r="J499" s="720"/>
      <c r="K499" s="24">
        <f t="shared" si="89"/>
        <v>0</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v>
      </c>
      <c r="F500" s="720"/>
      <c r="G500" s="24">
        <f t="shared" si="87"/>
        <v>0.02</v>
      </c>
      <c r="H500" s="720"/>
      <c r="I500" s="24">
        <f t="shared" si="88"/>
        <v>0</v>
      </c>
      <c r="J500" s="720"/>
      <c r="K500" s="24">
        <f t="shared" si="89"/>
        <v>0</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v>
      </c>
      <c r="F501" s="720"/>
      <c r="G501" s="24">
        <f t="shared" si="87"/>
        <v>0.02</v>
      </c>
      <c r="H501" s="720"/>
      <c r="I501" s="24">
        <f t="shared" si="88"/>
        <v>0</v>
      </c>
      <c r="J501" s="720"/>
      <c r="K501" s="24">
        <f t="shared" si="89"/>
        <v>0</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v>
      </c>
      <c r="F502" s="720"/>
      <c r="G502" s="24">
        <f t="shared" si="87"/>
        <v>0.02</v>
      </c>
      <c r="H502" s="720"/>
      <c r="I502" s="24">
        <f t="shared" si="88"/>
        <v>0</v>
      </c>
      <c r="J502" s="720"/>
      <c r="K502" s="24">
        <f t="shared" si="89"/>
        <v>0</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v>
      </c>
      <c r="F503" s="720"/>
      <c r="G503" s="24">
        <f t="shared" si="87"/>
        <v>0.02</v>
      </c>
      <c r="H503" s="720"/>
      <c r="I503" s="24">
        <f t="shared" si="88"/>
        <v>0</v>
      </c>
      <c r="J503" s="720"/>
      <c r="K503" s="24">
        <f t="shared" si="89"/>
        <v>0</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v>
      </c>
      <c r="F504" s="720"/>
      <c r="G504" s="24">
        <f t="shared" si="87"/>
        <v>0.02</v>
      </c>
      <c r="H504" s="720"/>
      <c r="I504" s="24">
        <f t="shared" si="88"/>
        <v>0</v>
      </c>
      <c r="J504" s="720"/>
      <c r="K504" s="24">
        <f t="shared" si="89"/>
        <v>0</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v>
      </c>
      <c r="F505" s="720"/>
      <c r="G505" s="24">
        <f t="shared" si="87"/>
        <v>0.02</v>
      </c>
      <c r="H505" s="720"/>
      <c r="I505" s="24">
        <f t="shared" si="88"/>
        <v>0</v>
      </c>
      <c r="J505" s="720"/>
      <c r="K505" s="24">
        <f t="shared" si="89"/>
        <v>0</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v>
      </c>
      <c r="F506" s="720"/>
      <c r="G506" s="24">
        <f t="shared" si="87"/>
        <v>0.02</v>
      </c>
      <c r="H506" s="720"/>
      <c r="I506" s="24">
        <f t="shared" si="88"/>
        <v>0</v>
      </c>
      <c r="J506" s="720"/>
      <c r="K506" s="24">
        <f t="shared" si="89"/>
        <v>0</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v>
      </c>
      <c r="F507" s="720"/>
      <c r="G507" s="24">
        <f t="shared" si="87"/>
        <v>0.02</v>
      </c>
      <c r="H507" s="720"/>
      <c r="I507" s="24">
        <f t="shared" si="88"/>
        <v>0</v>
      </c>
      <c r="J507" s="720"/>
      <c r="K507" s="24">
        <f t="shared" si="89"/>
        <v>0</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v>
      </c>
      <c r="F508" s="720"/>
      <c r="G508" s="24">
        <f t="shared" si="87"/>
        <v>0.02</v>
      </c>
      <c r="H508" s="720"/>
      <c r="I508" s="24">
        <f t="shared" si="88"/>
        <v>0</v>
      </c>
      <c r="J508" s="720"/>
      <c r="K508" s="24">
        <f t="shared" si="89"/>
        <v>0</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v>
      </c>
      <c r="F509" s="720"/>
      <c r="G509" s="24">
        <f t="shared" si="87"/>
        <v>0.02</v>
      </c>
      <c r="H509" s="720"/>
      <c r="I509" s="24">
        <f t="shared" si="88"/>
        <v>0</v>
      </c>
      <c r="J509" s="720"/>
      <c r="K509" s="24">
        <f t="shared" si="89"/>
        <v>0</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v>
      </c>
      <c r="F510" s="720"/>
      <c r="G510" s="24">
        <f t="shared" si="87"/>
        <v>0.02</v>
      </c>
      <c r="H510" s="720"/>
      <c r="I510" s="24">
        <f t="shared" si="88"/>
        <v>0</v>
      </c>
      <c r="J510" s="720"/>
      <c r="K510" s="24">
        <f t="shared" si="89"/>
        <v>0</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v>
      </c>
      <c r="F511" s="720"/>
      <c r="G511" s="24">
        <f t="shared" si="87"/>
        <v>0.02</v>
      </c>
      <c r="H511" s="720"/>
      <c r="I511" s="24">
        <f t="shared" si="88"/>
        <v>0</v>
      </c>
      <c r="J511" s="720"/>
      <c r="K511" s="24">
        <f t="shared" si="89"/>
        <v>0</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v>
      </c>
      <c r="F512" s="720"/>
      <c r="G512" s="24">
        <f t="shared" si="87"/>
        <v>0.02</v>
      </c>
      <c r="H512" s="720"/>
      <c r="I512" s="24">
        <f t="shared" si="88"/>
        <v>0</v>
      </c>
      <c r="J512" s="720"/>
      <c r="K512" s="24">
        <f t="shared" si="89"/>
        <v>0</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v>
      </c>
      <c r="F513" s="720"/>
      <c r="G513" s="24">
        <f t="shared" si="87"/>
        <v>0.02</v>
      </c>
      <c r="H513" s="720"/>
      <c r="I513" s="24">
        <f t="shared" si="88"/>
        <v>0</v>
      </c>
      <c r="J513" s="720"/>
      <c r="K513" s="24">
        <f t="shared" si="89"/>
        <v>0</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v>
      </c>
      <c r="F514" s="720"/>
      <c r="G514" s="24">
        <f t="shared" si="87"/>
        <v>0.02</v>
      </c>
      <c r="H514" s="720"/>
      <c r="I514" s="24">
        <f t="shared" si="88"/>
        <v>0</v>
      </c>
      <c r="J514" s="720"/>
      <c r="K514" s="24">
        <f t="shared" si="89"/>
        <v>0</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v>
      </c>
      <c r="F515" s="720"/>
      <c r="G515" s="24">
        <f t="shared" si="87"/>
        <v>0.02</v>
      </c>
      <c r="H515" s="720"/>
      <c r="I515" s="24">
        <f t="shared" si="88"/>
        <v>0</v>
      </c>
      <c r="J515" s="720"/>
      <c r="K515" s="24">
        <f t="shared" si="89"/>
        <v>0</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v>
      </c>
      <c r="F516" s="720"/>
      <c r="G516" s="24">
        <f t="shared" si="87"/>
        <v>0.02</v>
      </c>
      <c r="H516" s="720"/>
      <c r="I516" s="24">
        <f t="shared" si="88"/>
        <v>0</v>
      </c>
      <c r="J516" s="720"/>
      <c r="K516" s="24">
        <f t="shared" si="89"/>
        <v>0</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v>
      </c>
      <c r="F517" s="720"/>
      <c r="G517" s="24">
        <f t="shared" si="87"/>
        <v>0.02</v>
      </c>
      <c r="H517" s="720"/>
      <c r="I517" s="24">
        <f t="shared" si="88"/>
        <v>0</v>
      </c>
      <c r="J517" s="720"/>
      <c r="K517" s="24">
        <f t="shared" si="89"/>
        <v>0</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v>
      </c>
      <c r="F518" s="720"/>
      <c r="G518" s="24">
        <f t="shared" si="87"/>
        <v>0.02</v>
      </c>
      <c r="H518" s="720"/>
      <c r="I518" s="24">
        <f t="shared" si="88"/>
        <v>0</v>
      </c>
      <c r="J518" s="720"/>
      <c r="K518" s="24">
        <f t="shared" si="89"/>
        <v>0</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v>
      </c>
      <c r="F519" s="720"/>
      <c r="G519" s="24">
        <f t="shared" si="87"/>
        <v>0.02</v>
      </c>
      <c r="H519" s="720"/>
      <c r="I519" s="24">
        <f t="shared" si="88"/>
        <v>0</v>
      </c>
      <c r="J519" s="720"/>
      <c r="K519" s="24">
        <f t="shared" si="89"/>
        <v>0</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v>
      </c>
      <c r="F520" s="720"/>
      <c r="G520" s="24">
        <f t="shared" si="87"/>
        <v>0.02</v>
      </c>
      <c r="H520" s="720"/>
      <c r="I520" s="24">
        <f t="shared" si="88"/>
        <v>0</v>
      </c>
      <c r="J520" s="720"/>
      <c r="K520" s="24">
        <f t="shared" si="89"/>
        <v>0</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v>
      </c>
      <c r="F521" s="720"/>
      <c r="G521" s="24">
        <f t="shared" si="87"/>
        <v>0.02</v>
      </c>
      <c r="H521" s="720"/>
      <c r="I521" s="24">
        <f t="shared" si="88"/>
        <v>0</v>
      </c>
      <c r="J521" s="720"/>
      <c r="K521" s="24">
        <f t="shared" si="89"/>
        <v>0</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v>
      </c>
      <c r="F522" s="720"/>
      <c r="G522" s="24">
        <f t="shared" si="87"/>
        <v>0.02</v>
      </c>
      <c r="H522" s="720"/>
      <c r="I522" s="24">
        <f t="shared" si="88"/>
        <v>0</v>
      </c>
      <c r="J522" s="720"/>
      <c r="K522" s="24">
        <f t="shared" si="89"/>
        <v>0</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v>
      </c>
      <c r="F523" s="720"/>
      <c r="G523" s="24">
        <f t="shared" si="87"/>
        <v>0.02</v>
      </c>
      <c r="H523" s="720"/>
      <c r="I523" s="24">
        <f t="shared" si="88"/>
        <v>0</v>
      </c>
      <c r="J523" s="720"/>
      <c r="K523" s="24">
        <f t="shared" si="89"/>
        <v>0</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v>
      </c>
      <c r="F524" s="720"/>
      <c r="G524" s="24">
        <f t="shared" si="87"/>
        <v>0.02</v>
      </c>
      <c r="H524" s="720"/>
      <c r="I524" s="24">
        <f t="shared" si="88"/>
        <v>0</v>
      </c>
      <c r="J524" s="720"/>
      <c r="K524" s="24">
        <f t="shared" si="89"/>
        <v>0</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9"/>
      <c r="C2" s="2979"/>
      <c r="D2" s="2979"/>
      <c r="E2" s="2979"/>
    </row>
    <row r="3" spans="1:5" ht="18">
      <c r="A3" s="2980" t="str">
        <f>IF(项目基本情况!B9="房地产市场价值","估价结果一览表（市场价值不需“结果表-1”）","估价结果一览表")</f>
        <v>估价结果一览表</v>
      </c>
      <c r="B3" s="2980"/>
      <c r="C3" s="2980"/>
      <c r="D3" s="2980"/>
      <c r="E3" s="2980"/>
    </row>
    <row r="4" spans="1:5" ht="19.5" thickBot="1">
      <c r="A4" s="1963"/>
      <c r="B4" s="2978" t="s">
        <v>1630</v>
      </c>
      <c r="C4" s="2978"/>
      <c r="D4" s="2978"/>
      <c r="E4" s="1963"/>
    </row>
    <row r="5" spans="1:5" ht="16.5" thickTop="1">
      <c r="A5" s="1961"/>
      <c r="B5" s="2976" t="s">
        <v>1622</v>
      </c>
      <c r="C5" s="1964" t="s">
        <v>1623</v>
      </c>
      <c r="D5" s="1043">
        <f ca="1">结果表!H101</f>
        <v>457</v>
      </c>
      <c r="E5" s="1961"/>
    </row>
    <row r="6" spans="1:5" ht="15.75">
      <c r="A6" s="1961"/>
      <c r="B6" s="2976"/>
      <c r="C6" s="1964" t="s">
        <v>1624</v>
      </c>
      <c r="D6" s="1043" t="str">
        <f ca="1">NUMBERSTRING(INT(D5*10000),2)&amp;"元整"</f>
        <v>肆佰伍拾柒万元整</v>
      </c>
      <c r="E6" s="1961"/>
    </row>
    <row r="7" spans="1:5" ht="15.75">
      <c r="A7" s="1961"/>
      <c r="B7" s="2981"/>
      <c r="C7" s="1965" t="s">
        <v>1625</v>
      </c>
      <c r="D7" s="1044">
        <f ca="1">结果表!H102</f>
        <v>49934</v>
      </c>
      <c r="E7" s="1961"/>
    </row>
    <row r="8" spans="1:5" ht="15.75">
      <c r="A8" s="1961"/>
      <c r="B8" s="2982" t="str">
        <f>结果表!E103</f>
        <v>2.估价师知悉的法定优先受偿款</v>
      </c>
      <c r="C8" s="1966" t="s">
        <v>1626</v>
      </c>
      <c r="D8" s="1044">
        <f>结果表!H103</f>
        <v>0</v>
      </c>
      <c r="E8" s="1961"/>
    </row>
    <row r="9" spans="1:5" ht="15.75">
      <c r="A9" s="1961"/>
      <c r="B9" s="2984"/>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75" t="str">
        <f>结果表!E107</f>
        <v>3.房地产抵押价值</v>
      </c>
      <c r="C13" s="1969" t="s">
        <v>1623</v>
      </c>
      <c r="D13" s="1046">
        <f ca="1">结果表!H107</f>
        <v>457</v>
      </c>
      <c r="E13" s="1961"/>
    </row>
    <row r="14" spans="1:5" ht="15.75">
      <c r="A14" s="1961"/>
      <c r="B14" s="2976"/>
      <c r="C14" s="1964" t="s">
        <v>1624</v>
      </c>
      <c r="D14" s="1043" t="str">
        <f ca="1">NUMBERSTRING(INT(D13*10000),2)&amp;"元整"</f>
        <v>肆佰伍拾柒万元整</v>
      </c>
      <c r="E14" s="1961"/>
    </row>
    <row r="15" spans="1:5" ht="15">
      <c r="A15" s="1961"/>
      <c r="B15" s="2981"/>
      <c r="C15" s="1965" t="s">
        <v>1634</v>
      </c>
      <c r="D15" s="1055">
        <f ca="1">结果表!H108</f>
        <v>49934</v>
      </c>
      <c r="E15" s="1961"/>
    </row>
    <row r="16" spans="1:5" ht="15">
      <c r="A16" s="1961"/>
      <c r="B16" s="2982" t="str">
        <f>结果表!E109</f>
        <v>——</v>
      </c>
      <c r="C16" s="1969" t="s">
        <v>1635</v>
      </c>
      <c r="D16" s="1970" t="str">
        <f>结果表!H109</f>
        <v>——</v>
      </c>
      <c r="E16" s="1961"/>
    </row>
    <row r="17" spans="1:5" ht="15.75">
      <c r="A17" s="1961"/>
      <c r="B17" s="2983"/>
      <c r="C17" s="1964" t="s">
        <v>1636</v>
      </c>
      <c r="D17" s="1043" t="e">
        <f>NUMBERSTRING(INT(D16*10000),2)&amp;"元整"</f>
        <v>#VALUE!</v>
      </c>
      <c r="E17" s="1961"/>
    </row>
    <row r="18" spans="1:5" ht="15">
      <c r="A18" s="1961"/>
      <c r="B18" s="2984"/>
      <c r="C18" s="1965" t="s">
        <v>1625</v>
      </c>
      <c r="D18" s="1055" t="str">
        <f>结果表!H110</f>
        <v>——</v>
      </c>
      <c r="E18" s="1961"/>
    </row>
    <row r="19" spans="1:5" ht="15.75">
      <c r="A19" s="1961"/>
      <c r="B19" s="2975" t="str">
        <f>结果表!E111</f>
        <v>——</v>
      </c>
      <c r="C19" s="1969" t="s">
        <v>1623</v>
      </c>
      <c r="D19" s="1044" t="str">
        <f>结果表!H111</f>
        <v>——</v>
      </c>
      <c r="E19" s="1961"/>
    </row>
    <row r="20" spans="1:5" ht="15.75">
      <c r="A20" s="1961"/>
      <c r="B20" s="2976"/>
      <c r="C20" s="1964" t="s">
        <v>1636</v>
      </c>
      <c r="D20" s="1043" t="e">
        <f>NUMBERSTRING(INT(D19*10000),2)&amp;"元整"</f>
        <v>#VALUE!</v>
      </c>
      <c r="E20" s="1961"/>
    </row>
    <row r="21" spans="1:5" ht="15.75" thickBot="1">
      <c r="A21" s="1961"/>
      <c r="B21" s="2977"/>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27718</v>
      </c>
      <c r="C2" s="2" t="s">
        <v>133</v>
      </c>
      <c r="D2" s="243"/>
      <c r="E2" s="243"/>
      <c r="F2" s="243"/>
      <c r="G2" s="243"/>
    </row>
    <row r="3" spans="1:7" s="244" customFormat="1" ht="18" customHeight="1" thickBot="1">
      <c r="A3" s="247" t="s">
        <v>85</v>
      </c>
      <c r="B3" s="248">
        <f ca="1">ROUND(B2*10000/'数据-汇总表'!E3,0)</f>
        <v>3028628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2</v>
      </c>
      <c r="D9" s="1035">
        <f>'数据-汇总表'!E5</f>
        <v>91.52</v>
      </c>
      <c r="E9" s="269">
        <f>'数据-取费表'!B27</f>
        <v>200</v>
      </c>
      <c r="F9" s="265"/>
      <c r="G9" s="270"/>
    </row>
    <row r="10" spans="1:7" s="258" customFormat="1" ht="13.5" customHeight="1">
      <c r="A10" s="953" t="s">
        <v>801</v>
      </c>
      <c r="B10" s="268" t="s">
        <v>94</v>
      </c>
      <c r="C10" s="269">
        <f>ROUND(D10*E10/10000,0)</f>
        <v>0</v>
      </c>
      <c r="D10" s="1035">
        <f>'数据-汇总表'!E6</f>
        <v>0</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v>
      </c>
      <c r="D19" s="1039">
        <f>'数据-汇总表'!E3</f>
        <v>91.52</v>
      </c>
      <c r="E19" s="255">
        <f>'数据-取费表'!B31</f>
        <v>200</v>
      </c>
      <c r="F19" s="275"/>
      <c r="G19" s="1" t="s">
        <v>1074</v>
      </c>
    </row>
    <row r="20" spans="1:7" s="258" customFormat="1" ht="13.5" customHeight="1">
      <c r="A20" s="951" t="s">
        <v>1057</v>
      </c>
      <c r="B20" s="254" t="s">
        <v>104</v>
      </c>
      <c r="C20" s="276">
        <f>ROUND((C5+C19)*F20,0)</f>
        <v>206</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901</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8">
        <f ca="1">ROUND(IF('数据-取费表'!B22&lt;=1,C20*F22*'数据-取费表'!B23/2,C20*(POWER((1+F22),'数据-取费表'!B23/2)-1)),0)</f>
        <v>4</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4164</v>
      </c>
      <c r="D27" s="279">
        <f>C29</f>
        <v>2E-3</v>
      </c>
      <c r="E27" s="280" t="s">
        <v>126</v>
      </c>
      <c r="F27" s="290">
        <f>'数据-取费表'!Q16</f>
        <v>0.2</v>
      </c>
      <c r="G27" s="291" t="s">
        <v>1069</v>
      </c>
    </row>
    <row r="28" spans="1:7" s="258" customFormat="1" ht="13.5" customHeight="1">
      <c r="A28" s="954" t="s">
        <v>794</v>
      </c>
      <c r="B28" s="292" t="s">
        <v>1062</v>
      </c>
      <c r="C28" s="293">
        <f>ROUND((C5+C19+C20)*F27*'数据-取费表'!B21/'数据-取费表'!B20,0)</f>
        <v>4164</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27698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18</v>
      </c>
      <c r="D34" s="261"/>
      <c r="E34" s="264"/>
      <c r="F34" s="301">
        <f>IF('数据-取费表'!B24=0,1,'数据-取费表'!N16)</f>
        <v>1</v>
      </c>
      <c r="G34" s="263" t="s">
        <v>116</v>
      </c>
    </row>
    <row r="35" spans="1:7" ht="13.5" customHeight="1">
      <c r="A35" s="954" t="s">
        <v>796</v>
      </c>
      <c r="B35" s="259" t="s">
        <v>60</v>
      </c>
      <c r="C35" s="264">
        <f>ROUND(C34*F35,0)</f>
        <v>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v>
      </c>
      <c r="D36" s="264"/>
      <c r="E36" s="264"/>
      <c r="F36" s="303">
        <f>'数据-取费表'!B34</f>
        <v>0.03</v>
      </c>
      <c r="G36" s="304" t="s">
        <v>62</v>
      </c>
    </row>
    <row r="37" spans="1:7" s="302" customFormat="1" ht="13.5" customHeight="1">
      <c r="A37" s="954" t="s">
        <v>798</v>
      </c>
      <c r="B37" s="259" t="s">
        <v>118</v>
      </c>
      <c r="C37" s="293">
        <f>ROUND(E37*D37*F34/10000,0)</f>
        <v>2</v>
      </c>
      <c r="D37" s="261">
        <f>'数据-汇总表'!E3</f>
        <v>91.52</v>
      </c>
      <c r="E37" s="293">
        <f>'数据-取费表'!B35</f>
        <v>200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0</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0</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0</v>
      </c>
      <c r="D42" s="282"/>
      <c r="E42" s="282"/>
      <c r="F42" s="283"/>
      <c r="G42" s="3160" t="s">
        <v>121</v>
      </c>
    </row>
    <row r="43" spans="1:7" ht="13.5" customHeight="1">
      <c r="A43" s="954" t="s">
        <v>792</v>
      </c>
      <c r="B43" s="259" t="s">
        <v>1064</v>
      </c>
      <c r="C43" s="282">
        <f ca="1">ROUND(IF('数据-取费表'!B22&lt;=1,C39*F22*'数据-取费表'!B21/2,C39*(POWER((1+F22),'数据-取费表'!B21/2)-1)),0)</f>
        <v>0</v>
      </c>
      <c r="D43" s="282"/>
      <c r="E43" s="282"/>
      <c r="F43" s="283"/>
      <c r="G43" s="3161"/>
    </row>
    <row r="44" spans="1:7" ht="13.5" customHeight="1">
      <c r="A44" s="954" t="s">
        <v>793</v>
      </c>
      <c r="B44" s="259" t="s">
        <v>1066</v>
      </c>
      <c r="C44" s="282">
        <f ca="1">ROUND(IF('数据-取费表'!B22&lt;=1,C40*F22*'数据-取费表'!B21/2,C40*(POWER((1+F22),'数据-取费表'!B21/2)-1)),4)</f>
        <v>2.0000000000000001E-4</v>
      </c>
      <c r="D44" s="282"/>
      <c r="E44" s="282"/>
      <c r="F44" s="283"/>
      <c r="G44" s="3162"/>
    </row>
    <row r="45" spans="1:7" s="258" customFormat="1" ht="13.5" customHeight="1">
      <c r="A45" s="951" t="s">
        <v>786</v>
      </c>
      <c r="B45" s="288" t="s">
        <v>112</v>
      </c>
      <c r="C45" s="289">
        <f>C46</f>
        <v>4</v>
      </c>
      <c r="D45" s="279">
        <f>C47</f>
        <v>2E-3</v>
      </c>
      <c r="E45" s="280" t="s">
        <v>129</v>
      </c>
      <c r="F45" s="290"/>
      <c r="G45" s="291" t="s">
        <v>1072</v>
      </c>
    </row>
    <row r="46" spans="1:7" s="258" customFormat="1" ht="13.5" customHeight="1">
      <c r="A46" s="954" t="s">
        <v>794</v>
      </c>
      <c r="B46" s="292" t="s">
        <v>1065</v>
      </c>
      <c r="C46" s="293">
        <f>ROUND((C33+C39)*F27,0)</f>
        <v>4</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28</v>
      </c>
      <c r="D49" s="276"/>
      <c r="E49" s="276"/>
      <c r="F49" s="308"/>
      <c r="G49" s="278" t="s">
        <v>1073</v>
      </c>
    </row>
    <row r="50" spans="1:7" s="302" customFormat="1" ht="24">
      <c r="A50" s="951" t="s">
        <v>789</v>
      </c>
      <c r="B50" s="254" t="s">
        <v>124</v>
      </c>
      <c r="C50" s="276"/>
      <c r="D50" s="276"/>
      <c r="E50" s="276"/>
      <c r="F50" s="308">
        <f>IF('数据-取费表'!B24=0,'数据-取费表'!N16,1)</f>
        <v>0.7</v>
      </c>
      <c r="G50" s="291" t="s">
        <v>125</v>
      </c>
    </row>
    <row r="51" spans="1:7" ht="16.5" customHeight="1">
      <c r="A51" s="951" t="s">
        <v>790</v>
      </c>
      <c r="B51" s="254" t="s">
        <v>132</v>
      </c>
      <c r="C51" s="276">
        <f ca="1">ROUND(C49*F50,0)</f>
        <v>20</v>
      </c>
      <c r="D51" s="276"/>
      <c r="E51" s="276"/>
      <c r="F51" s="308"/>
      <c r="G51" s="278" t="s">
        <v>64</v>
      </c>
    </row>
    <row r="52" spans="1:7" s="252" customFormat="1" ht="16.5" thickBot="1">
      <c r="A52" s="309" t="s">
        <v>65</v>
      </c>
      <c r="B52" s="310"/>
      <c r="C52" s="311">
        <f ca="1">C31+C51</f>
        <v>27718</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6" t="s">
        <v>156</v>
      </c>
      <c r="B1" s="3296"/>
      <c r="C1" s="3296"/>
      <c r="D1" s="3296"/>
      <c r="E1" s="3296"/>
      <c r="F1" s="3296"/>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7" t="s">
        <v>169</v>
      </c>
      <c r="B2" s="3297"/>
      <c r="C2" s="3297"/>
      <c r="D2" s="3297"/>
      <c r="E2" s="3297"/>
      <c r="F2" s="3297"/>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8"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9"/>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6" t="s">
        <v>871</v>
      </c>
      <c r="B1" s="3296"/>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43249</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10" zoomScale="90" zoomScaleNormal="90" workbookViewId="0">
      <selection activeCell="G42" sqref="G4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3" t="s">
        <v>2517</v>
      </c>
      <c r="C1" s="1637" t="s">
        <v>2518</v>
      </c>
      <c r="D1" s="1624" t="s">
        <v>3050</v>
      </c>
      <c r="E1" s="2584"/>
      <c r="F1" s="2585" t="s">
        <v>3132</v>
      </c>
      <c r="G1" s="1634" t="s">
        <v>2520</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58</v>
      </c>
      <c r="C2" s="2587" t="s">
        <v>70</v>
      </c>
      <c r="D2" s="1368" t="e">
        <f ca="1">SUMIF(INDIRECT("'"&amp;F2&amp;"'"&amp;"!A:A"),"承租人权益价值",INDIRECT("'"&amp;F2&amp;"'"&amp;"!c:c"))</f>
        <v>#REF!</v>
      </c>
      <c r="E2" s="2588" t="s">
        <v>2316</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f>IF(C2="——",C49,ROUND(B2*10000/D3,0))</f>
        <v>6306.1</v>
      </c>
      <c r="C3" s="400" t="s">
        <v>2522</v>
      </c>
      <c r="D3" s="399">
        <f>IF(D1="",'数据-汇总表'!E3,SUMIF('数据-汇总表'!$C19:$C33,D1,'数据-汇总表'!$E19:$E33))</f>
        <v>91.52</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2523</v>
      </c>
      <c r="B4" s="402"/>
      <c r="C4" s="3186" t="s">
        <v>2524</v>
      </c>
      <c r="D4" s="3187"/>
      <c r="E4" s="3188" t="s">
        <v>2525</v>
      </c>
      <c r="F4" s="3189"/>
      <c r="G4" s="3186" t="s">
        <v>2526</v>
      </c>
      <c r="H4" s="3187"/>
      <c r="I4" s="3186" t="s">
        <v>2527</v>
      </c>
      <c r="J4" s="3187"/>
      <c r="K4" s="2597" t="s">
        <v>2528</v>
      </c>
      <c r="L4" s="1133"/>
      <c r="M4" s="1134"/>
      <c r="N4" s="1134"/>
      <c r="O4" s="1134"/>
      <c r="P4" s="3190" t="s">
        <v>2529</v>
      </c>
      <c r="Q4" s="3191"/>
      <c r="R4" s="3196" t="s">
        <v>2525</v>
      </c>
      <c r="S4" s="3197"/>
      <c r="T4" s="3196" t="s">
        <v>2526</v>
      </c>
      <c r="U4" s="3197"/>
      <c r="V4" s="3202" t="s">
        <v>2527</v>
      </c>
      <c r="W4" s="3202"/>
      <c r="X4" s="2960"/>
      <c r="Y4" s="3196" t="s">
        <v>2529</v>
      </c>
      <c r="Z4" s="3197"/>
      <c r="AA4" s="3183" t="s">
        <v>2525</v>
      </c>
      <c r="AB4" s="3183" t="s">
        <v>2526</v>
      </c>
      <c r="AC4" s="3183" t="s">
        <v>2527</v>
      </c>
    </row>
    <row r="5" spans="1:29" ht="15">
      <c r="A5" s="404"/>
      <c r="B5" s="405"/>
      <c r="C5" s="3205" t="s">
        <v>3101</v>
      </c>
      <c r="D5" s="3206"/>
      <c r="E5" s="3205" t="s">
        <v>3101</v>
      </c>
      <c r="F5" s="3206"/>
      <c r="G5" s="3205" t="s">
        <v>3101</v>
      </c>
      <c r="H5" s="3206"/>
      <c r="I5" s="3205" t="s">
        <v>3101</v>
      </c>
      <c r="J5" s="3206"/>
      <c r="K5" s="2598"/>
      <c r="L5" s="1133"/>
      <c r="M5" s="1134"/>
      <c r="N5" s="1134"/>
      <c r="O5" s="1134"/>
      <c r="P5" s="3192"/>
      <c r="Q5" s="3193"/>
      <c r="R5" s="3198"/>
      <c r="S5" s="3199"/>
      <c r="T5" s="3198"/>
      <c r="U5" s="3199"/>
      <c r="V5" s="3202"/>
      <c r="W5" s="3202"/>
      <c r="X5" s="2960"/>
      <c r="Y5" s="3198"/>
      <c r="Z5" s="3199"/>
      <c r="AA5" s="3184"/>
      <c r="AB5" s="3184"/>
      <c r="AC5" s="3184"/>
    </row>
    <row r="6" spans="1:29" ht="15.75" thickBot="1">
      <c r="A6" s="406"/>
      <c r="B6" s="407"/>
      <c r="C6" s="3203" t="s">
        <v>2534</v>
      </c>
      <c r="D6" s="3204"/>
      <c r="E6" s="3210" t="s">
        <v>2534</v>
      </c>
      <c r="F6" s="3211"/>
      <c r="G6" s="3203" t="s">
        <v>2534</v>
      </c>
      <c r="H6" s="3204"/>
      <c r="I6" s="3203" t="s">
        <v>2534</v>
      </c>
      <c r="J6" s="3204"/>
      <c r="K6" s="2598" t="s">
        <v>2535</v>
      </c>
      <c r="L6" s="1133"/>
      <c r="M6" s="1134"/>
      <c r="N6" s="1134"/>
      <c r="O6" s="1134"/>
      <c r="P6" s="3194"/>
      <c r="Q6" s="3195"/>
      <c r="R6" s="3198"/>
      <c r="S6" s="3199"/>
      <c r="T6" s="3200"/>
      <c r="U6" s="3201"/>
      <c r="V6" s="3202"/>
      <c r="W6" s="3202"/>
      <c r="X6" s="2960"/>
      <c r="Y6" s="3200"/>
      <c r="Z6" s="3201"/>
      <c r="AA6" s="3185"/>
      <c r="AB6" s="3185"/>
      <c r="AC6" s="3185"/>
    </row>
    <row r="7" spans="1:29" s="117" customFormat="1" ht="15.75" thickBot="1">
      <c r="A7" s="408" t="s">
        <v>2536</v>
      </c>
      <c r="B7" s="409"/>
      <c r="C7" s="410">
        <f>'数据-取费表'!B2</f>
        <v>43249</v>
      </c>
      <c r="D7" s="411">
        <v>100</v>
      </c>
      <c r="E7" s="412">
        <v>43249</v>
      </c>
      <c r="F7" s="413">
        <f>SUMIF(58:58,YEAR(E7)&amp;"-"&amp;MONTH(E7),59:59)</f>
        <v>100</v>
      </c>
      <c r="G7" s="412">
        <v>43249</v>
      </c>
      <c r="H7" s="411">
        <f>SUMIF(58:58,YEAR(G7)&amp;"-"&amp;MONTH(G7),59:59)</f>
        <v>100</v>
      </c>
      <c r="I7" s="412">
        <v>43249</v>
      </c>
      <c r="J7" s="411">
        <f>SUMIF(58:58,YEAR(I7)&amp;"-"&amp;MONTH(I7),59:59)</f>
        <v>100</v>
      </c>
      <c r="K7" s="2599"/>
      <c r="L7" s="1135"/>
      <c r="M7" s="1136"/>
      <c r="N7" s="1136"/>
      <c r="O7" s="1136"/>
      <c r="P7" s="3207" t="s">
        <v>2537</v>
      </c>
      <c r="Q7" s="3209"/>
      <c r="R7" s="770" t="s">
        <v>23</v>
      </c>
      <c r="S7" s="771">
        <f t="shared" ref="S7:S15" si="0">F7</f>
        <v>100</v>
      </c>
      <c r="T7" s="770" t="s">
        <v>23</v>
      </c>
      <c r="U7" s="771">
        <f t="shared" ref="U7:U15" si="1">H7</f>
        <v>100</v>
      </c>
      <c r="V7" s="770" t="s">
        <v>23</v>
      </c>
      <c r="W7" s="771">
        <f t="shared" ref="W7:W15" si="2">J7</f>
        <v>100</v>
      </c>
      <c r="X7" s="772"/>
      <c r="Y7" s="3207" t="s">
        <v>2537</v>
      </c>
      <c r="Z7" s="3208"/>
      <c r="AA7" s="773">
        <f>D7/F7</f>
        <v>1</v>
      </c>
      <c r="AB7" s="773">
        <f>D7/H7</f>
        <v>1</v>
      </c>
      <c r="AC7" s="773">
        <f>D7/J7</f>
        <v>1</v>
      </c>
    </row>
    <row r="8" spans="1:29" s="117" customFormat="1" ht="15.75" thickBot="1">
      <c r="A8" s="408" t="s">
        <v>2538</v>
      </c>
      <c r="B8" s="409"/>
      <c r="C8" s="414" t="s">
        <v>2539</v>
      </c>
      <c r="D8" s="411">
        <v>100</v>
      </c>
      <c r="E8" s="414" t="s">
        <v>2539</v>
      </c>
      <c r="F8" s="413">
        <f>SUMIF(61:61,E8,62:62)-SUMIF(61:61,C8,62:62)+100</f>
        <v>100</v>
      </c>
      <c r="G8" s="414" t="s">
        <v>2539</v>
      </c>
      <c r="H8" s="411">
        <f>SUMIF(61:61,G8,62:62)-SUMIF(61:61,C8,62:62)+100</f>
        <v>100</v>
      </c>
      <c r="I8" s="414" t="s">
        <v>2539</v>
      </c>
      <c r="J8" s="411">
        <f>SUMIF(61:61,I8,62:62)-SUMIF(61:61,C8,62:62)+100</f>
        <v>100</v>
      </c>
      <c r="K8" s="2599"/>
      <c r="L8" s="1135"/>
      <c r="M8" s="1136"/>
      <c r="N8" s="1136"/>
      <c r="O8" s="1136"/>
      <c r="P8" s="3207" t="s">
        <v>2540</v>
      </c>
      <c r="Q8" s="3208"/>
      <c r="R8" s="770" t="s">
        <v>23</v>
      </c>
      <c r="S8" s="771">
        <f t="shared" si="0"/>
        <v>100</v>
      </c>
      <c r="T8" s="770" t="s">
        <v>23</v>
      </c>
      <c r="U8" s="771">
        <f t="shared" si="1"/>
        <v>100</v>
      </c>
      <c r="V8" s="770" t="s">
        <v>23</v>
      </c>
      <c r="W8" s="771">
        <f t="shared" si="2"/>
        <v>100</v>
      </c>
      <c r="X8" s="772"/>
      <c r="Y8" s="3207" t="s">
        <v>2540</v>
      </c>
      <c r="Z8" s="3208"/>
      <c r="AA8" s="773">
        <f t="shared" ref="AA8:AA19" si="3">D8/F8</f>
        <v>1</v>
      </c>
      <c r="AB8" s="773">
        <f t="shared" ref="AB8:AB19" si="4">D8/H8</f>
        <v>1</v>
      </c>
      <c r="AC8" s="773">
        <f t="shared" ref="AC8:AC19" si="5">D8/J8</f>
        <v>1</v>
      </c>
    </row>
    <row r="9" spans="1:29" s="117" customFormat="1">
      <c r="A9" s="415" t="s">
        <v>2541</v>
      </c>
      <c r="B9" s="71" t="s">
        <v>2542</v>
      </c>
      <c r="C9" s="2943" t="s">
        <v>3059</v>
      </c>
      <c r="D9" s="135">
        <v>100</v>
      </c>
      <c r="E9" s="417" t="s">
        <v>3049</v>
      </c>
      <c r="F9" s="418">
        <f>SUMIF(63:63,E9,64:64)-SUMIF(63:63,C9,64:64)+100</f>
        <v>100</v>
      </c>
      <c r="G9" s="417" t="s">
        <v>3049</v>
      </c>
      <c r="H9" s="135">
        <f>SUMIF(63:63,G9,64:64)-SUMIF(63:63,C9,64:64)+100</f>
        <v>100</v>
      </c>
      <c r="I9" s="417" t="s">
        <v>3049</v>
      </c>
      <c r="J9" s="135">
        <f>SUMIF(63:63,I9,64:64)-SUMIF(63:63,C9,64:64)+100</f>
        <v>100</v>
      </c>
      <c r="K9" s="2599"/>
      <c r="L9" s="1135"/>
      <c r="M9" s="1136"/>
      <c r="N9" s="1136"/>
      <c r="O9" s="1136"/>
      <c r="P9" s="3182" t="s">
        <v>2543</v>
      </c>
      <c r="Q9" s="2955" t="str">
        <f t="shared" ref="Q9:Q15" si="6">B9</f>
        <v>用途</v>
      </c>
      <c r="R9" s="770" t="s">
        <v>17</v>
      </c>
      <c r="S9" s="771">
        <f t="shared" si="0"/>
        <v>100</v>
      </c>
      <c r="T9" s="770" t="s">
        <v>17</v>
      </c>
      <c r="U9" s="771">
        <f t="shared" si="1"/>
        <v>100</v>
      </c>
      <c r="V9" s="770" t="s">
        <v>17</v>
      </c>
      <c r="W9" s="771">
        <f t="shared" si="2"/>
        <v>100</v>
      </c>
      <c r="X9" s="772"/>
      <c r="Y9" s="3018" t="s">
        <v>2544</v>
      </c>
      <c r="Z9" s="2956" t="str">
        <f t="shared" ref="Z9:Z15" si="7">Q9</f>
        <v>用途</v>
      </c>
      <c r="AA9" s="773">
        <f t="shared" si="3"/>
        <v>1</v>
      </c>
      <c r="AB9" s="773">
        <f t="shared" si="4"/>
        <v>1</v>
      </c>
      <c r="AC9" s="773">
        <f t="shared" si="5"/>
        <v>1</v>
      </c>
    </row>
    <row r="10" spans="1:29" s="427" customFormat="1" ht="27.75" thickBot="1">
      <c r="A10" s="421"/>
      <c r="B10" s="2957" t="s">
        <v>2545</v>
      </c>
      <c r="C10" s="423" t="s">
        <v>3060</v>
      </c>
      <c r="D10" s="136">
        <v>100</v>
      </c>
      <c r="E10" s="423" t="s">
        <v>3060</v>
      </c>
      <c r="F10" s="425">
        <f>SUMIF(65:65,E10,66:66)-SUMIF(65:65,C10,66:66)+100</f>
        <v>100</v>
      </c>
      <c r="G10" s="423" t="s">
        <v>3060</v>
      </c>
      <c r="H10" s="136">
        <f>SUMIF(65:65,G10,66:66)-SUMIF(65:65,C10,66:66)+100</f>
        <v>100</v>
      </c>
      <c r="I10" s="423" t="s">
        <v>3060</v>
      </c>
      <c r="J10" s="136">
        <f>SUMIF(65:65,I10,66:66)-SUMIF(65:65,C10,66:66)+100</f>
        <v>100</v>
      </c>
      <c r="K10" s="426">
        <v>1</v>
      </c>
      <c r="L10" s="1138"/>
      <c r="M10" s="1139"/>
      <c r="N10" s="1139"/>
      <c r="O10" s="1139"/>
      <c r="P10" s="3182"/>
      <c r="Q10" s="2955" t="str">
        <f t="shared" si="6"/>
        <v>土地使用年限（年）</v>
      </c>
      <c r="R10" s="770" t="s">
        <v>17</v>
      </c>
      <c r="S10" s="771">
        <f t="shared" si="0"/>
        <v>100</v>
      </c>
      <c r="T10" s="770" t="s">
        <v>17</v>
      </c>
      <c r="U10" s="771">
        <f t="shared" si="1"/>
        <v>100</v>
      </c>
      <c r="V10" s="770" t="s">
        <v>17</v>
      </c>
      <c r="W10" s="771">
        <f t="shared" si="2"/>
        <v>100</v>
      </c>
      <c r="X10" s="772"/>
      <c r="Y10" s="3018"/>
      <c r="Z10" s="2956" t="str">
        <f t="shared" si="7"/>
        <v>土地使用年限（年）</v>
      </c>
      <c r="AA10" s="773">
        <f t="shared" si="3"/>
        <v>1</v>
      </c>
      <c r="AB10" s="773">
        <f t="shared" si="4"/>
        <v>1</v>
      </c>
      <c r="AC10" s="773">
        <f t="shared" si="5"/>
        <v>1</v>
      </c>
    </row>
    <row r="11" spans="1:29" ht="15.75" hidden="1" thickBot="1">
      <c r="A11" s="428"/>
      <c r="B11" s="2957" t="s">
        <v>2546</v>
      </c>
      <c r="C11" s="429">
        <v>2</v>
      </c>
      <c r="D11" s="136">
        <v>100</v>
      </c>
      <c r="E11" s="429">
        <v>2</v>
      </c>
      <c r="F11" s="425">
        <f>LOOKUP(E11,68:68,69:69)-LOOKUP(C11,68:68,69:69)+100</f>
        <v>100</v>
      </c>
      <c r="G11" s="429">
        <v>2</v>
      </c>
      <c r="H11" s="136">
        <f>LOOKUP(G11,68:68,69:69)-LOOKUP(C11,68:68,69:69)+100</f>
        <v>100</v>
      </c>
      <c r="I11" s="429">
        <v>2</v>
      </c>
      <c r="J11" s="136">
        <f>LOOKUP(I11,68:68,69:69)-LOOKUP(C11,68:68,69:69)+100</f>
        <v>100</v>
      </c>
      <c r="K11" s="426">
        <v>0</v>
      </c>
      <c r="L11" s="1141"/>
      <c r="M11" s="1134"/>
      <c r="N11" s="1134"/>
      <c r="O11" s="1134"/>
      <c r="P11" s="3182"/>
      <c r="Q11" s="2955" t="str">
        <f t="shared" si="6"/>
        <v>容积率</v>
      </c>
      <c r="R11" s="770" t="s">
        <v>21</v>
      </c>
      <c r="S11" s="771">
        <f t="shared" si="0"/>
        <v>100</v>
      </c>
      <c r="T11" s="770" t="s">
        <v>21</v>
      </c>
      <c r="U11" s="771">
        <f t="shared" si="1"/>
        <v>100</v>
      </c>
      <c r="V11" s="770" t="s">
        <v>21</v>
      </c>
      <c r="W11" s="771">
        <f t="shared" si="2"/>
        <v>100</v>
      </c>
      <c r="X11" s="772"/>
      <c r="Y11" s="3018"/>
      <c r="Z11" s="2956" t="str">
        <f t="shared" si="7"/>
        <v>容积率</v>
      </c>
      <c r="AA11" s="773">
        <f t="shared" si="3"/>
        <v>1</v>
      </c>
      <c r="AB11" s="773">
        <f t="shared" si="4"/>
        <v>1</v>
      </c>
      <c r="AC11" s="773">
        <f t="shared" si="5"/>
        <v>1</v>
      </c>
    </row>
    <row r="12" spans="1:29" s="117" customFormat="1" ht="15.75" hidden="1" thickBot="1">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82"/>
      <c r="Q12" s="2955">
        <f t="shared" si="6"/>
        <v>111</v>
      </c>
      <c r="R12" s="770" t="s">
        <v>21</v>
      </c>
      <c r="S12" s="771">
        <f t="shared" si="0"/>
        <v>100</v>
      </c>
      <c r="T12" s="770" t="s">
        <v>21</v>
      </c>
      <c r="U12" s="771">
        <f t="shared" si="1"/>
        <v>100</v>
      </c>
      <c r="V12" s="770" t="s">
        <v>21</v>
      </c>
      <c r="W12" s="771">
        <f t="shared" si="2"/>
        <v>100</v>
      </c>
      <c r="X12" s="772"/>
      <c r="Y12" s="3018"/>
      <c r="Z12" s="2956">
        <f t="shared" si="7"/>
        <v>111</v>
      </c>
      <c r="AA12" s="773">
        <f>D12/F12</f>
        <v>1</v>
      </c>
      <c r="AB12" s="773">
        <f>D12/H12</f>
        <v>1</v>
      </c>
      <c r="AC12" s="773">
        <f>D12/J12</f>
        <v>1</v>
      </c>
    </row>
    <row r="13" spans="1:29" ht="15.75" hidden="1" thickBot="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82"/>
      <c r="Q13" s="2955">
        <f t="shared" si="6"/>
        <v>111</v>
      </c>
      <c r="R13" s="770" t="s">
        <v>21</v>
      </c>
      <c r="S13" s="771">
        <f t="shared" si="0"/>
        <v>100</v>
      </c>
      <c r="T13" s="770" t="s">
        <v>21</v>
      </c>
      <c r="U13" s="771">
        <f t="shared" si="1"/>
        <v>100</v>
      </c>
      <c r="V13" s="770" t="s">
        <v>21</v>
      </c>
      <c r="W13" s="771">
        <f t="shared" si="2"/>
        <v>100</v>
      </c>
      <c r="X13" s="772"/>
      <c r="Y13" s="3018"/>
      <c r="Z13" s="2956">
        <f t="shared" si="7"/>
        <v>111</v>
      </c>
      <c r="AA13" s="773">
        <f t="shared" si="3"/>
        <v>1</v>
      </c>
      <c r="AB13" s="773">
        <f t="shared" si="4"/>
        <v>1</v>
      </c>
      <c r="AC13" s="773">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82"/>
      <c r="Q14" s="2955">
        <f t="shared" si="6"/>
        <v>111</v>
      </c>
      <c r="R14" s="770" t="s">
        <v>21</v>
      </c>
      <c r="S14" s="771">
        <f t="shared" si="0"/>
        <v>100</v>
      </c>
      <c r="T14" s="770" t="s">
        <v>21</v>
      </c>
      <c r="U14" s="771">
        <f t="shared" si="1"/>
        <v>100</v>
      </c>
      <c r="V14" s="770" t="s">
        <v>21</v>
      </c>
      <c r="W14" s="771">
        <f t="shared" si="2"/>
        <v>100</v>
      </c>
      <c r="X14" s="772"/>
      <c r="Y14" s="3018"/>
      <c r="Z14" s="2956">
        <f t="shared" si="7"/>
        <v>111</v>
      </c>
      <c r="AA14" s="773">
        <f t="shared" si="3"/>
        <v>1</v>
      </c>
      <c r="AB14" s="773">
        <f t="shared" si="4"/>
        <v>1</v>
      </c>
      <c r="AC14" s="773">
        <f t="shared" si="5"/>
        <v>1</v>
      </c>
    </row>
    <row r="15" spans="1:29" ht="15">
      <c r="A15" s="440" t="s">
        <v>2547</v>
      </c>
      <c r="B15" s="69" t="s">
        <v>2081</v>
      </c>
      <c r="C15" s="2603"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180" t="s">
        <v>2548</v>
      </c>
      <c r="Q15" s="2958" t="str">
        <f t="shared" si="6"/>
        <v>居住社区成熟度</v>
      </c>
      <c r="R15" s="774" t="s">
        <v>21</v>
      </c>
      <c r="S15" s="775">
        <f t="shared" si="0"/>
        <v>100</v>
      </c>
      <c r="T15" s="774" t="s">
        <v>21</v>
      </c>
      <c r="U15" s="775">
        <f t="shared" si="1"/>
        <v>100</v>
      </c>
      <c r="V15" s="774" t="s">
        <v>21</v>
      </c>
      <c r="W15" s="775">
        <f t="shared" si="2"/>
        <v>100</v>
      </c>
      <c r="X15" s="2960"/>
      <c r="Y15" s="3173" t="s">
        <v>2548</v>
      </c>
      <c r="Z15" s="2961" t="str">
        <f t="shared" si="7"/>
        <v>居住社区成熟度</v>
      </c>
      <c r="AA15" s="2959">
        <f t="shared" si="3"/>
        <v>1</v>
      </c>
      <c r="AB15" s="2959">
        <f t="shared" si="4"/>
        <v>1</v>
      </c>
      <c r="AC15" s="2959">
        <f t="shared" si="5"/>
        <v>1</v>
      </c>
    </row>
    <row r="16" spans="1:29" ht="15">
      <c r="A16" s="428"/>
      <c r="B16" s="446"/>
      <c r="C16" s="447" t="s">
        <v>3054</v>
      </c>
      <c r="D16" s="448"/>
      <c r="E16" s="447" t="s">
        <v>3054</v>
      </c>
      <c r="F16" s="448"/>
      <c r="G16" s="447" t="s">
        <v>3054</v>
      </c>
      <c r="H16" s="450"/>
      <c r="I16" s="447" t="s">
        <v>3054</v>
      </c>
      <c r="J16" s="448"/>
      <c r="K16" s="2606"/>
      <c r="L16" s="1143"/>
      <c r="M16" s="1134"/>
      <c r="N16" s="1134"/>
      <c r="O16" s="1134"/>
      <c r="P16" s="3181"/>
      <c r="Q16" s="2958"/>
      <c r="R16" s="774"/>
      <c r="S16" s="775"/>
      <c r="T16" s="774"/>
      <c r="U16" s="775"/>
      <c r="V16" s="774"/>
      <c r="W16" s="775"/>
      <c r="X16" s="2960"/>
      <c r="Y16" s="3174"/>
      <c r="Z16" s="2961"/>
      <c r="AA16" s="2959">
        <v>1</v>
      </c>
      <c r="AB16" s="2959">
        <v>1</v>
      </c>
      <c r="AC16" s="2959">
        <v>1</v>
      </c>
    </row>
    <row r="17" spans="1:29" ht="15">
      <c r="A17" s="428"/>
      <c r="B17" s="451" t="s">
        <v>2087</v>
      </c>
      <c r="C17" s="2607"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181"/>
      <c r="Q17" s="2958" t="str">
        <f>B17</f>
        <v>交通便捷度</v>
      </c>
      <c r="R17" s="774" t="s">
        <v>21</v>
      </c>
      <c r="S17" s="775">
        <f>F17</f>
        <v>100</v>
      </c>
      <c r="T17" s="774" t="s">
        <v>21</v>
      </c>
      <c r="U17" s="775">
        <f>H17</f>
        <v>100</v>
      </c>
      <c r="V17" s="774" t="s">
        <v>21</v>
      </c>
      <c r="W17" s="775">
        <f>J17</f>
        <v>100</v>
      </c>
      <c r="X17" s="2960"/>
      <c r="Y17" s="3174"/>
      <c r="Z17" s="2961" t="str">
        <f>Q17</f>
        <v>交通便捷度</v>
      </c>
      <c r="AA17" s="2959">
        <f t="shared" si="3"/>
        <v>1</v>
      </c>
      <c r="AB17" s="2959">
        <f t="shared" si="4"/>
        <v>1</v>
      </c>
      <c r="AC17" s="2959">
        <f t="shared" si="5"/>
        <v>1</v>
      </c>
    </row>
    <row r="18" spans="1:29" ht="15">
      <c r="A18" s="428"/>
      <c r="B18" s="456"/>
      <c r="C18" s="2608" t="s">
        <v>3054</v>
      </c>
      <c r="D18" s="450"/>
      <c r="E18" s="2608" t="s">
        <v>3054</v>
      </c>
      <c r="F18" s="450"/>
      <c r="G18" s="2608" t="s">
        <v>3054</v>
      </c>
      <c r="H18" s="448"/>
      <c r="I18" s="2608" t="s">
        <v>3054</v>
      </c>
      <c r="J18" s="448"/>
      <c r="K18" s="2606"/>
      <c r="L18" s="1143"/>
      <c r="M18" s="1134"/>
      <c r="N18" s="1134"/>
      <c r="O18" s="1134"/>
      <c r="P18" s="3181"/>
      <c r="Q18" s="2958"/>
      <c r="R18" s="774"/>
      <c r="S18" s="775"/>
      <c r="T18" s="774"/>
      <c r="U18" s="775"/>
      <c r="V18" s="774"/>
      <c r="W18" s="775"/>
      <c r="X18" s="2960"/>
      <c r="Y18" s="3174"/>
      <c r="Z18" s="2961"/>
      <c r="AA18" s="2959">
        <v>1</v>
      </c>
      <c r="AB18" s="2959">
        <v>1</v>
      </c>
      <c r="AC18" s="2959">
        <v>1</v>
      </c>
    </row>
    <row r="19" spans="1:29" ht="15">
      <c r="A19" s="428"/>
      <c r="B19" s="451" t="s">
        <v>2086</v>
      </c>
      <c r="C19" s="2607"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181"/>
      <c r="Q19" s="2958" t="str">
        <f>B19</f>
        <v>公共配套设施</v>
      </c>
      <c r="R19" s="774" t="s">
        <v>21</v>
      </c>
      <c r="S19" s="775">
        <f>F19</f>
        <v>100</v>
      </c>
      <c r="T19" s="774" t="s">
        <v>21</v>
      </c>
      <c r="U19" s="775">
        <f>H19</f>
        <v>100</v>
      </c>
      <c r="V19" s="774" t="s">
        <v>21</v>
      </c>
      <c r="W19" s="775">
        <f>J19</f>
        <v>100</v>
      </c>
      <c r="X19" s="2960"/>
      <c r="Y19" s="3174"/>
      <c r="Z19" s="2961" t="str">
        <f>Q19</f>
        <v>公共配套设施</v>
      </c>
      <c r="AA19" s="2959">
        <f t="shared" si="3"/>
        <v>1</v>
      </c>
      <c r="AB19" s="2959">
        <f t="shared" si="4"/>
        <v>1</v>
      </c>
      <c r="AC19" s="2959">
        <f t="shared" si="5"/>
        <v>1</v>
      </c>
    </row>
    <row r="20" spans="1:29" ht="15">
      <c r="A20" s="428"/>
      <c r="B20" s="456"/>
      <c r="C20" s="447" t="s">
        <v>3054</v>
      </c>
      <c r="D20" s="448"/>
      <c r="E20" s="447" t="s">
        <v>3054</v>
      </c>
      <c r="F20" s="448"/>
      <c r="G20" s="447" t="s">
        <v>3054</v>
      </c>
      <c r="H20" s="448"/>
      <c r="I20" s="447" t="s">
        <v>3054</v>
      </c>
      <c r="J20" s="448"/>
      <c r="K20" s="2606"/>
      <c r="L20" s="1143"/>
      <c r="M20" s="1134"/>
      <c r="N20" s="1134"/>
      <c r="O20" s="1134"/>
      <c r="P20" s="3181"/>
      <c r="Q20" s="2958"/>
      <c r="R20" s="774"/>
      <c r="S20" s="775"/>
      <c r="T20" s="774"/>
      <c r="U20" s="775"/>
      <c r="V20" s="774"/>
      <c r="W20" s="775"/>
      <c r="X20" s="2960"/>
      <c r="Y20" s="3174"/>
      <c r="Z20" s="2961"/>
      <c r="AA20" s="2959">
        <v>1</v>
      </c>
      <c r="AB20" s="2959">
        <v>1</v>
      </c>
      <c r="AC20" s="2959">
        <v>1</v>
      </c>
    </row>
    <row r="21" spans="1:29" ht="15">
      <c r="A21" s="428"/>
      <c r="B21" s="1387" t="s">
        <v>2088</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81"/>
      <c r="Q21" s="2958" t="str">
        <f>B21</f>
        <v>基础设施水平</v>
      </c>
      <c r="R21" s="774" t="s">
        <v>17</v>
      </c>
      <c r="S21" s="775">
        <f>F21</f>
        <v>100</v>
      </c>
      <c r="T21" s="774" t="s">
        <v>17</v>
      </c>
      <c r="U21" s="775">
        <f>H21</f>
        <v>100</v>
      </c>
      <c r="V21" s="774" t="s">
        <v>17</v>
      </c>
      <c r="W21" s="775">
        <f>J21</f>
        <v>100</v>
      </c>
      <c r="X21" s="2960"/>
      <c r="Y21" s="3174"/>
      <c r="Z21" s="2961" t="str">
        <f>Q21</f>
        <v>基础设施水平</v>
      </c>
      <c r="AA21" s="2959">
        <f t="shared" ref="AA21" si="8">D21/F21</f>
        <v>1</v>
      </c>
      <c r="AB21" s="2959">
        <f t="shared" ref="AB21" si="9">D21/H21</f>
        <v>1</v>
      </c>
      <c r="AC21" s="2959">
        <f t="shared" ref="AC21" si="10">D21/J21</f>
        <v>1</v>
      </c>
    </row>
    <row r="22" spans="1:29" ht="15">
      <c r="A22" s="428"/>
      <c r="B22" s="1387"/>
      <c r="C22" s="2608" t="s">
        <v>3057</v>
      </c>
      <c r="D22" s="448"/>
      <c r="E22" s="2608" t="s">
        <v>3057</v>
      </c>
      <c r="F22" s="448"/>
      <c r="G22" s="2608" t="s">
        <v>3057</v>
      </c>
      <c r="H22" s="448"/>
      <c r="I22" s="2608" t="s">
        <v>3057</v>
      </c>
      <c r="J22" s="448"/>
      <c r="K22" s="2612"/>
      <c r="L22" s="1143"/>
      <c r="M22" s="1134"/>
      <c r="N22" s="1134"/>
      <c r="O22" s="1134"/>
      <c r="P22" s="3181"/>
      <c r="Q22" s="2958"/>
      <c r="R22" s="774"/>
      <c r="S22" s="775"/>
      <c r="T22" s="774"/>
      <c r="U22" s="775"/>
      <c r="V22" s="774"/>
      <c r="W22" s="775"/>
      <c r="X22" s="2960"/>
      <c r="Y22" s="3174"/>
      <c r="Z22" s="2961"/>
      <c r="AA22" s="2959">
        <v>1</v>
      </c>
      <c r="AB22" s="2959">
        <v>1</v>
      </c>
      <c r="AC22" s="2959">
        <v>1</v>
      </c>
    </row>
    <row r="23" spans="1:29" ht="15">
      <c r="A23" s="428"/>
      <c r="B23" s="451" t="s">
        <v>2090</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181"/>
      <c r="Q23" s="2958" t="str">
        <f>B23</f>
        <v>自然及人文环境</v>
      </c>
      <c r="R23" s="774" t="s">
        <v>21</v>
      </c>
      <c r="S23" s="775">
        <f>F23</f>
        <v>100</v>
      </c>
      <c r="T23" s="774" t="s">
        <v>21</v>
      </c>
      <c r="U23" s="775">
        <f>H23</f>
        <v>100</v>
      </c>
      <c r="V23" s="774" t="s">
        <v>21</v>
      </c>
      <c r="W23" s="775">
        <f>J23</f>
        <v>100</v>
      </c>
      <c r="X23" s="2960"/>
      <c r="Y23" s="3174"/>
      <c r="Z23" s="2961" t="str">
        <f>Q23</f>
        <v>自然及人文环境</v>
      </c>
      <c r="AA23" s="2959">
        <f>D23/F23</f>
        <v>1</v>
      </c>
      <c r="AB23" s="2959">
        <f>D23/H23</f>
        <v>1</v>
      </c>
      <c r="AC23" s="2959">
        <f>D23/J23</f>
        <v>1</v>
      </c>
    </row>
    <row r="24" spans="1:29" ht="15">
      <c r="A24" s="428"/>
      <c r="B24" s="456"/>
      <c r="C24" s="447" t="s">
        <v>3054</v>
      </c>
      <c r="D24" s="448"/>
      <c r="E24" s="447" t="s">
        <v>3054</v>
      </c>
      <c r="F24" s="448"/>
      <c r="G24" s="447" t="s">
        <v>3054</v>
      </c>
      <c r="H24" s="448"/>
      <c r="I24" s="447" t="s">
        <v>3054</v>
      </c>
      <c r="J24" s="448"/>
      <c r="K24" s="2606"/>
      <c r="L24" s="1143"/>
      <c r="M24" s="1134"/>
      <c r="N24" s="1134"/>
      <c r="O24" s="1134"/>
      <c r="P24" s="3181"/>
      <c r="Q24" s="2958"/>
      <c r="R24" s="774"/>
      <c r="S24" s="775"/>
      <c r="T24" s="774"/>
      <c r="U24" s="775"/>
      <c r="V24" s="774"/>
      <c r="W24" s="775"/>
      <c r="X24" s="2960"/>
      <c r="Y24" s="3174"/>
      <c r="Z24" s="2961"/>
      <c r="AA24" s="2959">
        <v>1</v>
      </c>
      <c r="AB24" s="2959">
        <v>1</v>
      </c>
      <c r="AC24" s="2959">
        <v>1</v>
      </c>
    </row>
    <row r="25" spans="1:29" ht="15">
      <c r="A25" s="428"/>
      <c r="B25" s="2957" t="s">
        <v>2549</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181"/>
      <c r="Q25" s="2958" t="str">
        <f t="shared" ref="Q25:Q46" si="11">B25</f>
        <v>楼层-1</v>
      </c>
      <c r="R25" s="774" t="s">
        <v>21</v>
      </c>
      <c r="S25" s="775">
        <f t="shared" ref="S25:S46" si="12">F25</f>
        <v>100</v>
      </c>
      <c r="T25" s="774" t="s">
        <v>21</v>
      </c>
      <c r="U25" s="775">
        <f t="shared" ref="U25:U46" si="13">H25</f>
        <v>100</v>
      </c>
      <c r="V25" s="774" t="s">
        <v>21</v>
      </c>
      <c r="W25" s="775">
        <f t="shared" ref="W25:W46" si="14">J25</f>
        <v>100</v>
      </c>
      <c r="X25" s="2960"/>
      <c r="Y25" s="3174"/>
      <c r="Z25" s="2961" t="str">
        <f>Q25</f>
        <v>楼层-1</v>
      </c>
      <c r="AA25" s="2959">
        <f t="shared" ref="AA25:AA46" si="15">D25/F25</f>
        <v>1</v>
      </c>
      <c r="AB25" s="2959">
        <f t="shared" ref="AB25:AB46" si="16">D25/H25</f>
        <v>1</v>
      </c>
      <c r="AC25" s="2959">
        <f t="shared" ref="AC25:AC46" si="17">D25/J25</f>
        <v>1</v>
      </c>
    </row>
    <row r="26" spans="1:29" ht="15">
      <c r="A26" s="428"/>
      <c r="B26" s="2957" t="s">
        <v>2550</v>
      </c>
      <c r="C26" s="2971" t="s">
        <v>3115</v>
      </c>
      <c r="D26" s="435">
        <v>100</v>
      </c>
      <c r="E26" s="2962" t="s">
        <v>3115</v>
      </c>
      <c r="F26" s="435">
        <f>SUMIF(88:88,E26,89:89)-SUMIF(88:88,C26,89:89)+100</f>
        <v>100</v>
      </c>
      <c r="G26" s="2962" t="s">
        <v>3086</v>
      </c>
      <c r="H26" s="435">
        <f>SUMIF(88:88,G26,89:89)-SUMIF(88:88,C26,89:89)+100</f>
        <v>102</v>
      </c>
      <c r="I26" s="2962" t="s">
        <v>3115</v>
      </c>
      <c r="J26" s="435">
        <f>SUMIF(88:88,I26,89:89)-SUMIF(88:88,C26,89:89)+100</f>
        <v>100</v>
      </c>
      <c r="K26" s="426">
        <v>2</v>
      </c>
      <c r="L26" s="1143"/>
      <c r="M26" s="1134"/>
      <c r="N26" s="1134"/>
      <c r="O26" s="1134"/>
      <c r="P26" s="3181"/>
      <c r="Q26" s="2958" t="str">
        <f t="shared" si="11"/>
        <v>朝向</v>
      </c>
      <c r="R26" s="774" t="s">
        <v>21</v>
      </c>
      <c r="S26" s="775">
        <f t="shared" si="12"/>
        <v>100</v>
      </c>
      <c r="T26" s="774" t="s">
        <v>21</v>
      </c>
      <c r="U26" s="775">
        <f t="shared" si="13"/>
        <v>102</v>
      </c>
      <c r="V26" s="774" t="s">
        <v>21</v>
      </c>
      <c r="W26" s="775">
        <f t="shared" si="14"/>
        <v>100</v>
      </c>
      <c r="X26" s="2960"/>
      <c r="Y26" s="3174"/>
      <c r="Z26" s="2961" t="str">
        <f>Q26</f>
        <v>朝向</v>
      </c>
      <c r="AA26" s="2959">
        <f t="shared" si="15"/>
        <v>1</v>
      </c>
      <c r="AB26" s="2959">
        <f t="shared" si="16"/>
        <v>0.98039215686274506</v>
      </c>
      <c r="AC26" s="2959">
        <f t="shared" si="17"/>
        <v>1</v>
      </c>
    </row>
    <row r="27" spans="1:29" s="117" customFormat="1" ht="15.75" thickBot="1">
      <c r="A27" s="431"/>
      <c r="B27" s="2945" t="s">
        <v>3067</v>
      </c>
      <c r="C27" s="2946" t="s">
        <v>3066</v>
      </c>
      <c r="D27" s="462">
        <v>100</v>
      </c>
      <c r="E27" s="2946" t="s">
        <v>3066</v>
      </c>
      <c r="F27" s="462">
        <f>SUMIF(90:90,E27,91:91)-SUMIF(90:90,C27,91:91)+100</f>
        <v>100</v>
      </c>
      <c r="G27" s="2947" t="s">
        <v>3064</v>
      </c>
      <c r="H27" s="462">
        <f>SUMIF(90:90,G27,91:91)-SUMIF(90:90,C27,91:91)+100</f>
        <v>101</v>
      </c>
      <c r="I27" s="2946" t="s">
        <v>3066</v>
      </c>
      <c r="J27" s="462">
        <f>SUMIF(90:90,I27,91:91)-SUMIF(90:90,C27,91:91)+100</f>
        <v>100</v>
      </c>
      <c r="K27" s="2601"/>
      <c r="L27" s="1135"/>
      <c r="M27" s="1136"/>
      <c r="N27" s="1136"/>
      <c r="O27" s="1136"/>
      <c r="P27" s="3181"/>
      <c r="Q27" s="2955" t="str">
        <f t="shared" si="11"/>
        <v>楼层</v>
      </c>
      <c r="R27" s="770" t="s">
        <v>21</v>
      </c>
      <c r="S27" s="771">
        <f t="shared" si="12"/>
        <v>100</v>
      </c>
      <c r="T27" s="770" t="s">
        <v>21</v>
      </c>
      <c r="U27" s="771">
        <f t="shared" si="13"/>
        <v>101</v>
      </c>
      <c r="V27" s="770" t="s">
        <v>21</v>
      </c>
      <c r="W27" s="771">
        <f t="shared" si="14"/>
        <v>100</v>
      </c>
      <c r="X27" s="772"/>
      <c r="Y27" s="3174"/>
      <c r="Z27" s="2956" t="str">
        <f>Q27</f>
        <v>楼层</v>
      </c>
      <c r="AA27" s="2959">
        <f t="shared" si="15"/>
        <v>1</v>
      </c>
      <c r="AB27" s="2959">
        <f t="shared" si="16"/>
        <v>0.99009900990099009</v>
      </c>
      <c r="AC27" s="2959">
        <f t="shared" si="17"/>
        <v>1</v>
      </c>
    </row>
    <row r="28" spans="1:29" ht="15.75" hidden="1" thickBot="1">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181"/>
      <c r="Q28" s="2958">
        <f t="shared" si="11"/>
        <v>111</v>
      </c>
      <c r="R28" s="774" t="s">
        <v>21</v>
      </c>
      <c r="S28" s="775">
        <f t="shared" si="12"/>
        <v>100</v>
      </c>
      <c r="T28" s="774" t="s">
        <v>21</v>
      </c>
      <c r="U28" s="775">
        <f t="shared" si="13"/>
        <v>100</v>
      </c>
      <c r="V28" s="774" t="s">
        <v>21</v>
      </c>
      <c r="W28" s="775">
        <f t="shared" si="14"/>
        <v>100</v>
      </c>
      <c r="X28" s="2960"/>
      <c r="Y28" s="3174"/>
      <c r="Z28" s="2961">
        <f t="shared" ref="Z28:Z46" si="18">Q28</f>
        <v>111</v>
      </c>
      <c r="AA28" s="2959">
        <f t="shared" si="15"/>
        <v>1</v>
      </c>
      <c r="AB28" s="2959">
        <f t="shared" si="16"/>
        <v>1</v>
      </c>
      <c r="AC28" s="2959">
        <f t="shared" si="17"/>
        <v>1</v>
      </c>
    </row>
    <row r="29" spans="1:29" ht="15.75" hidden="1" thickBot="1">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181"/>
      <c r="Q29" s="2958">
        <f t="shared" si="11"/>
        <v>111</v>
      </c>
      <c r="R29" s="774" t="s">
        <v>21</v>
      </c>
      <c r="S29" s="775">
        <f t="shared" si="12"/>
        <v>100</v>
      </c>
      <c r="T29" s="774" t="s">
        <v>21</v>
      </c>
      <c r="U29" s="775">
        <f t="shared" si="13"/>
        <v>100</v>
      </c>
      <c r="V29" s="774" t="s">
        <v>21</v>
      </c>
      <c r="W29" s="775">
        <f t="shared" si="14"/>
        <v>100</v>
      </c>
      <c r="X29" s="2960"/>
      <c r="Y29" s="3174"/>
      <c r="Z29" s="2961">
        <f t="shared" si="18"/>
        <v>111</v>
      </c>
      <c r="AA29" s="2959">
        <f t="shared" si="15"/>
        <v>1</v>
      </c>
      <c r="AB29" s="2959">
        <f t="shared" si="16"/>
        <v>1</v>
      </c>
      <c r="AC29" s="2959">
        <f t="shared" si="17"/>
        <v>1</v>
      </c>
    </row>
    <row r="30" spans="1:29" ht="15.75" hidden="1" thickBot="1">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181"/>
      <c r="Q30" s="2958">
        <f t="shared" si="11"/>
        <v>111</v>
      </c>
      <c r="R30" s="774" t="s">
        <v>21</v>
      </c>
      <c r="S30" s="775">
        <f t="shared" si="12"/>
        <v>100</v>
      </c>
      <c r="T30" s="774" t="s">
        <v>21</v>
      </c>
      <c r="U30" s="775">
        <f t="shared" si="13"/>
        <v>100</v>
      </c>
      <c r="V30" s="774" t="s">
        <v>21</v>
      </c>
      <c r="W30" s="775">
        <f t="shared" si="14"/>
        <v>100</v>
      </c>
      <c r="X30" s="2960"/>
      <c r="Y30" s="3174"/>
      <c r="Z30" s="2961">
        <f t="shared" si="18"/>
        <v>111</v>
      </c>
      <c r="AA30" s="2959">
        <f t="shared" si="15"/>
        <v>1</v>
      </c>
      <c r="AB30" s="2959">
        <f t="shared" si="16"/>
        <v>1</v>
      </c>
      <c r="AC30" s="2959">
        <f t="shared" si="17"/>
        <v>1</v>
      </c>
    </row>
    <row r="31" spans="1:29" ht="15.75" hidden="1"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181"/>
      <c r="Q31" s="2958">
        <f t="shared" si="11"/>
        <v>111</v>
      </c>
      <c r="R31" s="774" t="s">
        <v>21</v>
      </c>
      <c r="S31" s="775">
        <f t="shared" si="12"/>
        <v>100</v>
      </c>
      <c r="T31" s="774" t="s">
        <v>21</v>
      </c>
      <c r="U31" s="775">
        <f t="shared" si="13"/>
        <v>100</v>
      </c>
      <c r="V31" s="774" t="s">
        <v>21</v>
      </c>
      <c r="W31" s="775">
        <f t="shared" si="14"/>
        <v>100</v>
      </c>
      <c r="X31" s="2960"/>
      <c r="Y31" s="3174"/>
      <c r="Z31" s="2961">
        <f t="shared" si="18"/>
        <v>111</v>
      </c>
      <c r="AA31" s="2959">
        <f t="shared" si="15"/>
        <v>1</v>
      </c>
      <c r="AB31" s="2959">
        <f t="shared" si="16"/>
        <v>1</v>
      </c>
      <c r="AC31" s="2959">
        <f t="shared" si="17"/>
        <v>1</v>
      </c>
    </row>
    <row r="32" spans="1:29" ht="15">
      <c r="A32" s="440" t="s">
        <v>2551</v>
      </c>
      <c r="B32" s="71" t="s">
        <v>2552</v>
      </c>
      <c r="C32" s="2617" t="s">
        <v>3122</v>
      </c>
      <c r="D32" s="467">
        <v>100</v>
      </c>
      <c r="E32" s="2617" t="s">
        <v>3122</v>
      </c>
      <c r="F32" s="461">
        <f>SUMIF(100:100,E32,101:101)-SUMIF(100:100,C32,101:101)+100</f>
        <v>100</v>
      </c>
      <c r="G32" s="2617" t="s">
        <v>3122</v>
      </c>
      <c r="H32" s="467">
        <f>SUMIF(100:100,G32,101:101)-SUMIF(100:100,C32,101:101)+100</f>
        <v>100</v>
      </c>
      <c r="I32" s="2617" t="s">
        <v>3122</v>
      </c>
      <c r="J32" s="435">
        <f>SUMIF(100:100,I32,101:101)-SUMIF(100:100,C32,101:101)+100</f>
        <v>100</v>
      </c>
      <c r="K32" s="426">
        <v>2</v>
      </c>
      <c r="L32" s="1143"/>
      <c r="M32" s="1134"/>
      <c r="N32" s="1134"/>
      <c r="O32" s="1134"/>
      <c r="P32" s="3175" t="s">
        <v>2553</v>
      </c>
      <c r="Q32" s="2958" t="str">
        <f t="shared" si="11"/>
        <v>建筑类型</v>
      </c>
      <c r="R32" s="774" t="s">
        <v>21</v>
      </c>
      <c r="S32" s="775">
        <f t="shared" si="12"/>
        <v>100</v>
      </c>
      <c r="T32" s="774" t="s">
        <v>21</v>
      </c>
      <c r="U32" s="775">
        <f t="shared" si="13"/>
        <v>100</v>
      </c>
      <c r="V32" s="774" t="s">
        <v>21</v>
      </c>
      <c r="W32" s="775">
        <f t="shared" si="14"/>
        <v>100</v>
      </c>
      <c r="X32" s="2960"/>
      <c r="Y32" s="3178" t="s">
        <v>2553</v>
      </c>
      <c r="Z32" s="2961" t="str">
        <f t="shared" si="18"/>
        <v>建筑类型</v>
      </c>
      <c r="AA32" s="2959">
        <f t="shared" si="15"/>
        <v>1</v>
      </c>
      <c r="AB32" s="2959">
        <f t="shared" si="16"/>
        <v>1</v>
      </c>
      <c r="AC32" s="2959">
        <f t="shared" si="17"/>
        <v>1</v>
      </c>
    </row>
    <row r="33" spans="1:29" s="471" customFormat="1" ht="15">
      <c r="A33" s="468"/>
      <c r="B33" s="2957" t="s">
        <v>2554</v>
      </c>
      <c r="C33" s="469">
        <f>'数据-汇总表'!E3</f>
        <v>91.52</v>
      </c>
      <c r="D33" s="136">
        <v>100</v>
      </c>
      <c r="E33" s="430">
        <f>案例!H179</f>
        <v>72</v>
      </c>
      <c r="F33" s="425">
        <f>LOOKUP(E33,103:103,104:104)-LOOKUP(C33,103:103,104:104)+100</f>
        <v>101</v>
      </c>
      <c r="G33" s="429">
        <f>案例!H180</f>
        <v>80</v>
      </c>
      <c r="H33" s="136">
        <f>LOOKUP(G33,103:103,104:104)-LOOKUP(C33,103:103,104:104)+100</f>
        <v>101</v>
      </c>
      <c r="I33" s="430">
        <f>案例!H181</f>
        <v>75</v>
      </c>
      <c r="J33" s="136">
        <f>LOOKUP(I33,103:103,104:104)-LOOKUP(C33,103:103,104:104)+100</f>
        <v>101</v>
      </c>
      <c r="K33" s="2601"/>
      <c r="L33" s="1141"/>
      <c r="M33" s="1144"/>
      <c r="N33" s="1144"/>
      <c r="O33" s="1144"/>
      <c r="P33" s="3176"/>
      <c r="Q33" s="776" t="str">
        <f t="shared" si="11"/>
        <v>项目建筑规模</v>
      </c>
      <c r="R33" s="777" t="s">
        <v>21</v>
      </c>
      <c r="S33" s="778">
        <f t="shared" si="12"/>
        <v>101</v>
      </c>
      <c r="T33" s="777" t="s">
        <v>21</v>
      </c>
      <c r="U33" s="778">
        <f t="shared" si="13"/>
        <v>101</v>
      </c>
      <c r="V33" s="777" t="s">
        <v>21</v>
      </c>
      <c r="W33" s="778">
        <f t="shared" si="14"/>
        <v>101</v>
      </c>
      <c r="X33" s="779"/>
      <c r="Y33" s="3178"/>
      <c r="Z33" s="780" t="str">
        <f t="shared" si="18"/>
        <v>项目建筑规模</v>
      </c>
      <c r="AA33" s="2959">
        <f t="shared" si="15"/>
        <v>0.99009900990099009</v>
      </c>
      <c r="AB33" s="2959">
        <f t="shared" si="16"/>
        <v>0.99009900990099009</v>
      </c>
      <c r="AC33" s="2959">
        <f t="shared" si="17"/>
        <v>0.99009900990099009</v>
      </c>
    </row>
    <row r="34" spans="1:29" ht="15">
      <c r="A34" s="472"/>
      <c r="B34" s="2957" t="s">
        <v>2555</v>
      </c>
      <c r="C34" s="2618" t="s">
        <v>3125</v>
      </c>
      <c r="D34" s="435">
        <v>100</v>
      </c>
      <c r="E34" s="2618" t="s">
        <v>3125</v>
      </c>
      <c r="F34" s="461">
        <f>SUMIF(105:105,E34,106:106)-SUMIF(105:105,C34,106:106)+100</f>
        <v>100</v>
      </c>
      <c r="G34" s="2618" t="s">
        <v>3125</v>
      </c>
      <c r="H34" s="435">
        <f>SUMIF(105:105,G34,106:106)-SUMIF(105:105,C34,106:106)+100</f>
        <v>100</v>
      </c>
      <c r="I34" s="2618" t="s">
        <v>3125</v>
      </c>
      <c r="J34" s="435">
        <f>SUMIF(105:105,I34,106:106)-SUMIF(105:105,C34,106:106)+100</f>
        <v>100</v>
      </c>
      <c r="K34" s="426">
        <v>2</v>
      </c>
      <c r="L34" s="1143"/>
      <c r="M34" s="1134"/>
      <c r="N34" s="1134"/>
      <c r="O34" s="1134"/>
      <c r="P34" s="3176"/>
      <c r="Q34" s="2958" t="str">
        <f t="shared" si="11"/>
        <v>建筑结构</v>
      </c>
      <c r="R34" s="774" t="s">
        <v>21</v>
      </c>
      <c r="S34" s="775">
        <f t="shared" si="12"/>
        <v>100</v>
      </c>
      <c r="T34" s="774" t="s">
        <v>21</v>
      </c>
      <c r="U34" s="775">
        <f t="shared" si="13"/>
        <v>100</v>
      </c>
      <c r="V34" s="774" t="s">
        <v>21</v>
      </c>
      <c r="W34" s="775">
        <f t="shared" si="14"/>
        <v>100</v>
      </c>
      <c r="X34" s="2960"/>
      <c r="Y34" s="3178"/>
      <c r="Z34" s="2961" t="str">
        <f t="shared" si="18"/>
        <v>建筑结构</v>
      </c>
      <c r="AA34" s="2959">
        <f t="shared" si="15"/>
        <v>1</v>
      </c>
      <c r="AB34" s="2959">
        <f t="shared" si="16"/>
        <v>1</v>
      </c>
      <c r="AC34" s="2959">
        <f t="shared" si="17"/>
        <v>1</v>
      </c>
    </row>
    <row r="35" spans="1:29" ht="15">
      <c r="A35" s="472"/>
      <c r="B35" s="2957" t="s">
        <v>2556</v>
      </c>
      <c r="C35" s="2613" t="s">
        <v>3069</v>
      </c>
      <c r="D35" s="435">
        <v>100</v>
      </c>
      <c r="E35" s="2613" t="s">
        <v>3069</v>
      </c>
      <c r="F35" s="461">
        <f>SUMIF(107:107,E35,108:108)-SUMIF(107:107,C35,108:108)+100</f>
        <v>100</v>
      </c>
      <c r="G35" s="2613" t="s">
        <v>3069</v>
      </c>
      <c r="H35" s="435">
        <f>SUMIF(107:107,G35,108:108)-SUMIF(107:107,C35,108:108)+100</f>
        <v>100</v>
      </c>
      <c r="I35" s="2613" t="s">
        <v>3069</v>
      </c>
      <c r="J35" s="435">
        <f>SUMIF(107:107,I35,108:108)-SUMIF(107:107,C35,108:108)+100</f>
        <v>100</v>
      </c>
      <c r="K35" s="426">
        <v>2</v>
      </c>
      <c r="L35" s="1143"/>
      <c r="M35" s="1134"/>
      <c r="N35" s="1134"/>
      <c r="O35" s="1134"/>
      <c r="P35" s="3176"/>
      <c r="Q35" s="2958" t="str">
        <f t="shared" si="11"/>
        <v>建筑品质</v>
      </c>
      <c r="R35" s="774" t="s">
        <v>21</v>
      </c>
      <c r="S35" s="775">
        <f t="shared" si="12"/>
        <v>100</v>
      </c>
      <c r="T35" s="774" t="s">
        <v>21</v>
      </c>
      <c r="U35" s="775">
        <f t="shared" si="13"/>
        <v>100</v>
      </c>
      <c r="V35" s="774" t="s">
        <v>21</v>
      </c>
      <c r="W35" s="775">
        <f t="shared" si="14"/>
        <v>100</v>
      </c>
      <c r="X35" s="2960"/>
      <c r="Y35" s="3178"/>
      <c r="Z35" s="2961" t="str">
        <f t="shared" si="18"/>
        <v>建筑品质</v>
      </c>
      <c r="AA35" s="2959">
        <f t="shared" si="15"/>
        <v>1</v>
      </c>
      <c r="AB35" s="2959">
        <f t="shared" si="16"/>
        <v>1</v>
      </c>
      <c r="AC35" s="2959">
        <f t="shared" si="17"/>
        <v>1</v>
      </c>
    </row>
    <row r="36" spans="1:29" ht="15">
      <c r="A36" s="472"/>
      <c r="B36" s="2957" t="s">
        <v>2557</v>
      </c>
      <c r="C36" s="2613" t="s">
        <v>3127</v>
      </c>
      <c r="D36" s="435">
        <v>100</v>
      </c>
      <c r="E36" s="2613" t="s">
        <v>3127</v>
      </c>
      <c r="F36" s="461">
        <f>SUMIF(109:109,E36,110:110)-SUMIF(109:109,C36,110:110)+100</f>
        <v>100</v>
      </c>
      <c r="G36" s="2613" t="s">
        <v>3127</v>
      </c>
      <c r="H36" s="435">
        <f>SUMIF(109:109,G36,110:110)-SUMIF(109:109,C36,110:110)+100</f>
        <v>100</v>
      </c>
      <c r="I36" s="2613" t="s">
        <v>3127</v>
      </c>
      <c r="J36" s="435">
        <f>SUMIF(109:109,I36,110:110)-SUMIF(109:109,C36,110:110)+100</f>
        <v>100</v>
      </c>
      <c r="K36" s="426">
        <v>2</v>
      </c>
      <c r="L36" s="1143"/>
      <c r="M36" s="1134"/>
      <c r="N36" s="1134"/>
      <c r="O36" s="1134"/>
      <c r="P36" s="3176"/>
      <c r="Q36" s="2958" t="str">
        <f t="shared" si="11"/>
        <v>公共部分装修</v>
      </c>
      <c r="R36" s="774" t="s">
        <v>21</v>
      </c>
      <c r="S36" s="775">
        <f t="shared" si="12"/>
        <v>100</v>
      </c>
      <c r="T36" s="774" t="s">
        <v>21</v>
      </c>
      <c r="U36" s="775">
        <f t="shared" si="13"/>
        <v>100</v>
      </c>
      <c r="V36" s="774" t="s">
        <v>21</v>
      </c>
      <c r="W36" s="775">
        <f t="shared" si="14"/>
        <v>100</v>
      </c>
      <c r="X36" s="2960"/>
      <c r="Y36" s="3178"/>
      <c r="Z36" s="2961" t="str">
        <f t="shared" si="18"/>
        <v>公共部分装修</v>
      </c>
      <c r="AA36" s="2959">
        <f t="shared" si="15"/>
        <v>1</v>
      </c>
      <c r="AB36" s="2959">
        <f t="shared" si="16"/>
        <v>1</v>
      </c>
      <c r="AC36" s="2959">
        <f t="shared" si="17"/>
        <v>1</v>
      </c>
    </row>
    <row r="37" spans="1:29" s="117" customFormat="1" ht="15">
      <c r="A37" s="473"/>
      <c r="B37" s="2957" t="s">
        <v>2558</v>
      </c>
      <c r="C37" s="474">
        <f>'数据-取费表'!N6</f>
        <v>0.7</v>
      </c>
      <c r="D37" s="136">
        <v>100</v>
      </c>
      <c r="E37" s="474">
        <f>C37</f>
        <v>0.7</v>
      </c>
      <c r="F37" s="425">
        <f>LOOKUP(E37,112:112,113:113)-LOOKUP(C37,112:112,113:113)+100</f>
        <v>100</v>
      </c>
      <c r="G37" s="476">
        <f>C37</f>
        <v>0.7</v>
      </c>
      <c r="H37" s="136">
        <f>LOOKUP(G37,112:112,113:113)-LOOKUP(C37,112:112,113:113)+100</f>
        <v>100</v>
      </c>
      <c r="I37" s="475">
        <f>C37</f>
        <v>0.7</v>
      </c>
      <c r="J37" s="136">
        <f>LOOKUP(I37,112:112,113:113)-LOOKUP(C37,112:112,113:113)+100</f>
        <v>100</v>
      </c>
      <c r="K37" s="426">
        <v>1</v>
      </c>
      <c r="L37" s="1135"/>
      <c r="M37" s="1136"/>
      <c r="N37" s="1136"/>
      <c r="O37" s="1136"/>
      <c r="P37" s="3176"/>
      <c r="Q37" s="2955" t="str">
        <f t="shared" si="11"/>
        <v>成新度</v>
      </c>
      <c r="R37" s="770" t="s">
        <v>21</v>
      </c>
      <c r="S37" s="771">
        <f t="shared" si="12"/>
        <v>100</v>
      </c>
      <c r="T37" s="770" t="s">
        <v>21</v>
      </c>
      <c r="U37" s="771">
        <f t="shared" si="13"/>
        <v>100</v>
      </c>
      <c r="V37" s="770" t="s">
        <v>21</v>
      </c>
      <c r="W37" s="771">
        <f t="shared" si="14"/>
        <v>100</v>
      </c>
      <c r="X37" s="772"/>
      <c r="Y37" s="3178"/>
      <c r="Z37" s="2956" t="str">
        <f t="shared" si="18"/>
        <v>成新度</v>
      </c>
      <c r="AA37" s="773">
        <f t="shared" si="15"/>
        <v>1</v>
      </c>
      <c r="AB37" s="773">
        <f t="shared" si="16"/>
        <v>1</v>
      </c>
      <c r="AC37" s="773">
        <f t="shared" si="17"/>
        <v>1</v>
      </c>
    </row>
    <row r="38" spans="1:29" ht="15">
      <c r="A38" s="472"/>
      <c r="B38" s="2957" t="s">
        <v>2559</v>
      </c>
      <c r="C38" s="2613" t="s">
        <v>3129</v>
      </c>
      <c r="D38" s="435">
        <v>100</v>
      </c>
      <c r="E38" s="2613" t="s">
        <v>3129</v>
      </c>
      <c r="F38" s="461">
        <f>SUMIF(114:114,E38,115:115)-SUMIF(114:114,C38,115:115)+100</f>
        <v>100</v>
      </c>
      <c r="G38" s="2613" t="s">
        <v>3129</v>
      </c>
      <c r="H38" s="435">
        <f>SUMIF(114:114,G38,115:115)-SUMIF(114:114,C38,115:115)+100</f>
        <v>100</v>
      </c>
      <c r="I38" s="2613" t="s">
        <v>3129</v>
      </c>
      <c r="J38" s="435">
        <f>SUMIF(114:114,I38,115:115)-SUMIF(114:114,C38,115:115)+100</f>
        <v>100</v>
      </c>
      <c r="K38" s="426">
        <v>2</v>
      </c>
      <c r="L38" s="1143"/>
      <c r="M38" s="1134"/>
      <c r="N38" s="1134"/>
      <c r="O38" s="1134"/>
      <c r="P38" s="3176" t="s">
        <v>2553</v>
      </c>
      <c r="Q38" s="2958" t="str">
        <f t="shared" si="11"/>
        <v>物业管理</v>
      </c>
      <c r="R38" s="774" t="s">
        <v>21</v>
      </c>
      <c r="S38" s="775">
        <f t="shared" si="12"/>
        <v>100</v>
      </c>
      <c r="T38" s="774" t="s">
        <v>21</v>
      </c>
      <c r="U38" s="775">
        <f t="shared" si="13"/>
        <v>100</v>
      </c>
      <c r="V38" s="774" t="s">
        <v>21</v>
      </c>
      <c r="W38" s="775">
        <f t="shared" si="14"/>
        <v>100</v>
      </c>
      <c r="X38" s="2960"/>
      <c r="Y38" s="3178" t="s">
        <v>2553</v>
      </c>
      <c r="Z38" s="2961" t="str">
        <f t="shared" si="18"/>
        <v>物业管理</v>
      </c>
      <c r="AA38" s="2959">
        <f t="shared" si="15"/>
        <v>1</v>
      </c>
      <c r="AB38" s="2959">
        <f t="shared" si="16"/>
        <v>1</v>
      </c>
      <c r="AC38" s="2959">
        <f t="shared" si="17"/>
        <v>1</v>
      </c>
    </row>
    <row r="39" spans="1:29" ht="15">
      <c r="A39" s="472"/>
      <c r="B39" s="2957" t="s">
        <v>2560</v>
      </c>
      <c r="C39" s="2613" t="s">
        <v>3057</v>
      </c>
      <c r="D39" s="435">
        <v>100</v>
      </c>
      <c r="E39" s="2613" t="s">
        <v>3057</v>
      </c>
      <c r="F39" s="461">
        <f>SUMIF(116:116,E39,117:117)-SUMIF(116:116,C39,117:117)+100</f>
        <v>100</v>
      </c>
      <c r="G39" s="2613" t="s">
        <v>3057</v>
      </c>
      <c r="H39" s="435">
        <f>SUMIF(116:116,G39,117:117)-SUMIF(116:116,C39,117:117)+100</f>
        <v>100</v>
      </c>
      <c r="I39" s="2613" t="s">
        <v>3057</v>
      </c>
      <c r="J39" s="435">
        <f>SUMIF(116:116,I39,117:117)-SUMIF(116:116,C39,117:117)+100</f>
        <v>100</v>
      </c>
      <c r="K39" s="426">
        <v>1</v>
      </c>
      <c r="L39" s="1143"/>
      <c r="M39" s="1134"/>
      <c r="N39" s="1134"/>
      <c r="O39" s="1134"/>
      <c r="P39" s="3176"/>
      <c r="Q39" s="2958" t="str">
        <f t="shared" si="11"/>
        <v>市政基础设施</v>
      </c>
      <c r="R39" s="774" t="s">
        <v>21</v>
      </c>
      <c r="S39" s="775">
        <f t="shared" si="12"/>
        <v>100</v>
      </c>
      <c r="T39" s="774" t="s">
        <v>21</v>
      </c>
      <c r="U39" s="775">
        <f t="shared" si="13"/>
        <v>100</v>
      </c>
      <c r="V39" s="774" t="s">
        <v>21</v>
      </c>
      <c r="W39" s="775">
        <f t="shared" si="14"/>
        <v>100</v>
      </c>
      <c r="X39" s="2960"/>
      <c r="Y39" s="3178"/>
      <c r="Z39" s="2961" t="str">
        <f t="shared" si="18"/>
        <v>市政基础设施</v>
      </c>
      <c r="AA39" s="2959">
        <f t="shared" si="15"/>
        <v>1</v>
      </c>
      <c r="AB39" s="2959">
        <f t="shared" si="16"/>
        <v>1</v>
      </c>
      <c r="AC39" s="2959">
        <f t="shared" si="17"/>
        <v>1</v>
      </c>
    </row>
    <row r="40" spans="1:29" ht="15.75" thickBot="1">
      <c r="A40" s="472"/>
      <c r="B40" s="2957" t="s">
        <v>2561</v>
      </c>
      <c r="C40" s="2613" t="s">
        <v>3074</v>
      </c>
      <c r="D40" s="435">
        <v>100</v>
      </c>
      <c r="E40" s="2613" t="s">
        <v>3074</v>
      </c>
      <c r="F40" s="461">
        <f>SUMIF(118:118,E40,119:119)-SUMIF(118:118,C40,119:119)+100</f>
        <v>100</v>
      </c>
      <c r="G40" s="2613" t="s">
        <v>3074</v>
      </c>
      <c r="H40" s="435">
        <f>SUMIF(118:118,G40,119:119)-SUMIF(118:118,C40,119:119)+100</f>
        <v>100</v>
      </c>
      <c r="I40" s="2613" t="s">
        <v>3074</v>
      </c>
      <c r="J40" s="435">
        <f>SUMIF(118:118,I40,119:119)-SUMIF(118:118,C40,119:119)+100</f>
        <v>100</v>
      </c>
      <c r="K40" s="426">
        <v>2</v>
      </c>
      <c r="L40" s="1143"/>
      <c r="M40" s="1134"/>
      <c r="N40" s="1134"/>
      <c r="O40" s="1134"/>
      <c r="P40" s="3176"/>
      <c r="Q40" s="2958" t="str">
        <f t="shared" si="11"/>
        <v>房型</v>
      </c>
      <c r="R40" s="774" t="s">
        <v>21</v>
      </c>
      <c r="S40" s="775">
        <f t="shared" si="12"/>
        <v>100</v>
      </c>
      <c r="T40" s="774" t="s">
        <v>21</v>
      </c>
      <c r="U40" s="775">
        <f t="shared" si="13"/>
        <v>100</v>
      </c>
      <c r="V40" s="774" t="s">
        <v>21</v>
      </c>
      <c r="W40" s="775">
        <f t="shared" si="14"/>
        <v>100</v>
      </c>
      <c r="X40" s="2960"/>
      <c r="Y40" s="3178"/>
      <c r="Z40" s="2961" t="str">
        <f t="shared" si="18"/>
        <v>房型</v>
      </c>
      <c r="AA40" s="2959">
        <f t="shared" si="15"/>
        <v>1</v>
      </c>
      <c r="AB40" s="2959">
        <f t="shared" si="16"/>
        <v>1</v>
      </c>
      <c r="AC40" s="2959">
        <f t="shared" si="17"/>
        <v>1</v>
      </c>
    </row>
    <row r="41" spans="1:29" s="471" customFormat="1" ht="29.25" thickTop="1">
      <c r="A41" s="468"/>
      <c r="B41" s="2957" t="s">
        <v>2562</v>
      </c>
      <c r="C41" s="554"/>
      <c r="D41" s="136">
        <v>100</v>
      </c>
      <c r="E41" s="554"/>
      <c r="F41" s="425">
        <f>SUMIF(120:120,E41,121:121)-SUMIF(120:120,C41,121:121)+100</f>
        <v>100</v>
      </c>
      <c r="G41" s="554"/>
      <c r="H41" s="136">
        <f>SUMIF(120:120,G41,121:121)-SUMIF(120:120,C41,121:121)+100</f>
        <v>100</v>
      </c>
      <c r="I41" s="554"/>
      <c r="J41" s="435">
        <f>SUMIF(120:120,I41,121:121)-SUMIF(120:120,C41,121:121)+100</f>
        <v>100</v>
      </c>
      <c r="K41" s="2601"/>
      <c r="L41" s="1141"/>
      <c r="M41" s="1144"/>
      <c r="N41" s="1144"/>
      <c r="O41" s="1144"/>
      <c r="P41" s="3176"/>
      <c r="Q41" s="776" t="str">
        <f t="shared" si="11"/>
        <v>单套/主力户型建筑面积</v>
      </c>
      <c r="R41" s="777" t="s">
        <v>21</v>
      </c>
      <c r="S41" s="778">
        <f t="shared" si="12"/>
        <v>100</v>
      </c>
      <c r="T41" s="777" t="s">
        <v>21</v>
      </c>
      <c r="U41" s="778">
        <f t="shared" si="13"/>
        <v>100</v>
      </c>
      <c r="V41" s="777" t="s">
        <v>21</v>
      </c>
      <c r="W41" s="778">
        <f t="shared" si="14"/>
        <v>100</v>
      </c>
      <c r="X41" s="779"/>
      <c r="Y41" s="3178"/>
      <c r="Z41" s="780" t="str">
        <f t="shared" si="18"/>
        <v>单套/主力户型建筑面积</v>
      </c>
      <c r="AA41" s="2959">
        <f t="shared" si="15"/>
        <v>1</v>
      </c>
      <c r="AB41" s="2959">
        <f t="shared" si="16"/>
        <v>1</v>
      </c>
      <c r="AC41" s="2959">
        <f t="shared" si="17"/>
        <v>1</v>
      </c>
    </row>
    <row r="42" spans="1:29" ht="15">
      <c r="A42" s="472"/>
      <c r="B42" s="2957" t="s">
        <v>2563</v>
      </c>
      <c r="C42" s="2970" t="s">
        <v>3071</v>
      </c>
      <c r="D42" s="435">
        <v>100</v>
      </c>
      <c r="E42" s="2970" t="s">
        <v>3138</v>
      </c>
      <c r="F42" s="461">
        <f>SUMIF(122:122,E42,123:123)-SUMIF(122:122,C42,123:123)+100</f>
        <v>96</v>
      </c>
      <c r="G42" s="2970" t="s">
        <v>3127</v>
      </c>
      <c r="H42" s="435">
        <f>SUMIF(122:122,G42,123:123)-SUMIF(122:122,C42,123:123)+100</f>
        <v>98</v>
      </c>
      <c r="I42" s="2970" t="s">
        <v>3071</v>
      </c>
      <c r="J42" s="435">
        <f>SUMIF(122:122,I42,123:123)-SUMIF(122:122,C42,123:123)+100</f>
        <v>100</v>
      </c>
      <c r="K42" s="426">
        <v>2</v>
      </c>
      <c r="L42" s="1143"/>
      <c r="M42" s="1134"/>
      <c r="N42" s="1134"/>
      <c r="O42" s="1134"/>
      <c r="P42" s="3176"/>
      <c r="Q42" s="2958" t="str">
        <f t="shared" si="11"/>
        <v>内部装修</v>
      </c>
      <c r="R42" s="774" t="s">
        <v>21</v>
      </c>
      <c r="S42" s="775">
        <f t="shared" si="12"/>
        <v>96</v>
      </c>
      <c r="T42" s="774" t="s">
        <v>21</v>
      </c>
      <c r="U42" s="775">
        <f t="shared" si="13"/>
        <v>98</v>
      </c>
      <c r="V42" s="774" t="s">
        <v>21</v>
      </c>
      <c r="W42" s="775">
        <f t="shared" si="14"/>
        <v>100</v>
      </c>
      <c r="X42" s="2960"/>
      <c r="Y42" s="3178"/>
      <c r="Z42" s="2961" t="str">
        <f t="shared" si="18"/>
        <v>内部装修</v>
      </c>
      <c r="AA42" s="2959">
        <f t="shared" si="15"/>
        <v>1.0416666666666667</v>
      </c>
      <c r="AB42" s="2959">
        <f t="shared" si="16"/>
        <v>1.0204081632653061</v>
      </c>
      <c r="AC42" s="2959">
        <f t="shared" si="17"/>
        <v>1</v>
      </c>
    </row>
    <row r="43" spans="1:29" ht="15.75" thickBot="1">
      <c r="A43" s="472"/>
      <c r="B43" s="2957" t="s">
        <v>2564</v>
      </c>
      <c r="C43" s="2613" t="s">
        <v>3054</v>
      </c>
      <c r="D43" s="435">
        <v>100</v>
      </c>
      <c r="E43" s="2613" t="s">
        <v>3054</v>
      </c>
      <c r="F43" s="461">
        <f>SUMIF(124:124,E43,125:125)-SUMIF(124:124,C43,125:125)+100</f>
        <v>100</v>
      </c>
      <c r="G43" s="2613" t="s">
        <v>3054</v>
      </c>
      <c r="H43" s="435">
        <f>SUMIF(124:124,G43,125:125)-SUMIF(124:124,C43,125:125)+100</f>
        <v>100</v>
      </c>
      <c r="I43" s="2613" t="s">
        <v>3054</v>
      </c>
      <c r="J43" s="435">
        <f>SUMIF(124:124,I43,125:125)-SUMIF(124:124,C43,125:125)+100</f>
        <v>100</v>
      </c>
      <c r="K43" s="426">
        <v>2</v>
      </c>
      <c r="L43" s="1143"/>
      <c r="M43" s="1134"/>
      <c r="N43" s="1134"/>
      <c r="O43" s="1134"/>
      <c r="P43" s="3176"/>
      <c r="Q43" s="2958" t="str">
        <f t="shared" si="11"/>
        <v>内部装修维护情况</v>
      </c>
      <c r="R43" s="774" t="s">
        <v>21</v>
      </c>
      <c r="S43" s="775">
        <f t="shared" si="12"/>
        <v>100</v>
      </c>
      <c r="T43" s="774" t="s">
        <v>21</v>
      </c>
      <c r="U43" s="775">
        <f t="shared" si="13"/>
        <v>100</v>
      </c>
      <c r="V43" s="774" t="s">
        <v>21</v>
      </c>
      <c r="W43" s="775">
        <f t="shared" si="14"/>
        <v>100</v>
      </c>
      <c r="X43" s="2960"/>
      <c r="Y43" s="3178"/>
      <c r="Z43" s="2961" t="str">
        <f t="shared" si="18"/>
        <v>内部装修维护情况</v>
      </c>
      <c r="AA43" s="2959">
        <f t="shared" si="15"/>
        <v>1</v>
      </c>
      <c r="AB43" s="2959">
        <f t="shared" si="16"/>
        <v>1</v>
      </c>
      <c r="AC43" s="2959">
        <f t="shared" si="17"/>
        <v>1</v>
      </c>
    </row>
    <row r="44" spans="1:29" s="117" customFormat="1" ht="15.75" hidden="1" thickBot="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176"/>
      <c r="Q44" s="2955">
        <f t="shared" si="11"/>
        <v>111</v>
      </c>
      <c r="R44" s="770" t="s">
        <v>21</v>
      </c>
      <c r="S44" s="771">
        <f t="shared" si="12"/>
        <v>100</v>
      </c>
      <c r="T44" s="770" t="s">
        <v>21</v>
      </c>
      <c r="U44" s="771">
        <f t="shared" si="13"/>
        <v>100</v>
      </c>
      <c r="V44" s="770" t="s">
        <v>21</v>
      </c>
      <c r="W44" s="771">
        <f t="shared" si="14"/>
        <v>100</v>
      </c>
      <c r="X44" s="772"/>
      <c r="Y44" s="3178"/>
      <c r="Z44" s="2956">
        <f t="shared" si="18"/>
        <v>111</v>
      </c>
      <c r="AA44" s="773">
        <f t="shared" si="15"/>
        <v>1</v>
      </c>
      <c r="AB44" s="773">
        <f t="shared" si="16"/>
        <v>1</v>
      </c>
      <c r="AC44" s="773">
        <f t="shared" si="17"/>
        <v>1</v>
      </c>
    </row>
    <row r="45" spans="1:29" ht="15.75" hidden="1" thickBot="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176"/>
      <c r="Q45" s="2958">
        <f t="shared" si="11"/>
        <v>111</v>
      </c>
      <c r="R45" s="774" t="s">
        <v>21</v>
      </c>
      <c r="S45" s="775">
        <f t="shared" si="12"/>
        <v>100</v>
      </c>
      <c r="T45" s="774" t="s">
        <v>21</v>
      </c>
      <c r="U45" s="775">
        <f t="shared" si="13"/>
        <v>100</v>
      </c>
      <c r="V45" s="774" t="s">
        <v>21</v>
      </c>
      <c r="W45" s="775">
        <f t="shared" si="14"/>
        <v>100</v>
      </c>
      <c r="X45" s="2960"/>
      <c r="Y45" s="3178"/>
      <c r="Z45" s="2961">
        <f t="shared" si="18"/>
        <v>111</v>
      </c>
      <c r="AA45" s="2959">
        <f t="shared" si="15"/>
        <v>1</v>
      </c>
      <c r="AB45" s="2959">
        <f t="shared" si="16"/>
        <v>1</v>
      </c>
      <c r="AC45" s="2959">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177"/>
      <c r="Q46" s="2958">
        <f t="shared" si="11"/>
        <v>111</v>
      </c>
      <c r="R46" s="774" t="s">
        <v>20</v>
      </c>
      <c r="S46" s="775">
        <f t="shared" si="12"/>
        <v>100</v>
      </c>
      <c r="T46" s="774" t="s">
        <v>20</v>
      </c>
      <c r="U46" s="775">
        <f t="shared" si="13"/>
        <v>100</v>
      </c>
      <c r="V46" s="774" t="s">
        <v>20</v>
      </c>
      <c r="W46" s="775">
        <f t="shared" si="14"/>
        <v>100</v>
      </c>
      <c r="X46" s="2960"/>
      <c r="Y46" s="3179"/>
      <c r="Z46" s="2961">
        <f t="shared" si="18"/>
        <v>111</v>
      </c>
      <c r="AA46" s="2959">
        <f t="shared" si="15"/>
        <v>1</v>
      </c>
      <c r="AB46" s="2959">
        <f t="shared" si="16"/>
        <v>1</v>
      </c>
      <c r="AC46" s="2959">
        <f t="shared" si="17"/>
        <v>1</v>
      </c>
    </row>
    <row r="47" spans="1:29" ht="15">
      <c r="A47" s="479" t="s">
        <v>2565</v>
      </c>
      <c r="B47" s="480"/>
      <c r="C47" s="1410" t="s">
        <v>19</v>
      </c>
      <c r="D47" s="1411"/>
      <c r="E47" s="1412">
        <f>案例!I179</f>
        <v>6300</v>
      </c>
      <c r="F47" s="1413"/>
      <c r="G47" s="1414">
        <f>案例!I180</f>
        <v>5800</v>
      </c>
      <c r="H47" s="1415"/>
      <c r="I47" s="1412">
        <f>案例!I181</f>
        <v>6800</v>
      </c>
      <c r="J47" s="1415"/>
      <c r="K47" s="2619"/>
      <c r="L47" s="1146"/>
      <c r="M47" s="1147"/>
      <c r="N47" s="1134"/>
      <c r="O47" s="1147"/>
      <c r="P47" s="3171" t="str">
        <f>A47</f>
        <v>成交单价（元/平方米）</v>
      </c>
      <c r="Q47" s="3171"/>
      <c r="R47" s="3172">
        <f>E47</f>
        <v>6300</v>
      </c>
      <c r="S47" s="3172"/>
      <c r="T47" s="3172">
        <f>G47</f>
        <v>5800</v>
      </c>
      <c r="U47" s="3172"/>
      <c r="V47" s="3172">
        <f>I47</f>
        <v>6800</v>
      </c>
      <c r="W47" s="3172"/>
      <c r="X47" s="759"/>
      <c r="Y47" s="781"/>
      <c r="Z47" s="759"/>
      <c r="AA47" s="759"/>
      <c r="AB47" s="759"/>
      <c r="AC47" s="759"/>
    </row>
    <row r="48" spans="1:29" ht="15.75" thickBot="1">
      <c r="A48" s="486" t="s">
        <v>2566</v>
      </c>
      <c r="B48" s="487"/>
      <c r="C48" s="1416">
        <f>R49</f>
        <v>6306.1</v>
      </c>
      <c r="D48" s="1417"/>
      <c r="E48" s="1418">
        <f>R48</f>
        <v>6497.5</v>
      </c>
      <c r="F48" s="1418"/>
      <c r="G48" s="1416">
        <f>T48</f>
        <v>5688</v>
      </c>
      <c r="H48" s="1417"/>
      <c r="I48" s="1418">
        <f>V48</f>
        <v>6732.7</v>
      </c>
      <c r="J48" s="1417"/>
      <c r="K48" s="2620"/>
      <c r="L48" s="1146"/>
      <c r="M48" s="1147"/>
      <c r="N48" s="1147"/>
      <c r="O48" s="1147"/>
      <c r="P48" s="3171" t="str">
        <f>A48</f>
        <v>比较价值（元/平方米）</v>
      </c>
      <c r="Q48" s="3171"/>
      <c r="R48" s="3172">
        <f>IF(F1="售价",ROUND(PRODUCT(R47,AA7:AA46),0),ROUND(PRODUCT(R47,AA7:AA46),1))</f>
        <v>6497.5</v>
      </c>
      <c r="S48" s="3172"/>
      <c r="T48" s="3172">
        <f>IF(F1="售价",ROUND(PRODUCT(T47,AB7:AB46),0),ROUND(PRODUCT(T47,AB7:AB46),1))</f>
        <v>5688</v>
      </c>
      <c r="U48" s="3172"/>
      <c r="V48" s="3172">
        <f>IF(F1="售价",ROUND(PRODUCT(V47,AC7:AC46),0),ROUND(PRODUCT(V47,AC7:AC46),1))</f>
        <v>6732.7</v>
      </c>
      <c r="W48" s="3172"/>
      <c r="X48" s="759"/>
      <c r="Y48" s="759"/>
      <c r="Z48" s="759"/>
      <c r="AA48" s="759"/>
      <c r="AB48" s="759"/>
      <c r="AC48" s="759"/>
    </row>
    <row r="49" spans="1:29" ht="15.75" thickBot="1">
      <c r="A49" s="492" t="s">
        <v>2567</v>
      </c>
      <c r="B49" s="493"/>
      <c r="C49" s="1419">
        <f>R49</f>
        <v>6306.1</v>
      </c>
      <c r="D49" s="1420"/>
      <c r="E49" s="1420"/>
      <c r="F49" s="1420"/>
      <c r="G49" s="1420"/>
      <c r="H49" s="1420"/>
      <c r="I49" s="1420"/>
      <c r="J49" s="1420"/>
      <c r="K49" s="2621"/>
      <c r="L49" s="1146"/>
      <c r="M49" s="1147"/>
      <c r="N49" s="1147"/>
      <c r="O49" s="1147"/>
      <c r="P49" s="3168" t="str">
        <f>A49</f>
        <v>估价对象XX用房的比较价值（楼面单价，元/平方米）</v>
      </c>
      <c r="Q49" s="3169"/>
      <c r="R49" s="3170">
        <f>IF(F1="售价",ROUND(AVERAGE(R48:V48),0),ROUND(AVERAGE(R48:V48),1))</f>
        <v>6306.1</v>
      </c>
      <c r="S49" s="3170"/>
      <c r="T49" s="3170"/>
      <c r="U49" s="3170"/>
      <c r="V49" s="3170"/>
      <c r="W49" s="3170"/>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2568</v>
      </c>
      <c r="D52" s="498"/>
      <c r="E52" s="499">
        <f>IF(E47&lt;E48,E48/E47-1,E47/E48-1)</f>
        <v>3.134920634920646E-2</v>
      </c>
      <c r="F52" s="500" t="str">
        <f>IF(OR(E52&gt;=0.3,E52&lt;=-0.3),"超过30%","")</f>
        <v/>
      </c>
      <c r="G52" s="499">
        <f>IF(G47&lt;G48,G48/G47-1,G47/G48-1)</f>
        <v>1.9690576652601877E-2</v>
      </c>
      <c r="H52" s="500" t="str">
        <f>IF(OR(G52&gt;=0.3,G52&lt;=-0.3),"超过30%","")</f>
        <v/>
      </c>
      <c r="I52" s="499">
        <f>IF(I47&lt;I48,I48/I47-1,I47/I48-1)</f>
        <v>9.9959897218055982E-3</v>
      </c>
      <c r="J52" s="500" t="str">
        <f>IF(OR(I52&gt;=0.3,I52&lt;=-0.3),"超过30%","")</f>
        <v/>
      </c>
      <c r="K52" s="1108"/>
      <c r="L52" s="1109"/>
      <c r="M52" s="1147"/>
      <c r="N52" s="1147"/>
      <c r="O52" s="1147"/>
    </row>
    <row r="53" spans="1:29" ht="13.5" customHeight="1">
      <c r="A53" s="1147"/>
      <c r="B53" s="1147"/>
      <c r="C53" s="497" t="s">
        <v>2569</v>
      </c>
      <c r="D53" s="501"/>
      <c r="E53" s="499">
        <f>IF(E48&lt;G48,G48/E48-1,E48/G48-1)</f>
        <v>0.14231715893108299</v>
      </c>
      <c r="F53" s="500" t="str">
        <f>IF(OR(E53&gt;=0.2,E53&lt;=-0.2),"超过20%","")</f>
        <v/>
      </c>
      <c r="G53" s="499">
        <f>IF(G48&lt;I48,I48/G48-1,G48/I48-1)</f>
        <v>0.18366736990154719</v>
      </c>
      <c r="H53" s="500" t="str">
        <f>IF(OR(G53&gt;=0.2,G53&lt;=-0.2),"超过20%","")</f>
        <v/>
      </c>
      <c r="I53" s="499">
        <f>IF(I48&lt;E48,E48/I48-1,I48/E48-1)</f>
        <v>3.6198537899192029E-2</v>
      </c>
      <c r="J53" s="500" t="str">
        <f>IF(OR(I53&gt;=0.2,I53&lt;=-0.2),"超过20%","")</f>
        <v/>
      </c>
      <c r="K53" s="1108"/>
      <c r="L53" s="1109"/>
      <c r="M53" s="1147"/>
      <c r="N53" s="1147"/>
      <c r="O53" s="1147"/>
    </row>
    <row r="54" spans="1:29" s="502" customFormat="1" ht="13.5" customHeight="1">
      <c r="A54" s="1148"/>
      <c r="B54" s="1148"/>
      <c r="C54" s="497" t="s">
        <v>2570</v>
      </c>
      <c r="D54" s="501"/>
      <c r="E54" s="499">
        <f>IF(E47&lt;G47,G47/E47-1,E47/G47-1)</f>
        <v>8.6206896551724199E-2</v>
      </c>
      <c r="F54" s="500" t="str">
        <f>IF(OR(E54&gt;=0.3,E54&lt;=-0.3),"超过30%","")</f>
        <v/>
      </c>
      <c r="G54" s="499">
        <f>IF(G47&lt;I47,I47/G47-1,G47/I47-1)</f>
        <v>0.17241379310344818</v>
      </c>
      <c r="H54" s="500" t="str">
        <f>IF(OR(G54&gt;=0.3,G54&lt;=-0.3),"超过30%","")</f>
        <v/>
      </c>
      <c r="I54" s="499">
        <f>IF(I47&lt;E47,E47/I47-1,I47/E47-1)</f>
        <v>7.9365079365079305E-2</v>
      </c>
      <c r="J54" s="500" t="str">
        <f>IF(OR(I54&gt;=0.3,I54&lt;=-0.3),"超过30%","")</f>
        <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2571</v>
      </c>
      <c r="B57" s="759"/>
      <c r="C57" s="764"/>
      <c r="D57" s="764"/>
      <c r="E57" s="764"/>
      <c r="F57" s="765"/>
      <c r="G57" s="765"/>
      <c r="H57" s="764"/>
      <c r="I57" s="764"/>
      <c r="J57" s="764"/>
      <c r="K57" s="1163"/>
      <c r="L57" s="1164"/>
      <c r="M57" s="1162"/>
      <c r="N57" s="1162"/>
      <c r="O57" s="1162"/>
      <c r="P57" s="2624"/>
      <c r="Q57" s="504"/>
    </row>
    <row r="58" spans="1:29" s="508" customFormat="1" ht="15">
      <c r="A58" s="505" t="s">
        <v>2536</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25"/>
      <c r="C59" s="1576">
        <v>100</v>
      </c>
      <c r="D59" s="511">
        <f>C59-0.5</f>
        <v>99.5</v>
      </c>
      <c r="E59" s="511">
        <f t="shared" ref="E59:I59" si="20">D59-0.5</f>
        <v>99</v>
      </c>
      <c r="F59" s="511">
        <f t="shared" si="20"/>
        <v>98.5</v>
      </c>
      <c r="G59" s="511">
        <f t="shared" si="20"/>
        <v>98</v>
      </c>
      <c r="H59" s="511">
        <f t="shared" si="20"/>
        <v>97.5</v>
      </c>
      <c r="I59" s="511">
        <f t="shared" si="20"/>
        <v>97</v>
      </c>
      <c r="J59" s="512"/>
      <c r="K59" s="512"/>
      <c r="L59" s="512"/>
      <c r="M59" s="513"/>
      <c r="N59" s="512"/>
      <c r="O59" s="513"/>
      <c r="P59" s="2626"/>
    </row>
    <row r="60" spans="1:29" s="117" customFormat="1" ht="15.75" thickBot="1">
      <c r="A60" s="515" t="s">
        <v>2573</v>
      </c>
      <c r="B60" s="516"/>
      <c r="C60" s="517"/>
      <c r="D60" s="518"/>
      <c r="E60" s="518"/>
      <c r="F60" s="518"/>
      <c r="G60" s="518"/>
      <c r="H60" s="518"/>
      <c r="I60" s="518"/>
      <c r="J60" s="518"/>
      <c r="K60" s="518"/>
      <c r="L60" s="518"/>
      <c r="M60" s="519"/>
      <c r="N60" s="518"/>
      <c r="O60" s="519"/>
      <c r="P60" s="2626"/>
      <c r="Q60" s="504"/>
    </row>
    <row r="61" spans="1:29" s="117" customFormat="1" ht="15">
      <c r="A61" s="521" t="s">
        <v>2538</v>
      </c>
      <c r="B61" s="510"/>
      <c r="C61" s="522" t="s">
        <v>2575</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2576</v>
      </c>
      <c r="B63" s="528" t="s">
        <v>2542</v>
      </c>
      <c r="C63" s="529" t="str">
        <f>C9</f>
        <v>住宅</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8"/>
      <c r="Q65" s="504"/>
    </row>
    <row r="66" spans="1:17" ht="15.75" thickBot="1">
      <c r="A66" s="534"/>
      <c r="B66" s="543"/>
      <c r="C66" s="544">
        <v>100</v>
      </c>
      <c r="D66" s="544">
        <f t="shared" ref="D66:I66" si="21">C66-$K10</f>
        <v>99</v>
      </c>
      <c r="E66" s="544">
        <f t="shared" si="21"/>
        <v>98</v>
      </c>
      <c r="F66" s="544">
        <f t="shared" si="21"/>
        <v>97</v>
      </c>
      <c r="G66" s="544">
        <f t="shared" si="21"/>
        <v>96</v>
      </c>
      <c r="H66" s="544">
        <f t="shared" si="21"/>
        <v>95</v>
      </c>
      <c r="I66" s="544">
        <f t="shared" si="21"/>
        <v>94</v>
      </c>
      <c r="J66" s="544"/>
      <c r="K66" s="544"/>
      <c r="L66" s="544"/>
      <c r="M66" s="545"/>
      <c r="N66" s="1156"/>
      <c r="O66" s="1156"/>
      <c r="P66" s="2628"/>
      <c r="Q66" s="504"/>
    </row>
    <row r="67" spans="1:17" ht="15.75" thickTop="1">
      <c r="A67" s="534"/>
      <c r="B67" s="546" t="s">
        <v>2546</v>
      </c>
      <c r="C67" s="547" t="str">
        <f>C68&amp;"（含）"&amp;"-"&amp;D68</f>
        <v>0（含）-1</v>
      </c>
      <c r="D67" s="547" t="str">
        <f t="shared" ref="D67:L67" si="22">D68&amp;"（含）"&amp;"-"&amp;E68</f>
        <v>1（含）-2</v>
      </c>
      <c r="E67" s="547" t="str">
        <f t="shared" si="22"/>
        <v>2（含）-3</v>
      </c>
      <c r="F67" s="547" t="str">
        <f t="shared" si="22"/>
        <v>3（含）-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6"/>
      <c r="O67" s="1156"/>
      <c r="P67" s="2628"/>
      <c r="Q67" s="504"/>
    </row>
    <row r="68" spans="1:17" ht="15">
      <c r="A68" s="534"/>
      <c r="B68" s="548"/>
      <c r="C68" s="549">
        <v>0</v>
      </c>
      <c r="D68" s="549">
        <v>1</v>
      </c>
      <c r="E68" s="549">
        <v>2</v>
      </c>
      <c r="F68" s="549">
        <v>3</v>
      </c>
      <c r="G68" s="549"/>
      <c r="H68" s="549"/>
      <c r="I68" s="549"/>
      <c r="J68" s="549"/>
      <c r="K68" s="550"/>
      <c r="L68" s="551"/>
      <c r="M68" s="552"/>
      <c r="N68" s="1155"/>
      <c r="O68" s="1155"/>
      <c r="P68" s="2628"/>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8"/>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8"/>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8"/>
      <c r="Q81" s="504"/>
    </row>
    <row r="82" spans="1:17" ht="15.75" thickTop="1">
      <c r="A82" s="534"/>
      <c r="B82" s="546" t="s">
        <v>2088</v>
      </c>
      <c r="C82" s="539" t="s">
        <v>2592</v>
      </c>
      <c r="D82" s="539" t="s">
        <v>2593</v>
      </c>
      <c r="E82" s="539" t="s">
        <v>2594</v>
      </c>
      <c r="F82" s="539" t="s">
        <v>2595</v>
      </c>
      <c r="G82" s="539" t="s">
        <v>2596</v>
      </c>
      <c r="H82" s="539"/>
      <c r="I82" s="539"/>
      <c r="J82" s="539"/>
      <c r="K82" s="539"/>
      <c r="L82" s="539"/>
      <c r="M82" s="1385"/>
      <c r="N82" s="1156"/>
      <c r="O82" s="1156"/>
      <c r="P82" s="2628"/>
      <c r="Q82" s="504"/>
    </row>
    <row r="83" spans="1:17" ht="15.75" thickBot="1">
      <c r="A83" s="534"/>
      <c r="B83" s="546"/>
      <c r="C83" s="660">
        <v>100</v>
      </c>
      <c r="D83" s="660">
        <f>C83-$K21</f>
        <v>99</v>
      </c>
      <c r="E83" s="660">
        <f t="shared" ref="E83:G83" si="24">D83-$K21</f>
        <v>98</v>
      </c>
      <c r="F83" s="660">
        <f t="shared" si="24"/>
        <v>97</v>
      </c>
      <c r="G83" s="660">
        <f t="shared" si="24"/>
        <v>96</v>
      </c>
      <c r="H83" s="660"/>
      <c r="I83" s="660"/>
      <c r="J83" s="660"/>
      <c r="K83" s="660"/>
      <c r="L83" s="660"/>
      <c r="M83" s="450"/>
      <c r="N83" s="1156"/>
      <c r="O83" s="1156"/>
      <c r="P83" s="2628"/>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8"/>
      <c r="Q85" s="504"/>
    </row>
    <row r="86" spans="1:17" s="117" customFormat="1" ht="15.75" thickTop="1">
      <c r="A86" s="579"/>
      <c r="B86" s="538" t="s">
        <v>2598</v>
      </c>
      <c r="C86" s="2944" t="s">
        <v>3062</v>
      </c>
      <c r="D86" s="2944" t="s">
        <v>3064</v>
      </c>
      <c r="E86" s="2944" t="s">
        <v>3066</v>
      </c>
      <c r="F86" s="554"/>
      <c r="G86" s="554"/>
      <c r="H86" s="554"/>
      <c r="I86" s="554"/>
      <c r="J86" s="554"/>
      <c r="K86" s="554"/>
      <c r="L86" s="580"/>
      <c r="M86" s="581"/>
      <c r="N86" s="1154"/>
      <c r="O86" s="1154"/>
      <c r="P86" s="2628"/>
      <c r="Q86" s="504"/>
    </row>
    <row r="87" spans="1:17" s="117" customFormat="1" ht="15.75" thickBot="1">
      <c r="A87" s="579"/>
      <c r="B87" s="543"/>
      <c r="C87" s="582">
        <v>100</v>
      </c>
      <c r="D87" s="544" t="e">
        <f t="shared" ref="D87:M87" si="25">$C$87-($C$86-D86)*$K$25</f>
        <v>#VALUE!</v>
      </c>
      <c r="E87" s="544" t="e">
        <f t="shared" si="25"/>
        <v>#VALUE!</v>
      </c>
      <c r="F87" s="544" t="e">
        <f t="shared" si="25"/>
        <v>#VALUE!</v>
      </c>
      <c r="G87" s="544" t="e">
        <f t="shared" si="25"/>
        <v>#VALUE!</v>
      </c>
      <c r="H87" s="544" t="e">
        <f t="shared" si="25"/>
        <v>#VALUE!</v>
      </c>
      <c r="I87" s="544" t="e">
        <f t="shared" si="25"/>
        <v>#VALUE!</v>
      </c>
      <c r="J87" s="544" t="e">
        <f t="shared" si="25"/>
        <v>#VALUE!</v>
      </c>
      <c r="K87" s="544" t="e">
        <f t="shared" si="25"/>
        <v>#VALUE!</v>
      </c>
      <c r="L87" s="544" t="e">
        <f t="shared" si="25"/>
        <v>#VALUE!</v>
      </c>
      <c r="M87" s="544" t="e">
        <f t="shared" si="25"/>
        <v>#VALUE!</v>
      </c>
      <c r="N87" s="1156"/>
      <c r="O87" s="1156"/>
      <c r="P87" s="2628"/>
      <c r="Q87" s="504"/>
    </row>
    <row r="88" spans="1:17" s="117" customFormat="1" ht="15.75" thickTop="1">
      <c r="A88" s="579"/>
      <c r="B88" s="538" t="s">
        <v>2599</v>
      </c>
      <c r="C88" s="2944" t="s">
        <v>3087</v>
      </c>
      <c r="D88" s="2944" t="s">
        <v>3117</v>
      </c>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6"/>
      <c r="O89" s="1156"/>
      <c r="P89" s="2628"/>
      <c r="Q89" s="504"/>
    </row>
    <row r="90" spans="1:17" s="471" customFormat="1" ht="15.75" thickTop="1">
      <c r="A90" s="553"/>
      <c r="B90" s="538" t="str">
        <f>B27</f>
        <v>楼层</v>
      </c>
      <c r="C90" s="2944" t="s">
        <v>3062</v>
      </c>
      <c r="D90" s="2944" t="s">
        <v>3064</v>
      </c>
      <c r="E90" s="2944" t="s">
        <v>3066</v>
      </c>
      <c r="F90" s="554"/>
      <c r="G90" s="554"/>
      <c r="H90" s="555"/>
      <c r="I90" s="555"/>
      <c r="J90" s="555"/>
      <c r="K90" s="555"/>
      <c r="L90" s="556"/>
      <c r="M90" s="557"/>
      <c r="N90" s="1157"/>
      <c r="O90" s="1157"/>
      <c r="P90" s="2629"/>
      <c r="Q90" s="559"/>
    </row>
    <row r="91" spans="1:17" s="471" customFormat="1" ht="15.75" thickBot="1">
      <c r="A91" s="553"/>
      <c r="B91" s="543"/>
      <c r="C91" s="560">
        <v>100</v>
      </c>
      <c r="D91" s="560">
        <f>'比较法-住宅'!D91</f>
        <v>99</v>
      </c>
      <c r="E91" s="560">
        <f>'比较法-住宅'!E91</f>
        <v>98</v>
      </c>
      <c r="F91" s="560"/>
      <c r="G91" s="560"/>
      <c r="H91" s="562"/>
      <c r="I91" s="562"/>
      <c r="J91" s="562"/>
      <c r="K91" s="562"/>
      <c r="L91" s="562"/>
      <c r="M91" s="563"/>
      <c r="N91" s="1157"/>
      <c r="O91" s="1157"/>
      <c r="P91" s="2629"/>
      <c r="Q91" s="559"/>
    </row>
    <row r="92" spans="1:17" ht="15.75" thickTop="1">
      <c r="A92" s="534"/>
      <c r="B92" s="538">
        <f>B28</f>
        <v>111</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2551</v>
      </c>
      <c r="B100" s="528" t="s">
        <v>2600</v>
      </c>
      <c r="C100" s="2948" t="s">
        <v>3123</v>
      </c>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6"/>
      <c r="O101" s="1156"/>
      <c r="P101" s="2628"/>
      <c r="Q101" s="504"/>
    </row>
    <row r="102" spans="1:17" ht="15.75" thickTop="1">
      <c r="A102" s="534"/>
      <c r="B102" s="538" t="s">
        <v>2601</v>
      </c>
      <c r="C102" s="578" t="str">
        <f>C103&amp;"(含)"&amp;"-"&amp;D103</f>
        <v>0(含)-50</v>
      </c>
      <c r="D102" s="578" t="str">
        <f t="shared" ref="D102:L102" si="28">D103&amp;"(含)"&amp;"-"&amp;E103</f>
        <v>50(含)-90</v>
      </c>
      <c r="E102" s="578" t="str">
        <f t="shared" si="28"/>
        <v>90(含)-120</v>
      </c>
      <c r="F102" s="578" t="str">
        <f t="shared" si="28"/>
        <v>120(含)-150</v>
      </c>
      <c r="G102" s="578" t="str">
        <f t="shared" si="28"/>
        <v>150(含)-200</v>
      </c>
      <c r="H102" s="578" t="str">
        <f t="shared" si="28"/>
        <v>200(含)-</v>
      </c>
      <c r="I102" s="578" t="str">
        <f t="shared" si="28"/>
        <v>(含)-</v>
      </c>
      <c r="J102" s="578" t="str">
        <f t="shared" si="28"/>
        <v>(含)-</v>
      </c>
      <c r="K102" s="578" t="str">
        <f>K103&amp;"(含)"&amp;"-"&amp;L103</f>
        <v>(含)-</v>
      </c>
      <c r="L102" s="578" t="str">
        <f t="shared" si="28"/>
        <v>(含)-</v>
      </c>
      <c r="M102" s="578" t="str">
        <f>M103&amp;"(含)"&amp;"-"&amp;P103</f>
        <v>(含)-</v>
      </c>
      <c r="N102" s="1154"/>
      <c r="O102" s="1154"/>
      <c r="P102" s="2628"/>
      <c r="Q102" s="504"/>
    </row>
    <row r="103" spans="1:17" s="471" customFormat="1">
      <c r="A103" s="593"/>
      <c r="B103" s="594"/>
      <c r="C103" s="595">
        <v>0</v>
      </c>
      <c r="D103" s="595">
        <v>50</v>
      </c>
      <c r="E103" s="595">
        <v>90</v>
      </c>
      <c r="F103" s="595">
        <v>120</v>
      </c>
      <c r="G103" s="595">
        <v>150</v>
      </c>
      <c r="H103" s="595">
        <v>200</v>
      </c>
      <c r="I103" s="595"/>
      <c r="J103" s="596"/>
      <c r="K103" s="596"/>
      <c r="L103" s="597"/>
      <c r="M103" s="598"/>
      <c r="N103" s="1157"/>
      <c r="O103" s="1157"/>
      <c r="P103" s="2629"/>
      <c r="Q103" s="559"/>
    </row>
    <row r="104" spans="1:17" s="471" customFormat="1" ht="15.75" thickBot="1">
      <c r="A104" s="553"/>
      <c r="B104" s="543"/>
      <c r="C104" s="560">
        <v>100</v>
      </c>
      <c r="D104" s="536">
        <f>C104-1</f>
        <v>99</v>
      </c>
      <c r="E104" s="536">
        <f t="shared" ref="E104:H104" si="29">D104-1</f>
        <v>98</v>
      </c>
      <c r="F104" s="536">
        <f t="shared" si="29"/>
        <v>97</v>
      </c>
      <c r="G104" s="536">
        <f t="shared" si="29"/>
        <v>96</v>
      </c>
      <c r="H104" s="536">
        <f t="shared" si="29"/>
        <v>95</v>
      </c>
      <c r="I104" s="536"/>
      <c r="J104" s="536"/>
      <c r="K104" s="536"/>
      <c r="L104" s="536"/>
      <c r="M104" s="536"/>
      <c r="N104" s="1156"/>
      <c r="O104" s="1156"/>
      <c r="P104" s="2629"/>
      <c r="Q104" s="559"/>
    </row>
    <row r="105" spans="1:17" ht="15" thickTop="1">
      <c r="A105" s="599"/>
      <c r="B105" s="538" t="s">
        <v>2602</v>
      </c>
      <c r="C105" s="2944" t="s">
        <v>3126</v>
      </c>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30">C106-$K34</f>
        <v>98</v>
      </c>
      <c r="E106" s="544">
        <f t="shared" si="30"/>
        <v>96</v>
      </c>
      <c r="F106" s="544">
        <f t="shared" si="30"/>
        <v>94</v>
      </c>
      <c r="G106" s="544">
        <f t="shared" si="30"/>
        <v>92</v>
      </c>
      <c r="H106" s="544">
        <f t="shared" si="30"/>
        <v>90</v>
      </c>
      <c r="I106" s="544">
        <f t="shared" si="30"/>
        <v>88</v>
      </c>
      <c r="J106" s="544">
        <f t="shared" si="30"/>
        <v>86</v>
      </c>
      <c r="K106" s="544">
        <f t="shared" si="30"/>
        <v>84</v>
      </c>
      <c r="L106" s="544">
        <f t="shared" si="30"/>
        <v>82</v>
      </c>
      <c r="M106" s="544">
        <f t="shared" si="30"/>
        <v>80</v>
      </c>
      <c r="N106" s="1156"/>
      <c r="O106" s="1156"/>
      <c r="P106" s="2628"/>
      <c r="Q106" s="504"/>
    </row>
    <row r="107" spans="1:17" ht="15" thickTop="1">
      <c r="A107" s="599"/>
      <c r="B107" s="538" t="s">
        <v>2603</v>
      </c>
      <c r="C107" s="2949" t="s">
        <v>3070</v>
      </c>
      <c r="D107" s="583"/>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31">C108-$K35</f>
        <v>98</v>
      </c>
      <c r="E108" s="544">
        <f t="shared" si="31"/>
        <v>96</v>
      </c>
      <c r="F108" s="544">
        <f t="shared" si="31"/>
        <v>94</v>
      </c>
      <c r="G108" s="544">
        <f t="shared" si="31"/>
        <v>92</v>
      </c>
      <c r="H108" s="544">
        <f t="shared" si="31"/>
        <v>90</v>
      </c>
      <c r="I108" s="544">
        <f t="shared" si="31"/>
        <v>88</v>
      </c>
      <c r="J108" s="544">
        <f t="shared" si="31"/>
        <v>86</v>
      </c>
      <c r="K108" s="544">
        <f t="shared" si="31"/>
        <v>84</v>
      </c>
      <c r="L108" s="544">
        <f t="shared" si="31"/>
        <v>82</v>
      </c>
      <c r="M108" s="544">
        <f t="shared" si="31"/>
        <v>80</v>
      </c>
      <c r="N108" s="1156"/>
      <c r="O108" s="1156"/>
      <c r="P108" s="2628"/>
      <c r="Q108" s="504"/>
    </row>
    <row r="109" spans="1:17" ht="15" thickTop="1">
      <c r="A109" s="599"/>
      <c r="B109" s="538" t="s">
        <v>2604</v>
      </c>
      <c r="C109" s="2944" t="s">
        <v>3128</v>
      </c>
      <c r="D109" s="554"/>
      <c r="E109" s="554"/>
      <c r="F109" s="583"/>
      <c r="G109" s="583"/>
      <c r="H109" s="583"/>
      <c r="I109" s="583"/>
      <c r="J109" s="583"/>
      <c r="K109" s="584"/>
      <c r="L109" s="585"/>
      <c r="M109" s="586"/>
      <c r="N109" s="1155"/>
      <c r="O109" s="1155"/>
      <c r="P109" s="2628"/>
      <c r="Q109" s="504"/>
    </row>
    <row r="110" spans="1:17" ht="15.75" thickBot="1">
      <c r="A110" s="534"/>
      <c r="B110" s="543"/>
      <c r="C110" s="544">
        <v>100</v>
      </c>
      <c r="D110" s="544">
        <f t="shared" ref="D110:M110" si="32">C110-$K36</f>
        <v>98</v>
      </c>
      <c r="E110" s="544">
        <f t="shared" si="32"/>
        <v>96</v>
      </c>
      <c r="F110" s="544">
        <f t="shared" si="32"/>
        <v>94</v>
      </c>
      <c r="G110" s="544">
        <f t="shared" si="32"/>
        <v>92</v>
      </c>
      <c r="H110" s="544">
        <f t="shared" si="32"/>
        <v>90</v>
      </c>
      <c r="I110" s="544">
        <f t="shared" si="32"/>
        <v>88</v>
      </c>
      <c r="J110" s="544">
        <f t="shared" si="32"/>
        <v>86</v>
      </c>
      <c r="K110" s="544">
        <f t="shared" si="32"/>
        <v>84</v>
      </c>
      <c r="L110" s="544">
        <f t="shared" si="32"/>
        <v>82</v>
      </c>
      <c r="M110" s="544">
        <f t="shared" si="32"/>
        <v>80</v>
      </c>
      <c r="N110" s="1156"/>
      <c r="O110" s="1156"/>
      <c r="P110" s="2628"/>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29"/>
      <c r="Q113" s="559"/>
    </row>
    <row r="114" spans="1:17" ht="15" thickTop="1">
      <c r="A114" s="599"/>
      <c r="B114" s="538" t="s">
        <v>2605</v>
      </c>
      <c r="C114" s="2944" t="s">
        <v>3130</v>
      </c>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3">C115-$K38</f>
        <v>98</v>
      </c>
      <c r="E115" s="544">
        <f t="shared" si="33"/>
        <v>96</v>
      </c>
      <c r="F115" s="544">
        <f t="shared" si="33"/>
        <v>94</v>
      </c>
      <c r="G115" s="544">
        <f t="shared" si="33"/>
        <v>92</v>
      </c>
      <c r="H115" s="544">
        <f t="shared" si="33"/>
        <v>90</v>
      </c>
      <c r="I115" s="544">
        <f t="shared" si="33"/>
        <v>88</v>
      </c>
      <c r="J115" s="544">
        <f t="shared" si="33"/>
        <v>86</v>
      </c>
      <c r="K115" s="544">
        <f t="shared" si="33"/>
        <v>84</v>
      </c>
      <c r="L115" s="544">
        <f t="shared" si="33"/>
        <v>82</v>
      </c>
      <c r="M115" s="544">
        <f t="shared" si="33"/>
        <v>80</v>
      </c>
      <c r="N115" s="1156"/>
      <c r="O115" s="1156"/>
      <c r="P115" s="2628"/>
      <c r="Q115" s="504"/>
    </row>
    <row r="116" spans="1:17" ht="15" thickTop="1">
      <c r="A116" s="599"/>
      <c r="B116" s="538" t="s">
        <v>2606</v>
      </c>
      <c r="C116" s="2944" t="s">
        <v>3058</v>
      </c>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28"/>
      <c r="Q117" s="504"/>
    </row>
    <row r="118" spans="1:17" ht="15" thickTop="1">
      <c r="A118" s="599"/>
      <c r="B118" s="538" t="s">
        <v>2607</v>
      </c>
      <c r="C118" s="2949" t="s">
        <v>3075</v>
      </c>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4">C119-$K40</f>
        <v>98</v>
      </c>
      <c r="E119" s="544">
        <f t="shared" si="34"/>
        <v>96</v>
      </c>
      <c r="F119" s="544">
        <f t="shared" si="34"/>
        <v>94</v>
      </c>
      <c r="G119" s="544">
        <f t="shared" si="34"/>
        <v>92</v>
      </c>
      <c r="H119" s="544">
        <f t="shared" si="34"/>
        <v>90</v>
      </c>
      <c r="I119" s="544">
        <f t="shared" si="34"/>
        <v>88</v>
      </c>
      <c r="J119" s="544">
        <f t="shared" si="34"/>
        <v>86</v>
      </c>
      <c r="K119" s="544">
        <f t="shared" si="34"/>
        <v>84</v>
      </c>
      <c r="L119" s="544">
        <f t="shared" si="34"/>
        <v>82</v>
      </c>
      <c r="M119" s="544">
        <f t="shared" si="34"/>
        <v>80</v>
      </c>
      <c r="N119" s="1156"/>
      <c r="O119" s="1156"/>
      <c r="P119" s="2628"/>
      <c r="Q119" s="504"/>
    </row>
    <row r="120" spans="1:17" s="471" customFormat="1" ht="28.5" thickTop="1">
      <c r="A120" s="593"/>
      <c r="B120" s="538" t="s">
        <v>2562</v>
      </c>
      <c r="C120" s="554" t="s">
        <v>3076</v>
      </c>
      <c r="D120" s="554" t="s">
        <v>3077</v>
      </c>
      <c r="E120" s="554" t="s">
        <v>3078</v>
      </c>
      <c r="F120" s="554" t="s">
        <v>3079</v>
      </c>
      <c r="G120" s="554" t="s">
        <v>3080</v>
      </c>
      <c r="H120" s="554" t="s">
        <v>3081</v>
      </c>
      <c r="I120" s="554" t="s">
        <v>3082</v>
      </c>
      <c r="J120" s="554"/>
      <c r="K120" s="554"/>
      <c r="L120" s="580"/>
      <c r="M120" s="581"/>
      <c r="N120" s="1157"/>
      <c r="O120" s="1157"/>
      <c r="P120" s="2629"/>
      <c r="Q120" s="559"/>
    </row>
    <row r="121" spans="1:17" s="471" customFormat="1" ht="15.75" thickBot="1">
      <c r="A121" s="553"/>
      <c r="B121" s="535"/>
      <c r="C121" s="560">
        <v>100</v>
      </c>
      <c r="D121" s="536">
        <f>C121-1</f>
        <v>99</v>
      </c>
      <c r="E121" s="536">
        <f t="shared" ref="E121:I121" si="35">D121-1</f>
        <v>98</v>
      </c>
      <c r="F121" s="536">
        <f t="shared" si="35"/>
        <v>97</v>
      </c>
      <c r="G121" s="536">
        <f t="shared" si="35"/>
        <v>96</v>
      </c>
      <c r="H121" s="536">
        <f t="shared" si="35"/>
        <v>95</v>
      </c>
      <c r="I121" s="536">
        <f t="shared" si="35"/>
        <v>94</v>
      </c>
      <c r="J121" s="536"/>
      <c r="K121" s="536"/>
      <c r="L121" s="536"/>
      <c r="M121" s="536"/>
      <c r="N121" s="1157"/>
      <c r="O121" s="1157"/>
      <c r="P121" s="2629"/>
      <c r="Q121" s="559"/>
    </row>
    <row r="122" spans="1:17" ht="15" thickTop="1">
      <c r="A122" s="599"/>
      <c r="B122" s="538" t="s">
        <v>2608</v>
      </c>
      <c r="C122" s="2944" t="s">
        <v>3072</v>
      </c>
      <c r="D122" s="2944" t="s">
        <v>3083</v>
      </c>
      <c r="E122" s="2944" t="s">
        <v>3084</v>
      </c>
      <c r="F122" s="2949" t="s">
        <v>3085</v>
      </c>
      <c r="G122" s="583"/>
      <c r="H122" s="583"/>
      <c r="I122" s="583"/>
      <c r="J122" s="583"/>
      <c r="K122" s="584"/>
      <c r="L122" s="585"/>
      <c r="M122" s="586"/>
      <c r="N122" s="1155"/>
      <c r="O122" s="1155"/>
      <c r="P122" s="2628"/>
      <c r="Q122" s="504"/>
    </row>
    <row r="123" spans="1:17" ht="15.75" thickBot="1">
      <c r="A123" s="534"/>
      <c r="B123" s="543"/>
      <c r="C123" s="544">
        <v>100</v>
      </c>
      <c r="D123" s="544">
        <f t="shared" ref="D123:M123" si="36">C123-$K42</f>
        <v>98</v>
      </c>
      <c r="E123" s="544">
        <f t="shared" si="36"/>
        <v>96</v>
      </c>
      <c r="F123" s="544">
        <f t="shared" si="36"/>
        <v>94</v>
      </c>
      <c r="G123" s="544">
        <f t="shared" si="36"/>
        <v>92</v>
      </c>
      <c r="H123" s="544">
        <f t="shared" si="36"/>
        <v>90</v>
      </c>
      <c r="I123" s="544">
        <f t="shared" si="36"/>
        <v>88</v>
      </c>
      <c r="J123" s="544">
        <f t="shared" si="36"/>
        <v>86</v>
      </c>
      <c r="K123" s="544">
        <f t="shared" si="36"/>
        <v>84</v>
      </c>
      <c r="L123" s="544">
        <f t="shared" si="36"/>
        <v>82</v>
      </c>
      <c r="M123" s="544">
        <f t="shared" si="36"/>
        <v>80</v>
      </c>
      <c r="N123" s="1156"/>
      <c r="O123" s="1156"/>
      <c r="P123" s="2628"/>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2610</v>
      </c>
    </row>
    <row r="137" spans="1:17" ht="15">
      <c r="B137" s="2636" t="s">
        <v>2611</v>
      </c>
      <c r="C137" s="2637"/>
      <c r="D137" s="2637"/>
      <c r="E137" s="2637"/>
      <c r="F137" s="2637"/>
      <c r="G137" s="2638"/>
      <c r="H137" s="2639"/>
      <c r="I137" s="2640" t="s">
        <v>2612</v>
      </c>
      <c r="J137" s="2637"/>
      <c r="K137" s="2641"/>
    </row>
    <row r="138" spans="1:17" ht="15">
      <c r="B138" s="2642"/>
      <c r="C138" s="146" t="s">
        <v>2613</v>
      </c>
      <c r="D138" s="146" t="s">
        <v>2614</v>
      </c>
      <c r="E138" s="2643" t="s">
        <v>2615</v>
      </c>
      <c r="F138" s="2644" t="s">
        <v>2616</v>
      </c>
      <c r="G138" s="146" t="s">
        <v>2614</v>
      </c>
      <c r="H138" s="147" t="s">
        <v>2615</v>
      </c>
      <c r="I138" s="2645"/>
      <c r="J138" s="146" t="s">
        <v>2617</v>
      </c>
      <c r="K138" s="147" t="s">
        <v>2618</v>
      </c>
    </row>
    <row r="139" spans="1:17" ht="15">
      <c r="B139" s="1087">
        <v>6</v>
      </c>
      <c r="C139" s="1088">
        <v>96</v>
      </c>
      <c r="D139" s="2646" t="s">
        <v>2619</v>
      </c>
      <c r="E139" s="1089">
        <v>100</v>
      </c>
      <c r="F139" s="1090">
        <v>102.5</v>
      </c>
      <c r="G139" s="2646" t="s">
        <v>2619</v>
      </c>
      <c r="H139" s="1091">
        <v>105</v>
      </c>
      <c r="I139" s="2647" t="s">
        <v>2620</v>
      </c>
      <c r="J139" s="1088">
        <v>20</v>
      </c>
      <c r="K139" s="1092">
        <f>C145/(J139-2)</f>
        <v>4.0555555555555553E-3</v>
      </c>
    </row>
    <row r="140" spans="1:17" ht="15">
      <c r="B140" s="1093">
        <v>5</v>
      </c>
      <c r="C140" s="1094">
        <v>100</v>
      </c>
      <c r="D140" s="1094"/>
      <c r="E140" s="1095"/>
      <c r="F140" s="1096">
        <v>102</v>
      </c>
      <c r="G140" s="1094"/>
      <c r="H140" s="1097"/>
      <c r="I140" s="2648" t="s">
        <v>2621</v>
      </c>
      <c r="J140" s="315">
        <f>ROUNDUP((J139-1)/2,0)</f>
        <v>10</v>
      </c>
      <c r="K140" s="1098">
        <v>100</v>
      </c>
    </row>
    <row r="141" spans="1:17" ht="15">
      <c r="B141" s="1093">
        <v>4</v>
      </c>
      <c r="C141" s="1094">
        <v>102</v>
      </c>
      <c r="D141" s="1094"/>
      <c r="E141" s="1095"/>
      <c r="F141" s="1096">
        <v>101.5</v>
      </c>
      <c r="G141" s="1094"/>
      <c r="H141" s="1097"/>
      <c r="I141" s="2648" t="s">
        <v>2622</v>
      </c>
      <c r="J141" s="315">
        <v>1</v>
      </c>
      <c r="K141" s="1099">
        <f>ROUND(100+(J141-J140)*K139*100,1)</f>
        <v>96.4</v>
      </c>
    </row>
    <row r="142" spans="1:17" ht="15">
      <c r="B142" s="1093">
        <v>3</v>
      </c>
      <c r="C142" s="1094">
        <v>103</v>
      </c>
      <c r="D142" s="1094"/>
      <c r="E142" s="1095"/>
      <c r="F142" s="1096">
        <v>101</v>
      </c>
      <c r="G142" s="1094"/>
      <c r="H142" s="1097"/>
      <c r="I142" s="2648" t="s">
        <v>2623</v>
      </c>
      <c r="J142" s="315">
        <f>J139</f>
        <v>20</v>
      </c>
      <c r="K142" s="1100">
        <v>95</v>
      </c>
    </row>
    <row r="143" spans="1:17" ht="15">
      <c r="B143" s="1093">
        <v>2</v>
      </c>
      <c r="C143" s="1094">
        <v>100</v>
      </c>
      <c r="D143" s="1094"/>
      <c r="E143" s="1095"/>
      <c r="F143" s="1096">
        <v>100.5</v>
      </c>
      <c r="G143" s="1094"/>
      <c r="H143" s="1097"/>
      <c r="I143" s="2648" t="s">
        <v>2624</v>
      </c>
      <c r="J143" s="1094">
        <v>15</v>
      </c>
      <c r="K143" s="1099">
        <f>ROUND(100+(J143-J140)*K139*100,1)</f>
        <v>102</v>
      </c>
    </row>
    <row r="144" spans="1:17" ht="15">
      <c r="B144" s="1093">
        <v>1</v>
      </c>
      <c r="C144" s="1094">
        <v>98</v>
      </c>
      <c r="D144" s="2649" t="s">
        <v>2625</v>
      </c>
      <c r="E144" s="1095">
        <v>102</v>
      </c>
      <c r="F144" s="1101">
        <v>100</v>
      </c>
      <c r="G144" s="2649" t="s">
        <v>2625</v>
      </c>
      <c r="H144" s="1097">
        <v>105</v>
      </c>
      <c r="I144" s="2648" t="s">
        <v>2624</v>
      </c>
      <c r="J144" s="1094">
        <v>18</v>
      </c>
      <c r="K144" s="1099">
        <f>ROUND(100+(J144-J140)*K139*100,1)</f>
        <v>103.2</v>
      </c>
    </row>
    <row r="145" spans="2:11" ht="15.75" thickBot="1">
      <c r="B145" s="2650" t="s">
        <v>2626</v>
      </c>
      <c r="C145" s="1102">
        <f>ROUND(MAX(C139:C144)/MIN(C139:C144)-1,3)</f>
        <v>7.2999999999999995E-2</v>
      </c>
      <c r="D145" s="1103"/>
      <c r="E145" s="1103"/>
      <c r="F145" s="2651" t="s">
        <v>2627</v>
      </c>
      <c r="G145" s="2652"/>
      <c r="H145" s="2653"/>
      <c r="I145" s="2654" t="s">
        <v>2624</v>
      </c>
      <c r="J145" s="1104">
        <v>8</v>
      </c>
      <c r="K145" s="1105">
        <f>ROUND(100+(J145-J140)*K139*100,1)</f>
        <v>99.2</v>
      </c>
    </row>
    <row r="147" spans="2:11">
      <c r="B147" s="2635" t="s">
        <v>2628</v>
      </c>
    </row>
    <row r="148" spans="2:11">
      <c r="B148" s="2635" t="s">
        <v>2629</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7:O181"/>
  <sheetViews>
    <sheetView topLeftCell="A97" workbookViewId="0">
      <selection activeCell="I182" sqref="I182"/>
    </sheetView>
  </sheetViews>
  <sheetFormatPr defaultRowHeight="13.5"/>
  <cols>
    <col min="5" max="5" width="10.5" bestFit="1" customWidth="1"/>
  </cols>
  <sheetData>
    <row r="7" spans="15:15">
      <c r="O7">
        <f>5800/59/30</f>
        <v>3.2768361581920904</v>
      </c>
    </row>
    <row r="16" spans="15:15">
      <c r="O16" s="2969">
        <f>7300/101/30</f>
        <v>2.4092409240924093</v>
      </c>
    </row>
    <row r="27" spans="15:15">
      <c r="O27">
        <f>5500/48/30</f>
        <v>3.8194444444444442</v>
      </c>
    </row>
    <row r="35" spans="15:15">
      <c r="O35">
        <f>6500/66/30</f>
        <v>3.2828282828282829</v>
      </c>
    </row>
    <row r="139" spans="5:9">
      <c r="E139" s="2969" t="s">
        <v>3112</v>
      </c>
      <c r="F139" s="2969" t="s">
        <v>3113</v>
      </c>
      <c r="G139" s="2969" t="s">
        <v>3118</v>
      </c>
      <c r="H139" s="2969" t="s">
        <v>3124</v>
      </c>
      <c r="I139" s="2969" t="s">
        <v>3131</v>
      </c>
    </row>
    <row r="140" spans="5:9">
      <c r="E140" s="2968">
        <v>43226</v>
      </c>
      <c r="F140" s="2969" t="s">
        <v>3114</v>
      </c>
      <c r="G140" s="2969" t="s">
        <v>3120</v>
      </c>
      <c r="H140">
        <v>72</v>
      </c>
      <c r="I140">
        <v>55278</v>
      </c>
    </row>
    <row r="141" spans="5:9">
      <c r="E141" s="2968">
        <v>43210</v>
      </c>
      <c r="F141" s="2969" t="s">
        <v>3116</v>
      </c>
      <c r="G141" s="2969" t="s">
        <v>3120</v>
      </c>
      <c r="H141">
        <v>72.22</v>
      </c>
      <c r="I141">
        <v>56771</v>
      </c>
    </row>
    <row r="142" spans="5:9">
      <c r="E142" s="2968">
        <v>43199</v>
      </c>
      <c r="F142" s="2969" t="s">
        <v>3116</v>
      </c>
      <c r="G142" s="2969" t="s">
        <v>3119</v>
      </c>
      <c r="H142">
        <v>70.67</v>
      </c>
      <c r="I142">
        <v>58017</v>
      </c>
    </row>
    <row r="178" spans="5:9">
      <c r="E178" s="2969" t="s">
        <v>3112</v>
      </c>
      <c r="F178" s="2969" t="s">
        <v>3113</v>
      </c>
      <c r="G178" s="2969" t="s">
        <v>3118</v>
      </c>
      <c r="H178" s="2969" t="s">
        <v>3124</v>
      </c>
      <c r="I178" s="2969" t="s">
        <v>3131</v>
      </c>
    </row>
    <row r="179" spans="5:9">
      <c r="E179" s="2968">
        <v>43226</v>
      </c>
      <c r="F179" s="2969" t="s">
        <v>3133</v>
      </c>
      <c r="G179" s="2969" t="s">
        <v>3136</v>
      </c>
      <c r="H179">
        <v>72</v>
      </c>
      <c r="I179">
        <v>6300</v>
      </c>
    </row>
    <row r="180" spans="5:9">
      <c r="E180" s="2968">
        <v>43226</v>
      </c>
      <c r="F180" s="2969" t="s">
        <v>3134</v>
      </c>
      <c r="G180" s="2969" t="s">
        <v>3137</v>
      </c>
      <c r="H180">
        <v>80</v>
      </c>
      <c r="I180">
        <v>5800</v>
      </c>
    </row>
    <row r="181" spans="5:9">
      <c r="E181" s="2968">
        <v>43226</v>
      </c>
      <c r="F181" s="2969" t="s">
        <v>3135</v>
      </c>
      <c r="G181" s="2969" t="s">
        <v>3136</v>
      </c>
      <c r="H181">
        <v>75</v>
      </c>
      <c r="I181">
        <v>6800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4" t="str">
        <f>IF(项目基本情况!B9="房地产市场价值","估价结果一览表","结果表-2")</f>
        <v>结果表-2</v>
      </c>
      <c r="B1" s="2994"/>
      <c r="C1" s="2994"/>
      <c r="D1" s="2994"/>
      <c r="E1" s="2994"/>
      <c r="F1" s="2994"/>
      <c r="G1" s="2994"/>
      <c r="H1" s="2994"/>
      <c r="I1" s="2994"/>
    </row>
    <row r="2" spans="1:9" ht="30" customHeight="1" thickTop="1">
      <c r="A2" s="2995" t="s">
        <v>1641</v>
      </c>
      <c r="B2" s="2995" t="s">
        <v>1642</v>
      </c>
      <c r="C2" s="2995" t="s">
        <v>1643</v>
      </c>
      <c r="D2" s="2995" t="str">
        <f>结果表!D116</f>
        <v>出让国有建设用地使用权价值</v>
      </c>
      <c r="E2" s="2995"/>
      <c r="F2" s="2995" t="str">
        <f>结果表!F116</f>
        <v>在建建筑物价值</v>
      </c>
      <c r="G2" s="2995"/>
      <c r="H2" s="2995" t="str">
        <f>IF(项目基本情况!B9="房地产市场价值","房地产市场价值","房地产价值")</f>
        <v>房地产价值</v>
      </c>
      <c r="I2" s="2995"/>
    </row>
    <row r="3" spans="1:9" ht="15">
      <c r="A3" s="2989"/>
      <c r="B3" s="2989"/>
      <c r="C3" s="2989"/>
      <c r="D3" s="1047" t="s">
        <v>1638</v>
      </c>
      <c r="E3" s="1047" t="s">
        <v>1644</v>
      </c>
      <c r="F3" s="1047" t="s">
        <v>1638</v>
      </c>
      <c r="G3" s="1047" t="s">
        <v>1639</v>
      </c>
      <c r="H3" s="1047" t="s">
        <v>1638</v>
      </c>
      <c r="I3" s="1047" t="s">
        <v>1639</v>
      </c>
    </row>
    <row r="4" spans="1:9" ht="45">
      <c r="A4" s="1975" t="str">
        <f>项目基本情况!S2</f>
        <v>北京市朝阳区建国路29号兴隆家园38号楼4门102号住宅用房房地产</v>
      </c>
      <c r="B4" s="1047">
        <f>项目基本情况!C17</f>
        <v>91.52</v>
      </c>
      <c r="C4" s="1047">
        <f>项目基本情况!C18</f>
        <v>0</v>
      </c>
      <c r="D4" s="1047" t="e">
        <f ca="1">结果表!D118</f>
        <v>#REF!</v>
      </c>
      <c r="E4" s="1047" t="e">
        <f ca="1">结果表!E118</f>
        <v>#REF!</v>
      </c>
      <c r="F4" s="1047" t="e">
        <f ca="1">结果表!F118</f>
        <v>#REF!</v>
      </c>
      <c r="G4" s="1047" t="e">
        <f ca="1">结果表!G118</f>
        <v>#REF!</v>
      </c>
      <c r="H4" s="1047">
        <f ca="1">结果表!H118</f>
        <v>457</v>
      </c>
      <c r="I4" s="1047">
        <f ca="1">结果表!I118</f>
        <v>49934</v>
      </c>
    </row>
    <row r="5" spans="1:9" ht="30" customHeight="1">
      <c r="A5" s="2989" t="s">
        <v>1640</v>
      </c>
      <c r="B5" s="2989"/>
      <c r="C5" s="2989"/>
      <c r="D5" s="2990" t="e">
        <f ca="1">结果表!D119</f>
        <v>#REF!</v>
      </c>
      <c r="E5" s="2990"/>
      <c r="F5" s="2990" t="e">
        <f ca="1">结果表!F119</f>
        <v>#REF!</v>
      </c>
      <c r="G5" s="2990"/>
      <c r="H5" s="2990" t="str">
        <f ca="1">结果表!H119</f>
        <v>肆佰伍拾柒万元整</v>
      </c>
      <c r="I5" s="2990"/>
    </row>
    <row r="6" spans="1:9" ht="15.75">
      <c r="A6" s="2988" t="str">
        <f>结果表!A120</f>
        <v>估价师知悉的法定优先受偿款</v>
      </c>
      <c r="B6" s="2988"/>
      <c r="C6" s="2988"/>
      <c r="D6" s="2988">
        <f>结果表!D120</f>
        <v>0</v>
      </c>
      <c r="E6" s="2988"/>
      <c r="F6" s="2988"/>
      <c r="G6" s="2988"/>
      <c r="H6" s="2988"/>
      <c r="I6" s="2988"/>
    </row>
    <row r="7" spans="1:9" ht="15">
      <c r="A7" s="2989" t="s">
        <v>1640</v>
      </c>
      <c r="B7" s="2989"/>
      <c r="C7" s="2989"/>
      <c r="D7" s="2991" t="str">
        <f>结果表!D121</f>
        <v>零元整</v>
      </c>
      <c r="E7" s="2992"/>
      <c r="F7" s="2992"/>
      <c r="G7" s="2992"/>
      <c r="H7" s="2992"/>
      <c r="I7" s="2993"/>
    </row>
    <row r="8" spans="1:9" ht="15.75">
      <c r="A8" s="2988" t="str">
        <f>结果表!A122</f>
        <v>房地产抵押价值</v>
      </c>
      <c r="B8" s="2988"/>
      <c r="C8" s="2988"/>
      <c r="D8" s="2988">
        <f ca="1">结果表!D122</f>
        <v>457</v>
      </c>
      <c r="E8" s="2988"/>
      <c r="F8" s="2988"/>
      <c r="G8" s="2988"/>
      <c r="H8" s="2988"/>
      <c r="I8" s="2988"/>
    </row>
    <row r="9" spans="1:9" ht="15">
      <c r="A9" s="2989" t="s">
        <v>1640</v>
      </c>
      <c r="B9" s="2989"/>
      <c r="C9" s="2989"/>
      <c r="D9" s="2990" t="str">
        <f ca="1">结果表!D123</f>
        <v>肆佰伍拾柒万元整</v>
      </c>
      <c r="E9" s="2990"/>
      <c r="F9" s="2990"/>
      <c r="G9" s="2990"/>
      <c r="H9" s="2990"/>
      <c r="I9" s="2990"/>
    </row>
    <row r="10" spans="1:9" ht="15.75">
      <c r="A10" s="2988" t="str">
        <f>结果表!A124</f>
        <v/>
      </c>
      <c r="B10" s="2988"/>
      <c r="C10" s="2988"/>
      <c r="D10" s="2988" t="str">
        <f>结果表!D124</f>
        <v>——</v>
      </c>
      <c r="E10" s="2988"/>
      <c r="F10" s="2988"/>
      <c r="G10" s="2988"/>
      <c r="H10" s="2988"/>
      <c r="I10" s="2988"/>
    </row>
    <row r="11" spans="1:9" ht="15">
      <c r="A11" s="2989" t="s">
        <v>1640</v>
      </c>
      <c r="B11" s="2989"/>
      <c r="C11" s="2989"/>
      <c r="D11" s="2990" t="e">
        <f>结果表!D125</f>
        <v>#VALUE!</v>
      </c>
      <c r="E11" s="2990"/>
      <c r="F11" s="2990"/>
      <c r="G11" s="2990"/>
      <c r="H11" s="2990"/>
      <c r="I11" s="2990"/>
    </row>
    <row r="12" spans="1:9" ht="15.75">
      <c r="A12" s="2988" t="str">
        <f>结果表!A126</f>
        <v/>
      </c>
      <c r="B12" s="2988"/>
      <c r="C12" s="2988"/>
      <c r="D12" s="2988" t="str">
        <f>结果表!D126</f>
        <v>——</v>
      </c>
      <c r="E12" s="2988"/>
      <c r="F12" s="2988"/>
      <c r="G12" s="2988"/>
      <c r="H12" s="2988"/>
      <c r="I12" s="2988"/>
    </row>
    <row r="13" spans="1:9" ht="15.75" thickBot="1">
      <c r="A13" s="2985" t="s">
        <v>1640</v>
      </c>
      <c r="B13" s="2985"/>
      <c r="C13" s="2985"/>
      <c r="D13" s="2986" t="e">
        <f>结果表!D127</f>
        <v>#VALUE!</v>
      </c>
      <c r="E13" s="2986"/>
      <c r="F13" s="2986"/>
      <c r="G13" s="2986"/>
      <c r="H13" s="2986"/>
      <c r="I13" s="2986"/>
    </row>
    <row r="14" spans="1:9" ht="15" thickTop="1">
      <c r="A14" s="2987" t="s">
        <v>1645</v>
      </c>
      <c r="B14" s="2987"/>
      <c r="C14" s="2987"/>
      <c r="D14" s="2987"/>
      <c r="E14" s="2987"/>
      <c r="F14" s="2987"/>
      <c r="G14" s="2987"/>
      <c r="H14" s="2987"/>
      <c r="I14" s="2987"/>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2" t="s">
        <v>1662</v>
      </c>
      <c r="B1" s="3002"/>
      <c r="C1" s="3002"/>
      <c r="D1" s="3002"/>
    </row>
    <row r="2" spans="1:4" ht="18">
      <c r="A2" s="3003" t="s">
        <v>1646</v>
      </c>
      <c r="B2" s="3003"/>
      <c r="C2" s="3003"/>
      <c r="D2" s="3003"/>
    </row>
    <row r="3" spans="1:4" ht="18.75">
      <c r="A3" s="1979" t="s">
        <v>1647</v>
      </c>
      <c r="B3" s="1979" t="s">
        <v>1648</v>
      </c>
      <c r="C3" s="1979" t="s">
        <v>1649</v>
      </c>
      <c r="D3" s="1979" t="s">
        <v>1650</v>
      </c>
    </row>
    <row r="4" spans="1:4" ht="56.25" customHeight="1">
      <c r="A4" s="1980" t="str">
        <f>项目基本情况!B4</f>
        <v>欧红伟</v>
      </c>
      <c r="B4" s="1981">
        <f ca="1">项目基本情况!C4</f>
        <v>1120000080</v>
      </c>
      <c r="C4" s="1982"/>
      <c r="D4" s="1983" t="s">
        <v>1651</v>
      </c>
    </row>
    <row r="5" spans="1:4" ht="56.25" customHeight="1">
      <c r="A5" s="1980" t="str">
        <f>项目基本情况!D4</f>
        <v>崔锴</v>
      </c>
      <c r="B5" s="1981">
        <f ca="1">项目基本情况!E4</f>
        <v>1120100036</v>
      </c>
      <c r="C5" s="1984"/>
      <c r="D5" s="1983" t="s">
        <v>1651</v>
      </c>
    </row>
    <row r="6" spans="1:4" ht="18">
      <c r="A6" s="3003" t="s">
        <v>1652</v>
      </c>
      <c r="B6" s="3003"/>
      <c r="C6" s="3003"/>
      <c r="D6" s="3003"/>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04" t="s">
        <v>1655</v>
      </c>
      <c r="B11" s="2996"/>
      <c r="C11" s="2996"/>
      <c r="D11" s="2996"/>
    </row>
    <row r="12" spans="1:4" ht="15.75">
      <c r="A12" s="29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1"/>
      <c r="C12" s="3001"/>
      <c r="D12" s="3001"/>
    </row>
    <row r="13" spans="1:4" ht="30" customHeight="1">
      <c r="A13" s="29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1"/>
      <c r="C13" s="3001"/>
      <c r="D13" s="3001"/>
    </row>
    <row r="14" spans="1:4" ht="15.75" customHeight="1">
      <c r="A14" s="2996" t="str">
        <f>IF(项目基本情况!B8="抵押","4.本次评估估价师所知悉的法定优先受偿款情况说明如下：","——")</f>
        <v>4.本次评估估价师所知悉的法定优先受偿款情况说明如下：</v>
      </c>
      <c r="B14" s="3001"/>
      <c r="C14" s="3001"/>
      <c r="D14" s="3001"/>
    </row>
    <row r="15" spans="1:4" ht="42" customHeight="1">
      <c r="A15" s="2996" t="str">
        <f>IF(项目基本情况!B8="抵押","（1）"&amp;CONCATENATE(项目基本情况!L20,项目基本情况!L21,项目基本情况!L22),"——")</f>
        <v>（1）根据估价对象《房屋所有权证》原件、，截至价值时点，估价对象抵押权未见登记。</v>
      </c>
      <c r="B15" s="2996"/>
      <c r="C15" s="2996"/>
      <c r="D15" s="2996"/>
    </row>
    <row r="16" spans="1:4" ht="30" customHeight="1">
      <c r="A16" s="2998" t="s">
        <v>1656</v>
      </c>
      <c r="B16" s="2998"/>
      <c r="C16" s="2998"/>
      <c r="D16" s="2998"/>
    </row>
    <row r="17" spans="1:4" ht="144" customHeight="1">
      <c r="A17" s="2998" t="s">
        <v>1657</v>
      </c>
      <c r="B17" s="2998"/>
      <c r="C17" s="2998"/>
      <c r="D17" s="2998"/>
    </row>
    <row r="18" spans="1:4" ht="15.75" customHeight="1">
      <c r="A18" s="2996" t="str">
        <f>IF(项目基本情况!B8="抵押",结果表!K120,"——")</f>
        <v>故，本次评估不存在估价师知悉的法定优先受偿款</v>
      </c>
      <c r="B18" s="2996"/>
      <c r="C18" s="2996"/>
      <c r="D18" s="2996"/>
    </row>
    <row r="19" spans="1:4" ht="46.5" customHeight="1">
      <c r="A19" s="29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6"/>
      <c r="C19" s="2996"/>
      <c r="D19" s="2996"/>
    </row>
    <row r="20" spans="1:4" ht="57.75" customHeight="1">
      <c r="A20" s="29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6"/>
      <c r="C20" s="2996"/>
      <c r="D20" s="2996"/>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1658</v>
      </c>
      <c r="B22" s="3000"/>
      <c r="C22" s="3000"/>
      <c r="D22" s="3000"/>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7">
        <v>42551</v>
      </c>
      <c r="D31" s="29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10" t="s">
        <v>1669</v>
      </c>
      <c r="B15" s="3005" t="s">
        <v>136</v>
      </c>
      <c r="C15" s="3006"/>
    </row>
    <row r="16" spans="1:7" ht="13.5">
      <c r="A16" s="3011"/>
      <c r="B16" s="3005" t="s">
        <v>69</v>
      </c>
      <c r="C16" s="3006"/>
    </row>
    <row r="17" spans="1:3" ht="13.5">
      <c r="A17" s="3011"/>
      <c r="B17" s="3008" t="s">
        <v>1670</v>
      </c>
      <c r="C17" s="2002" t="s">
        <v>1669</v>
      </c>
    </row>
    <row r="18" spans="1:3" ht="13.5">
      <c r="A18" s="3011"/>
      <c r="B18" s="3008"/>
      <c r="C18" s="2002" t="s">
        <v>1671</v>
      </c>
    </row>
    <row r="19" spans="1:3" ht="13.5">
      <c r="A19" s="3011"/>
      <c r="B19" s="3008"/>
      <c r="C19" s="2002" t="s">
        <v>1672</v>
      </c>
    </row>
    <row r="20" spans="1:3" ht="13.5">
      <c r="A20" s="3012"/>
      <c r="B20" s="3007" t="s">
        <v>1673</v>
      </c>
      <c r="C20" s="3006"/>
    </row>
    <row r="21" spans="1:3" ht="13.5">
      <c r="A21" s="2003" t="s">
        <v>1674</v>
      </c>
      <c r="B21" s="2004"/>
      <c r="C21" s="2005"/>
    </row>
    <row r="22" spans="1:3" ht="13.5">
      <c r="A22" s="3009" t="s">
        <v>1675</v>
      </c>
      <c r="B22" s="3007" t="s">
        <v>1676</v>
      </c>
      <c r="C22" s="3006"/>
    </row>
    <row r="23" spans="1:3" ht="13.5">
      <c r="A23" s="3009"/>
      <c r="B23" s="3007" t="s">
        <v>1677</v>
      </c>
      <c r="C23" s="3006"/>
    </row>
    <row r="24" spans="1:3" ht="13.5">
      <c r="A24" s="3009"/>
      <c r="B24" s="3007" t="s">
        <v>1678</v>
      </c>
      <c r="C24" s="3006"/>
    </row>
    <row r="25" spans="1:3" ht="13.5">
      <c r="A25" s="3009"/>
      <c r="B25" s="3008" t="s">
        <v>1679</v>
      </c>
      <c r="C25" s="2002" t="s">
        <v>1680</v>
      </c>
    </row>
    <row r="26" spans="1:3" ht="13.5">
      <c r="A26" s="3009"/>
      <c r="B26" s="3008"/>
      <c r="C26" s="2002" t="s">
        <v>1681</v>
      </c>
    </row>
    <row r="27" spans="1:3" ht="13.5">
      <c r="A27" s="3009"/>
      <c r="B27" s="3008"/>
      <c r="C27" s="2002" t="s">
        <v>1682</v>
      </c>
    </row>
    <row r="28" spans="1:3" ht="13.5">
      <c r="A28" s="3009"/>
      <c r="B28" s="3008"/>
      <c r="C28" s="2002" t="s">
        <v>1683</v>
      </c>
    </row>
    <row r="29" spans="1:3" ht="13.5">
      <c r="A29" s="3009"/>
      <c r="B29" s="3008"/>
      <c r="C29" s="2002" t="s">
        <v>1684</v>
      </c>
    </row>
    <row r="30" spans="1:3" ht="13.5">
      <c r="A30" s="3009"/>
      <c r="B30" s="3008"/>
      <c r="C30" s="2002" t="s">
        <v>1685</v>
      </c>
    </row>
    <row r="31" spans="1:3" ht="13.5">
      <c r="A31" s="3009"/>
      <c r="B31" s="3008"/>
      <c r="C31" s="2002" t="s">
        <v>1686</v>
      </c>
    </row>
    <row r="32" spans="1:3" ht="13.5">
      <c r="A32" s="3009"/>
      <c r="B32" s="3008"/>
      <c r="C32" s="2002" t="s">
        <v>1687</v>
      </c>
    </row>
    <row r="33" spans="1:3" ht="13.5">
      <c r="A33" s="3009"/>
      <c r="B33" s="3008"/>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43250</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347"/>
      <c r="D12" s="2350"/>
      <c r="E12" s="1025"/>
      <c r="F12" s="1025"/>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13" t="s">
        <v>846</v>
      </c>
      <c r="B25" s="3013"/>
      <c r="C25" s="3013"/>
      <c r="D25" s="3013"/>
      <c r="E25" s="3013"/>
      <c r="F25" s="3013"/>
      <c r="G25" s="3013"/>
    </row>
    <row r="26" spans="1:7" s="1028" customFormat="1" ht="24" customHeight="1">
      <c r="A26" s="3014" t="s">
        <v>847</v>
      </c>
      <c r="B26" s="3014"/>
      <c r="C26" s="3015"/>
      <c r="D26" s="3016" t="s">
        <v>848</v>
      </c>
      <c r="E26" s="3014"/>
      <c r="F26" s="3014"/>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5" priority="55">
      <formula>AND($C28-TODAY()&lt;30,TODAY()&lt;$C28)</formula>
    </cfRule>
  </conditionalFormatting>
  <conditionalFormatting sqref="C28 F4">
    <cfRule type="cellIs" dxfId="204" priority="57" stopIfTrue="1" operator="lessThan">
      <formula>$B$2</formula>
    </cfRule>
  </conditionalFormatting>
  <conditionalFormatting sqref="C5">
    <cfRule type="expression" dxfId="203" priority="52">
      <formula>AND($C5-TODAY()&lt;30,TODAY()&lt;$C5)</formula>
    </cfRule>
  </conditionalFormatting>
  <conditionalFormatting sqref="C5 F5">
    <cfRule type="cellIs" dxfId="202" priority="53" stopIfTrue="1" operator="lessThan">
      <formula>$B$2</formula>
    </cfRule>
  </conditionalFormatting>
  <conditionalFormatting sqref="F6 F8 F10">
    <cfRule type="cellIs" dxfId="201" priority="51" stopIfTrue="1" operator="lessThan">
      <formula>$B$2</formula>
    </cfRule>
  </conditionalFormatting>
  <conditionalFormatting sqref="C4:C23">
    <cfRule type="expression" dxfId="200" priority="49">
      <formula>AND($C4-TODAY()&lt;30,TODAY()&lt;$C4)</formula>
    </cfRule>
  </conditionalFormatting>
  <conditionalFormatting sqref="F7 F9 F11 C4:C23">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4">
    <cfRule type="expression" dxfId="196" priority="43">
      <formula>AND($C14-TODAY()&lt;30,TODAY()&lt;$C14)</formula>
    </cfRule>
  </conditionalFormatting>
  <conditionalFormatting sqref="C14">
    <cfRule type="cellIs" dxfId="195" priority="44" stopIfTrue="1" operator="lessThan">
      <formula>$B$2</formula>
    </cfRule>
  </conditionalFormatting>
  <conditionalFormatting sqref="C16">
    <cfRule type="expression" dxfId="194" priority="41">
      <formula>AND($C16-TODAY()&lt;30,TODAY()&lt;$C16)</formula>
    </cfRule>
  </conditionalFormatting>
  <conditionalFormatting sqref="C16">
    <cfRule type="cellIs" dxfId="193" priority="42" stopIfTrue="1" operator="lessThan">
      <formula>$B$2</formula>
    </cfRule>
  </conditionalFormatting>
  <conditionalFormatting sqref="C18">
    <cfRule type="expression" dxfId="192" priority="39">
      <formula>AND($C18-TODAY()&lt;30,TODAY()&lt;$C18)</formula>
    </cfRule>
  </conditionalFormatting>
  <conditionalFormatting sqref="C18">
    <cfRule type="cellIs" dxfId="191" priority="40" stopIfTrue="1" operator="lessThan">
      <formula>$B$2</formula>
    </cfRule>
  </conditionalFormatting>
  <conditionalFormatting sqref="C20">
    <cfRule type="expression" dxfId="190" priority="37">
      <formula>AND($C20-TODAY()&lt;30,TODAY()&lt;$C20)</formula>
    </cfRule>
  </conditionalFormatting>
  <conditionalFormatting sqref="C20">
    <cfRule type="cellIs" dxfId="189" priority="38" stopIfTrue="1" operator="lessThan">
      <formula>$B$2</formula>
    </cfRule>
  </conditionalFormatting>
  <conditionalFormatting sqref="C22">
    <cfRule type="expression" dxfId="188" priority="35">
      <formula>AND($C22-TODAY()&lt;30,TODAY()&lt;$C22)</formula>
    </cfRule>
  </conditionalFormatting>
  <conditionalFormatting sqref="C22">
    <cfRule type="cellIs" dxfId="187" priority="36" stopIfTrue="1" operator="lessThan">
      <formula>$B$2</formula>
    </cfRule>
  </conditionalFormatting>
  <conditionalFormatting sqref="C15">
    <cfRule type="expression" dxfId="186" priority="33">
      <formula>AND($C15-TODAY()&lt;30,TODAY()&lt;$C15)</formula>
    </cfRule>
  </conditionalFormatting>
  <conditionalFormatting sqref="C15">
    <cfRule type="cellIs" dxfId="185" priority="34" stopIfTrue="1" operator="lessThan">
      <formula>$B$2</formula>
    </cfRule>
  </conditionalFormatting>
  <conditionalFormatting sqref="C17">
    <cfRule type="expression" dxfId="184" priority="31">
      <formula>AND($C17-TODAY()&lt;30,TODAY()&lt;$C17)</formula>
    </cfRule>
  </conditionalFormatting>
  <conditionalFormatting sqref="C17">
    <cfRule type="cellIs" dxfId="183" priority="32" stopIfTrue="1" operator="lessThan">
      <formula>$B$2</formula>
    </cfRule>
  </conditionalFormatting>
  <conditionalFormatting sqref="C19">
    <cfRule type="expression" dxfId="182" priority="29">
      <formula>AND($C19-TODAY()&lt;30,TODAY()&lt;$C19)</formula>
    </cfRule>
  </conditionalFormatting>
  <conditionalFormatting sqref="C19">
    <cfRule type="cellIs" dxfId="181" priority="30" stopIfTrue="1" operator="lessThan">
      <formula>$B$2</formula>
    </cfRule>
  </conditionalFormatting>
  <conditionalFormatting sqref="C21">
    <cfRule type="expression" dxfId="180" priority="27">
      <formula>AND($C21-TODAY()&lt;30,TODAY()&lt;$C21)</formula>
    </cfRule>
  </conditionalFormatting>
  <conditionalFormatting sqref="C21">
    <cfRule type="cellIs" dxfId="179" priority="28" stopIfTrue="1" operator="lessThan">
      <formula>$B$2</formula>
    </cfRule>
  </conditionalFormatting>
  <conditionalFormatting sqref="C23">
    <cfRule type="expression" dxfId="178" priority="25">
      <formula>AND($C23-TODAY()&lt;30,TODAY()&lt;$C23)</formula>
    </cfRule>
  </conditionalFormatting>
  <conditionalFormatting sqref="C23">
    <cfRule type="cellIs" dxfId="177" priority="26" stopIfTrue="1" operator="lessThan">
      <formula>$B$2</formula>
    </cfRule>
  </conditionalFormatting>
  <conditionalFormatting sqref="F16">
    <cfRule type="cellIs" dxfId="176" priority="23" stopIfTrue="1" operator="lessThan">
      <formula>$B$2</formula>
    </cfRule>
  </conditionalFormatting>
  <conditionalFormatting sqref="F18">
    <cfRule type="cellIs" dxfId="175" priority="22" stopIfTrue="1" operator="lessThan">
      <formula>$B$2</formula>
    </cfRule>
  </conditionalFormatting>
  <conditionalFormatting sqref="F22">
    <cfRule type="cellIs" dxfId="174" priority="21" stopIfTrue="1" operator="lessThan">
      <formula>$B$2</formula>
    </cfRule>
  </conditionalFormatting>
  <conditionalFormatting sqref="F21">
    <cfRule type="cellIs" dxfId="173" priority="20" stopIfTrue="1" operator="lessThan">
      <formula>$B$2</formula>
    </cfRule>
  </conditionalFormatting>
  <conditionalFormatting sqref="F17">
    <cfRule type="cellIs" dxfId="172" priority="19" stopIfTrue="1" operator="lessThan">
      <formula>$B$2</formula>
    </cfRule>
  </conditionalFormatting>
  <conditionalFormatting sqref="B4:B14 E4:E14 B16:B23 E16:E23">
    <cfRule type="cellIs" dxfId="171" priority="18" stopIfTrue="1" operator="equal">
      <formula>"已过期"</formula>
    </cfRule>
  </conditionalFormatting>
  <conditionalFormatting sqref="A24:F24">
    <cfRule type="cellIs" dxfId="170" priority="14" stopIfTrue="1" operator="equal">
      <formula>"已过期"</formula>
    </cfRule>
  </conditionalFormatting>
  <conditionalFormatting sqref="F28">
    <cfRule type="expression" dxfId="169" priority="12">
      <formula>AND($E28-TODAY()&lt;30,TODAY()&lt;$E28)</formula>
    </cfRule>
  </conditionalFormatting>
  <conditionalFormatting sqref="F28">
    <cfRule type="cellIs" dxfId="168" priority="13" stopIfTrue="1" operator="lessThan">
      <formula>$B$2</formula>
    </cfRule>
  </conditionalFormatting>
  <conditionalFormatting sqref="F29">
    <cfRule type="expression" dxfId="167" priority="8" stopIfTrue="1">
      <formula>AND($E29-TODAY()&lt;30,TODAY()&lt;$E29)</formula>
    </cfRule>
  </conditionalFormatting>
  <conditionalFormatting sqref="F29">
    <cfRule type="cellIs" dxfId="166" priority="9" stopIfTrue="1" operator="lessThan">
      <formula>$B$2</formula>
    </cfRule>
  </conditionalFormatting>
  <conditionalFormatting sqref="B15">
    <cfRule type="cellIs" dxfId="165" priority="6" stopIfTrue="1" operator="equal">
      <formula>"已过期"</formula>
    </cfRule>
  </conditionalFormatting>
  <conditionalFormatting sqref="A15">
    <cfRule type="cellIs" dxfId="164" priority="5" stopIfTrue="1" operator="equal">
      <formula>"已过期"</formula>
    </cfRule>
  </conditionalFormatting>
  <conditionalFormatting sqref="C15">
    <cfRule type="expression" dxfId="163" priority="4">
      <formula>AND($C15-TODAY()&lt;30,TODAY()&lt;$C15)</formula>
    </cfRule>
  </conditionalFormatting>
  <conditionalFormatting sqref="E15">
    <cfRule type="cellIs" dxfId="162" priority="3" stopIfTrue="1" operator="equal">
      <formula>"已过期"</formula>
    </cfRule>
  </conditionalFormatting>
  <conditionalFormatting sqref="D15">
    <cfRule type="cellIs" dxfId="161" priority="2" stopIfTrue="1" operator="equal">
      <formula>"已过期"</formula>
    </cfRule>
  </conditionalFormatting>
  <conditionalFormatting sqref="F13">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比较法-租金</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2018-04-27T01:50:04Z</cp:lastPrinted>
  <dcterms:created xsi:type="dcterms:W3CDTF">2015-07-13T07:17:23Z</dcterms:created>
  <dcterms:modified xsi:type="dcterms:W3CDTF">2018-05-30T12:35:00Z</dcterms:modified>
</cp:coreProperties>
</file>